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99"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结果表 (车位)" sheetId="80"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 (元) (车位)" sheetId="79"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39">'收益法 (元) (车位)'!$A$1:$AK$69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35" l="1"/>
  <c r="G37" i="35"/>
  <c r="G5" i="34"/>
  <c r="I5" i="34" s="1"/>
  <c r="G20" i="6"/>
  <c r="B15" i="74"/>
  <c r="A120" i="80"/>
  <c r="BC13" i="3"/>
  <c r="S2" i="4"/>
  <c r="A118" i="80"/>
  <c r="E111" i="80"/>
  <c r="A126" i="80"/>
  <c r="D124" i="80"/>
  <c r="D125" i="80" s="1"/>
  <c r="E109" i="80"/>
  <c r="H109" i="80" s="1"/>
  <c r="H110" i="80" s="1"/>
  <c r="E107" i="80"/>
  <c r="A122" i="80"/>
  <c r="H106" i="80"/>
  <c r="H105" i="80"/>
  <c r="H103" i="80" s="1"/>
  <c r="D120" i="80" s="1"/>
  <c r="H104" i="80"/>
  <c r="D101" i="80"/>
  <c r="C101" i="80"/>
  <c r="C91" i="80"/>
  <c r="E90" i="80"/>
  <c r="D89" i="80"/>
  <c r="C89" i="80"/>
  <c r="C87" i="80" s="1"/>
  <c r="C94" i="80" s="1"/>
  <c r="H77" i="80"/>
  <c r="D77" i="80"/>
  <c r="C77" i="80" s="1"/>
  <c r="B2" i="1"/>
  <c r="C42" i="1"/>
  <c r="C76" i="80"/>
  <c r="F59" i="80"/>
  <c r="E59" i="80"/>
  <c r="N55" i="80" s="1"/>
  <c r="D59" i="80"/>
  <c r="N56" i="80"/>
  <c r="K56" i="80"/>
  <c r="F56" i="80"/>
  <c r="O55" i="80"/>
  <c r="M55" i="80"/>
  <c r="K55" i="80"/>
  <c r="J55" i="80"/>
  <c r="I55" i="80"/>
  <c r="F55" i="80"/>
  <c r="O53" i="80" s="1"/>
  <c r="O54" i="80"/>
  <c r="N54" i="80"/>
  <c r="N53" i="80"/>
  <c r="K49" i="80"/>
  <c r="F48" i="80"/>
  <c r="O52" i="80"/>
  <c r="E48" i="80"/>
  <c r="N52" i="80"/>
  <c r="D48" i="80"/>
  <c r="M52" i="80"/>
  <c r="M47" i="80"/>
  <c r="F33" i="80"/>
  <c r="D27" i="80"/>
  <c r="C25" i="80"/>
  <c r="C24" i="80"/>
  <c r="H13" i="3"/>
  <c r="D17" i="80"/>
  <c r="C17" i="80"/>
  <c r="L4" i="80"/>
  <c r="K4" i="80"/>
  <c r="A2" i="80"/>
  <c r="H1" i="80"/>
  <c r="C7" i="35"/>
  <c r="I7" i="35"/>
  <c r="G7" i="35"/>
  <c r="E7" i="35"/>
  <c r="Q72" i="79"/>
  <c r="Q59" i="79"/>
  <c r="K59" i="79"/>
  <c r="F59" i="79"/>
  <c r="Q58" i="79"/>
  <c r="Q51" i="79"/>
  <c r="J50" i="79"/>
  <c r="J51" i="79"/>
  <c r="M47" i="79"/>
  <c r="D46" i="79"/>
  <c r="F33" i="79"/>
  <c r="F61" i="79"/>
  <c r="F31" i="79"/>
  <c r="F23" i="79"/>
  <c r="D23" i="79" s="1"/>
  <c r="F21" i="79"/>
  <c r="F20" i="79"/>
  <c r="M19" i="79"/>
  <c r="F18" i="79"/>
  <c r="M17" i="79"/>
  <c r="F17" i="79"/>
  <c r="F15" i="79"/>
  <c r="C7" i="34"/>
  <c r="E20" i="6"/>
  <c r="D7" i="12" s="1"/>
  <c r="D8" i="12" s="1"/>
  <c r="N6" i="1"/>
  <c r="F19" i="6"/>
  <c r="B14" i="74" s="1"/>
  <c r="C48" i="35"/>
  <c r="D48" i="35" s="1"/>
  <c r="E48" i="35" s="1"/>
  <c r="F48" i="35" s="1"/>
  <c r="G48" i="35" s="1"/>
  <c r="H48" i="35" s="1"/>
  <c r="I48" i="35" s="1"/>
  <c r="J48" i="35" s="1"/>
  <c r="K48" i="35" s="1"/>
  <c r="L48" i="35" s="1"/>
  <c r="M48" i="35" s="1"/>
  <c r="N48" i="35" s="1"/>
  <c r="O48" i="35" s="1"/>
  <c r="F18" i="35"/>
  <c r="AA18" i="35"/>
  <c r="R37" i="35"/>
  <c r="B97" i="35"/>
  <c r="F31" i="35"/>
  <c r="AA31" i="35"/>
  <c r="H18" i="35"/>
  <c r="AB18" i="35" s="1"/>
  <c r="T37" i="35"/>
  <c r="H31" i="35"/>
  <c r="AB31" i="35"/>
  <c r="J18" i="35"/>
  <c r="AC18" i="35" s="1"/>
  <c r="V37" i="35"/>
  <c r="J31" i="35"/>
  <c r="AC31" i="35"/>
  <c r="D3" i="35"/>
  <c r="C92" i="80"/>
  <c r="H112" i="80"/>
  <c r="H111" i="80"/>
  <c r="D126" i="80" s="1"/>
  <c r="D127" i="80" s="1"/>
  <c r="F15" i="4"/>
  <c r="F7" i="1"/>
  <c r="AH5" i="71"/>
  <c r="AG5" i="71"/>
  <c r="AE5" i="71"/>
  <c r="AF5" i="71" s="1"/>
  <c r="AD5" i="71"/>
  <c r="Q5" i="71"/>
  <c r="P5" i="71"/>
  <c r="O5" i="71"/>
  <c r="N5" i="71"/>
  <c r="Q7" i="71"/>
  <c r="P7" i="71"/>
  <c r="AA7" i="71"/>
  <c r="O7" i="71"/>
  <c r="N7" i="71"/>
  <c r="AH6" i="71"/>
  <c r="AG6" i="71"/>
  <c r="AE6" i="71"/>
  <c r="AF6" i="71" s="1"/>
  <c r="AD6" i="71"/>
  <c r="Q6" i="71"/>
  <c r="P6" i="71"/>
  <c r="O6" i="71"/>
  <c r="N6" i="71"/>
  <c r="AH7" i="71"/>
  <c r="AG7" i="71"/>
  <c r="AE7" i="71"/>
  <c r="AF7" i="7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c r="AD11" i="71"/>
  <c r="Q11" i="71"/>
  <c r="Q12" i="71"/>
  <c r="P11" i="71"/>
  <c r="AA5" i="71" s="1"/>
  <c r="P12" i="71"/>
  <c r="O11" i="71"/>
  <c r="O12" i="71"/>
  <c r="N11" i="71"/>
  <c r="N12" i="71"/>
  <c r="N13" i="71"/>
  <c r="AH12" i="71"/>
  <c r="AG12" i="71"/>
  <c r="AE12" i="71"/>
  <c r="AF12" i="71"/>
  <c r="AD12" i="71"/>
  <c r="Q13" i="71"/>
  <c r="P13" i="71"/>
  <c r="O13" i="71"/>
  <c r="M19" i="43"/>
  <c r="D15" i="71"/>
  <c r="AH13" i="71"/>
  <c r="AG13" i="71"/>
  <c r="AE13" i="71"/>
  <c r="AF13" i="71"/>
  <c r="AD13" i="71"/>
  <c r="AD14" i="71"/>
  <c r="AG14" i="71"/>
  <c r="AH14" i="71"/>
  <c r="AE14" i="71"/>
  <c r="AF14" i="71"/>
  <c r="N14" i="71"/>
  <c r="Q14" i="71"/>
  <c r="P14" i="71"/>
  <c r="O14" i="71"/>
  <c r="Y12" i="71"/>
  <c r="Z12" i="71" s="1"/>
  <c r="Y13" i="71"/>
  <c r="Z13" i="71" s="1"/>
  <c r="C14" i="71"/>
  <c r="C13" i="71" s="1"/>
  <c r="Q15" i="71"/>
  <c r="F14" i="71"/>
  <c r="P15" i="71"/>
  <c r="E14" i="71"/>
  <c r="V14" i="71" s="1"/>
  <c r="E13" i="71"/>
  <c r="E12" i="71" s="1"/>
  <c r="O15" i="71"/>
  <c r="N15" i="71"/>
  <c r="B14" i="71"/>
  <c r="A2" i="53"/>
  <c r="K59" i="67"/>
  <c r="P61" i="67" s="1"/>
  <c r="K59" i="15"/>
  <c r="D116" i="39"/>
  <c r="E116" i="39"/>
  <c r="F116" i="39"/>
  <c r="G116" i="39"/>
  <c r="H116" i="39"/>
  <c r="I116" i="39"/>
  <c r="J116" i="39"/>
  <c r="K116" i="39"/>
  <c r="L116" i="39"/>
  <c r="M116" i="39"/>
  <c r="C116" i="39"/>
  <c r="A21" i="62"/>
  <c r="B67" i="72" s="1"/>
  <c r="A20" i="62"/>
  <c r="A22" i="51"/>
  <c r="A21" i="51"/>
  <c r="A20" i="51"/>
  <c r="A14" i="62"/>
  <c r="B60" i="72" s="1"/>
  <c r="A13" i="62"/>
  <c r="B59" i="72"/>
  <c r="A19" i="62"/>
  <c r="B65" i="72"/>
  <c r="A12" i="62"/>
  <c r="B58" i="72"/>
  <c r="A120" i="9"/>
  <c r="H2" i="52"/>
  <c r="A1" i="52"/>
  <c r="A3" i="53"/>
  <c r="Q16" i="71"/>
  <c r="P16" i="71"/>
  <c r="O16" i="71"/>
  <c r="N16" i="71"/>
  <c r="A15" i="51"/>
  <c r="B12" i="72"/>
  <c r="C76" i="9"/>
  <c r="I107" i="40"/>
  <c r="K6" i="4"/>
  <c r="M56" i="80" s="1"/>
  <c r="B22" i="31"/>
  <c r="N56" i="9"/>
  <c r="M56" i="9"/>
  <c r="E17" i="74"/>
  <c r="F17" i="74"/>
  <c r="E18" i="74"/>
  <c r="F18" i="74"/>
  <c r="E19" i="74"/>
  <c r="F19" i="74"/>
  <c r="E20" i="74"/>
  <c r="F20" i="74"/>
  <c r="E21" i="74"/>
  <c r="F21" i="74"/>
  <c r="E22" i="74"/>
  <c r="F22" i="74"/>
  <c r="E23" i="74"/>
  <c r="F23" i="74"/>
  <c r="B3" i="74"/>
  <c r="C91" i="9"/>
  <c r="B8" i="72"/>
  <c r="O17" i="71"/>
  <c r="P17" i="71"/>
  <c r="AA17" i="71" s="1"/>
  <c r="Q17" i="71"/>
  <c r="N17"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0" i="43" s="1"/>
  <c r="AF12" i="43"/>
  <c r="AE9" i="43"/>
  <c r="AE12" i="43"/>
  <c r="AD9" i="43"/>
  <c r="AD12" i="43"/>
  <c r="AC9" i="43"/>
  <c r="AC12" i="43"/>
  <c r="AB9" i="43"/>
  <c r="AB12" i="43"/>
  <c r="AA9" i="43"/>
  <c r="AA10" i="43" s="1"/>
  <c r="AA12" i="43"/>
  <c r="Z9" i="43"/>
  <c r="Z12" i="43"/>
  <c r="AC10" i="43"/>
  <c r="AE10" i="43"/>
  <c r="AG10" i="43"/>
  <c r="AI10" i="43"/>
  <c r="Z10" i="43"/>
  <c r="AB10" i="43"/>
  <c r="AD10" i="43"/>
  <c r="AH10" i="43"/>
  <c r="AJ10" i="43"/>
  <c r="K49" i="9"/>
  <c r="E107" i="9"/>
  <c r="A122" i="9"/>
  <c r="A8" i="52" s="1"/>
  <c r="B54" i="72" s="1"/>
  <c r="E111" i="9"/>
  <c r="A126" i="9"/>
  <c r="E109" i="9"/>
  <c r="A124" i="9"/>
  <c r="B44" i="72"/>
  <c r="B42" i="72"/>
  <c r="B69" i="72"/>
  <c r="B68" i="72"/>
  <c r="B63" i="72"/>
  <c r="B62" i="72"/>
  <c r="B16" i="72"/>
  <c r="B66" i="72"/>
  <c r="B10" i="72"/>
  <c r="C53" i="10"/>
  <c r="B51" i="10"/>
  <c r="B19" i="72"/>
  <c r="A18" i="51"/>
  <c r="B13" i="72"/>
  <c r="C8" i="68"/>
  <c r="B49" i="48"/>
  <c r="B5" i="72" s="1"/>
  <c r="I19" i="43"/>
  <c r="D79" i="71"/>
  <c r="F78" i="71"/>
  <c r="F77" i="71" s="1"/>
  <c r="E78" i="71"/>
  <c r="E77" i="71"/>
  <c r="E76" i="71" s="1"/>
  <c r="C78" i="71"/>
  <c r="C77" i="71" s="1"/>
  <c r="B78" i="71"/>
  <c r="B77" i="71" s="1"/>
  <c r="B76" i="71" s="1"/>
  <c r="F76" i="71"/>
  <c r="D75" i="71"/>
  <c r="F74" i="71"/>
  <c r="F73" i="71" s="1"/>
  <c r="E74" i="71"/>
  <c r="E73" i="71"/>
  <c r="E72" i="71" s="1"/>
  <c r="C74" i="71"/>
  <c r="D74" i="71" s="1"/>
  <c r="B74" i="71"/>
  <c r="B73" i="71" s="1"/>
  <c r="F72" i="71"/>
  <c r="B72" i="71"/>
  <c r="D71" i="71"/>
  <c r="Q70" i="71"/>
  <c r="P70" i="71"/>
  <c r="O70" i="71"/>
  <c r="N70" i="71"/>
  <c r="F70" i="71"/>
  <c r="E70" i="71"/>
  <c r="U70" i="71" s="1"/>
  <c r="C70" i="71"/>
  <c r="T70" i="71" s="1"/>
  <c r="B70" i="71"/>
  <c r="S70" i="71"/>
  <c r="Q69" i="71"/>
  <c r="P69" i="71"/>
  <c r="O69" i="71"/>
  <c r="N69" i="7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B61" i="71"/>
  <c r="B60" i="71" s="1"/>
  <c r="Q60" i="71"/>
  <c r="P60" i="71"/>
  <c r="O60" i="71"/>
  <c r="N60" i="71"/>
  <c r="Q59" i="71"/>
  <c r="P59" i="71"/>
  <c r="O59" i="71"/>
  <c r="N59" i="71"/>
  <c r="D59" i="71"/>
  <c r="F58" i="71"/>
  <c r="V58" i="71"/>
  <c r="E58" i="71"/>
  <c r="C58" i="71"/>
  <c r="B58" i="71"/>
  <c r="F57" i="71"/>
  <c r="F56" i="71"/>
  <c r="Q55" i="71" s="1"/>
  <c r="Q56" i="71"/>
  <c r="D55" i="71"/>
  <c r="Q54" i="71"/>
  <c r="P54" i="71"/>
  <c r="O54" i="71"/>
  <c r="N54" i="71"/>
  <c r="Q53" i="71"/>
  <c r="P53" i="71"/>
  <c r="O53" i="71"/>
  <c r="N53" i="71"/>
  <c r="Q52" i="71"/>
  <c r="P52" i="71"/>
  <c r="O52" i="71"/>
  <c r="N52" i="71"/>
  <c r="Q51" i="71"/>
  <c r="F52" i="71"/>
  <c r="F53" i="71" s="1"/>
  <c r="F54" i="71"/>
  <c r="V54" i="71" s="1"/>
  <c r="P51" i="71"/>
  <c r="E52" i="71" s="1"/>
  <c r="O51" i="71"/>
  <c r="C52" i="71" s="1"/>
  <c r="C53" i="71" s="1"/>
  <c r="C54" i="71" s="1"/>
  <c r="N51" i="71"/>
  <c r="B52" i="71" s="1"/>
  <c r="B53" i="71" s="1"/>
  <c r="B54" i="71" s="1"/>
  <c r="S54" i="71"/>
  <c r="D51" i="71"/>
  <c r="Q50" i="71"/>
  <c r="P50" i="71"/>
  <c r="O50" i="71"/>
  <c r="N50" i="71"/>
  <c r="Q49" i="71"/>
  <c r="P49" i="71"/>
  <c r="O49" i="71"/>
  <c r="N49" i="71"/>
  <c r="Q48" i="71"/>
  <c r="P48" i="71"/>
  <c r="O48" i="71"/>
  <c r="N48" i="71"/>
  <c r="Q47" i="71"/>
  <c r="F48" i="71" s="1"/>
  <c r="F49" i="71" s="1"/>
  <c r="F50" i="71" s="1"/>
  <c r="V50" i="71" s="1"/>
  <c r="P47" i="71"/>
  <c r="E48" i="71"/>
  <c r="E49" i="71" s="1"/>
  <c r="O47" i="71"/>
  <c r="C48" i="71"/>
  <c r="C49" i="71" s="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E45" i="71" s="1"/>
  <c r="E46" i="71" s="1"/>
  <c r="U46" i="71" s="1"/>
  <c r="O43" i="71"/>
  <c r="C44" i="71" s="1"/>
  <c r="D44" i="71" s="1"/>
  <c r="N43" i="71"/>
  <c r="B44" i="71" s="1"/>
  <c r="D43" i="71"/>
  <c r="Q42" i="71"/>
  <c r="P42" i="71"/>
  <c r="O42" i="71"/>
  <c r="N42" i="71"/>
  <c r="Q41" i="71"/>
  <c r="P41" i="71"/>
  <c r="O41" i="71"/>
  <c r="N41" i="71"/>
  <c r="Q40" i="71"/>
  <c r="P40" i="71"/>
  <c r="O40" i="71"/>
  <c r="N40" i="71"/>
  <c r="Q39" i="71"/>
  <c r="F40" i="71" s="1"/>
  <c r="F41" i="71" s="1"/>
  <c r="P39" i="71"/>
  <c r="E40" i="71" s="1"/>
  <c r="E41" i="71" s="1"/>
  <c r="O39" i="71"/>
  <c r="C40" i="71"/>
  <c r="N39" i="71"/>
  <c r="B40" i="71"/>
  <c r="B41" i="71" s="1"/>
  <c r="B42" i="71" s="1"/>
  <c r="S42" i="71" s="1"/>
  <c r="D39" i="71"/>
  <c r="T38" i="71"/>
  <c r="Q38" i="71"/>
  <c r="P38" i="71"/>
  <c r="O38" i="71"/>
  <c r="N38" i="71"/>
  <c r="D38" i="71"/>
  <c r="Q37" i="71"/>
  <c r="P37" i="71"/>
  <c r="O37" i="71"/>
  <c r="N37" i="71"/>
  <c r="Q36" i="71"/>
  <c r="P36" i="71"/>
  <c r="O36" i="71"/>
  <c r="N36" i="71"/>
  <c r="F36" i="71"/>
  <c r="F37" i="71" s="1"/>
  <c r="F38" i="71" s="1"/>
  <c r="V38" i="71" s="1"/>
  <c r="Q35" i="71"/>
  <c r="P35" i="71"/>
  <c r="E36" i="71" s="1"/>
  <c r="E37" i="71" s="1"/>
  <c r="E38" i="71" s="1"/>
  <c r="U38" i="71" s="1"/>
  <c r="O35" i="71"/>
  <c r="C36" i="71"/>
  <c r="D36" i="71" s="1"/>
  <c r="N35" i="71"/>
  <c r="B36" i="71" s="1"/>
  <c r="B37" i="71" s="1"/>
  <c r="B38" i="71" s="1"/>
  <c r="S38" i="71" s="1"/>
  <c r="D35" i="71"/>
  <c r="Q34" i="71"/>
  <c r="P34" i="71"/>
  <c r="O34" i="71"/>
  <c r="N34" i="71"/>
  <c r="Q33" i="71"/>
  <c r="P33" i="71"/>
  <c r="O33" i="71"/>
  <c r="N33" i="71"/>
  <c r="Q32" i="71"/>
  <c r="P32" i="71"/>
  <c r="O32" i="71"/>
  <c r="N32" i="71"/>
  <c r="F32" i="71"/>
  <c r="F33" i="71"/>
  <c r="F34" i="71" s="1"/>
  <c r="V34" i="71" s="1"/>
  <c r="Q31" i="71"/>
  <c r="P31" i="71"/>
  <c r="E32" i="71" s="1"/>
  <c r="E33" i="71" s="1"/>
  <c r="E34" i="71" s="1"/>
  <c r="U34" i="71" s="1"/>
  <c r="O31" i="71"/>
  <c r="C32" i="71"/>
  <c r="C33" i="71" s="1"/>
  <c r="N31" i="71"/>
  <c r="B32" i="71" s="1"/>
  <c r="B33" i="71" s="1"/>
  <c r="D31" i="71"/>
  <c r="Q30" i="71"/>
  <c r="P30" i="71"/>
  <c r="O30" i="71"/>
  <c r="N30" i="71"/>
  <c r="Q29" i="71"/>
  <c r="AB29" i="71" s="1"/>
  <c r="P29" i="71"/>
  <c r="AA29" i="71"/>
  <c r="O29" i="71"/>
  <c r="Y29" i="71"/>
  <c r="Z29" i="71" s="1"/>
  <c r="N29" i="71"/>
  <c r="X29" i="71" s="1"/>
  <c r="Q28" i="71"/>
  <c r="P28" i="71"/>
  <c r="O28" i="71"/>
  <c r="Y28" i="71"/>
  <c r="Z28" i="71" s="1"/>
  <c r="N28" i="71"/>
  <c r="F29" i="71"/>
  <c r="F30" i="71" s="1"/>
  <c r="V30" i="71" s="1"/>
  <c r="Q27" i="71"/>
  <c r="F28" i="71" s="1"/>
  <c r="P27" i="71"/>
  <c r="O27" i="71"/>
  <c r="N27" i="71"/>
  <c r="D27" i="71"/>
  <c r="Q26" i="71"/>
  <c r="AB26" i="71" s="1"/>
  <c r="P26" i="71"/>
  <c r="AA26" i="71" s="1"/>
  <c r="O26" i="71"/>
  <c r="Y26" i="71"/>
  <c r="Z26" i="71" s="1"/>
  <c r="N26" i="71"/>
  <c r="X26" i="71" s="1"/>
  <c r="Q25" i="71"/>
  <c r="AB25" i="71" s="1"/>
  <c r="P25" i="71"/>
  <c r="O25" i="71"/>
  <c r="Y25" i="71" s="1"/>
  <c r="Z25" i="71" s="1"/>
  <c r="N25" i="71"/>
  <c r="Q24" i="71"/>
  <c r="P24" i="71"/>
  <c r="AA21" i="71" s="1"/>
  <c r="O24" i="71"/>
  <c r="Y24" i="71"/>
  <c r="Z24" i="71" s="1"/>
  <c r="N24" i="71"/>
  <c r="Q23" i="71"/>
  <c r="F24" i="71" s="1"/>
  <c r="P23" i="71"/>
  <c r="O23" i="71"/>
  <c r="N23" i="71"/>
  <c r="D23" i="71"/>
  <c r="Q22" i="71"/>
  <c r="P22" i="71"/>
  <c r="AA22" i="71" s="1"/>
  <c r="O22" i="71"/>
  <c r="Y22" i="71"/>
  <c r="Z22" i="71" s="1"/>
  <c r="N22" i="71"/>
  <c r="Q21" i="71"/>
  <c r="P21" i="71"/>
  <c r="O21" i="71"/>
  <c r="N21" i="71"/>
  <c r="Q20" i="71"/>
  <c r="P20" i="71"/>
  <c r="O20" i="71"/>
  <c r="Y20" i="71" s="1"/>
  <c r="Z20" i="71" s="1"/>
  <c r="N20" i="71"/>
  <c r="Q19" i="71"/>
  <c r="P19" i="71"/>
  <c r="AA19" i="71" s="1"/>
  <c r="O19" i="71"/>
  <c r="Y19" i="71" s="1"/>
  <c r="Z19" i="71" s="1"/>
  <c r="N19" i="71"/>
  <c r="X19" i="71" s="1"/>
  <c r="D19" i="71"/>
  <c r="O18" i="71"/>
  <c r="N18" i="71"/>
  <c r="B20" i="71"/>
  <c r="E20" i="71"/>
  <c r="E21" i="71"/>
  <c r="E22" i="71" s="1"/>
  <c r="U22" i="71" s="1"/>
  <c r="B28" i="71"/>
  <c r="B29" i="71" s="1"/>
  <c r="B30" i="71" s="1"/>
  <c r="S30" i="71" s="1"/>
  <c r="X27" i="71"/>
  <c r="E28" i="71"/>
  <c r="E29" i="71" s="1"/>
  <c r="E30" i="71" s="1"/>
  <c r="U30" i="71" s="1"/>
  <c r="AA27" i="71"/>
  <c r="N58" i="71"/>
  <c r="E24" i="71"/>
  <c r="E25" i="71" s="1"/>
  <c r="E26" i="71" s="1"/>
  <c r="U26" i="71"/>
  <c r="AA23" i="71"/>
  <c r="C20" i="71"/>
  <c r="AA20" i="71"/>
  <c r="C24" i="71"/>
  <c r="D24" i="71" s="1"/>
  <c r="C25" i="71"/>
  <c r="Y23" i="71"/>
  <c r="Z23" i="71" s="1"/>
  <c r="AA24" i="71"/>
  <c r="C28" i="71"/>
  <c r="Y27" i="71"/>
  <c r="Z27" i="71"/>
  <c r="X28" i="71"/>
  <c r="F42" i="71"/>
  <c r="V42" i="71"/>
  <c r="C18" i="71"/>
  <c r="Y17" i="71"/>
  <c r="Z17" i="71" s="1"/>
  <c r="C21" i="71"/>
  <c r="D20" i="71"/>
  <c r="C29" i="71"/>
  <c r="C30" i="71" s="1"/>
  <c r="T30" i="71" s="1"/>
  <c r="D28" i="71"/>
  <c r="D32" i="71"/>
  <c r="C37" i="71"/>
  <c r="D37" i="71" s="1"/>
  <c r="P18" i="71"/>
  <c r="E53" i="71"/>
  <c r="E54" i="71" s="1"/>
  <c r="U54" i="71" s="1"/>
  <c r="E57" i="71"/>
  <c r="Q18" i="71"/>
  <c r="C45" i="71"/>
  <c r="D45" i="71" s="1"/>
  <c r="Q57" i="71"/>
  <c r="T58" i="71"/>
  <c r="O58" i="71"/>
  <c r="D58" i="71"/>
  <c r="C57" i="71"/>
  <c r="O57" i="71" s="1"/>
  <c r="Q58" i="71"/>
  <c r="C61" i="71"/>
  <c r="D62" i="71"/>
  <c r="C65" i="71"/>
  <c r="D65" i="71" s="1"/>
  <c r="E65" i="71"/>
  <c r="E64" i="71" s="1"/>
  <c r="D66" i="71"/>
  <c r="C69" i="71"/>
  <c r="C68" i="71" s="1"/>
  <c r="D68" i="71" s="1"/>
  <c r="E69" i="71"/>
  <c r="E68" i="71" s="1"/>
  <c r="D70" i="71"/>
  <c r="C73" i="71"/>
  <c r="T18" i="71"/>
  <c r="C17" i="71"/>
  <c r="C16" i="71" s="1"/>
  <c r="D16" i="71" s="1"/>
  <c r="D18" i="71"/>
  <c r="U18" i="71"/>
  <c r="C56" i="71"/>
  <c r="O56" i="71" s="1"/>
  <c r="D53" i="71"/>
  <c r="D73" i="71"/>
  <c r="C72" i="71"/>
  <c r="D72" i="71" s="1"/>
  <c r="D69" i="71"/>
  <c r="D61" i="71"/>
  <c r="C60" i="71"/>
  <c r="D60" i="71" s="1"/>
  <c r="C50" i="71"/>
  <c r="D50" i="71" s="1"/>
  <c r="D49" i="71"/>
  <c r="C46" i="71"/>
  <c r="T46" i="71" s="1"/>
  <c r="D17" i="71"/>
  <c r="O55" i="71"/>
  <c r="D30" i="71"/>
  <c r="D46" i="71"/>
  <c r="T5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Z29" i="39"/>
  <c r="Q29" i="39"/>
  <c r="D103" i="39"/>
  <c r="E103" i="39" s="1"/>
  <c r="F103" i="39" s="1"/>
  <c r="G103" i="39" s="1"/>
  <c r="F29" i="39"/>
  <c r="AA29" i="39" s="1"/>
  <c r="Q18" i="36"/>
  <c r="Z18" i="36"/>
  <c r="D66" i="36"/>
  <c r="E66" i="36" s="1"/>
  <c r="F66" i="36" s="1"/>
  <c r="G66" i="36" s="1"/>
  <c r="H18" i="36"/>
  <c r="AB18" i="36"/>
  <c r="F18" i="36"/>
  <c r="C18" i="36"/>
  <c r="Z18" i="35"/>
  <c r="Q18" i="35"/>
  <c r="D68" i="35"/>
  <c r="E68" i="35" s="1"/>
  <c r="F68" i="35" s="1"/>
  <c r="G68" i="35" s="1"/>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E83" i="21" s="1"/>
  <c r="F83" i="21" s="1"/>
  <c r="G83" i="21" s="1"/>
  <c r="F21" i="21"/>
  <c r="D81" i="21"/>
  <c r="G20" i="20"/>
  <c r="B86" i="43" s="1"/>
  <c r="C22" i="20"/>
  <c r="B75" i="43"/>
  <c r="C25" i="40"/>
  <c r="S25" i="40"/>
  <c r="S29" i="39"/>
  <c r="U18" i="36"/>
  <c r="H25" i="40"/>
  <c r="G94" i="40"/>
  <c r="J25" i="40"/>
  <c r="H29" i="39"/>
  <c r="AB29" i="39" s="1"/>
  <c r="J29" i="39"/>
  <c r="W29" i="39" s="1"/>
  <c r="J18" i="36"/>
  <c r="S18" i="35"/>
  <c r="F77" i="37"/>
  <c r="G77" i="37" s="1"/>
  <c r="H21" i="37"/>
  <c r="AB21" i="37" s="1"/>
  <c r="F21" i="37"/>
  <c r="AA21" i="37" s="1"/>
  <c r="H21" i="34"/>
  <c r="H21" i="33"/>
  <c r="U21" i="33" s="1"/>
  <c r="F21" i="33"/>
  <c r="S21" i="33" s="1"/>
  <c r="H1" i="69"/>
  <c r="AC25" i="40"/>
  <c r="W25" i="40"/>
  <c r="AB25" i="40"/>
  <c r="U25" i="40"/>
  <c r="U29" i="39"/>
  <c r="AC29" i="39"/>
  <c r="AC18" i="36"/>
  <c r="W18" i="36"/>
  <c r="U21" i="37"/>
  <c r="S21" i="37"/>
  <c r="AB21" i="34"/>
  <c r="U21" i="34"/>
  <c r="AB21" i="33"/>
  <c r="AA21" i="33"/>
  <c r="U18" i="35"/>
  <c r="W18" i="35"/>
  <c r="J21" i="37"/>
  <c r="AC21" i="37" s="1"/>
  <c r="J21" i="34"/>
  <c r="J21" i="33"/>
  <c r="H21" i="21"/>
  <c r="AB21" i="21" s="1"/>
  <c r="F38" i="69"/>
  <c r="E37" i="69"/>
  <c r="F36" i="69"/>
  <c r="F35" i="69"/>
  <c r="F21" i="69"/>
  <c r="C21" i="69"/>
  <c r="F20" i="69"/>
  <c r="E10" i="69"/>
  <c r="E9" i="69"/>
  <c r="C7" i="69"/>
  <c r="W21" i="37"/>
  <c r="AC21" i="33"/>
  <c r="W21" i="33"/>
  <c r="U21" i="21"/>
  <c r="J21" i="21"/>
  <c r="C40" i="69"/>
  <c r="F38" i="68"/>
  <c r="E37" i="68"/>
  <c r="F36" i="68"/>
  <c r="F35" i="68"/>
  <c r="F21" i="68"/>
  <c r="C40" i="68" s="1"/>
  <c r="C21" i="68"/>
  <c r="F20" i="68"/>
  <c r="E10" i="68"/>
  <c r="E9" i="68"/>
  <c r="C7" i="68"/>
  <c r="C5" i="68" s="1"/>
  <c r="W21" i="21"/>
  <c r="AC21" i="21"/>
  <c r="Q72" i="67"/>
  <c r="Q59" i="67"/>
  <c r="Q58" i="67"/>
  <c r="Q51" i="67"/>
  <c r="J50" i="67"/>
  <c r="M47" i="67"/>
  <c r="D46" i="67"/>
  <c r="F33" i="67"/>
  <c r="F61" i="67"/>
  <c r="F23" i="67"/>
  <c r="D22" i="67" s="1"/>
  <c r="D24" i="67"/>
  <c r="F21" i="67"/>
  <c r="F20" i="67"/>
  <c r="M19" i="67"/>
  <c r="F18" i="67"/>
  <c r="F17" i="67"/>
  <c r="F15" i="67"/>
  <c r="D23" i="67"/>
  <c r="C51" i="10"/>
  <c r="A13" i="51" s="1"/>
  <c r="B11" i="72" s="1"/>
  <c r="S1" i="4"/>
  <c r="B1" i="4"/>
  <c r="C31" i="66"/>
  <c r="C27" i="66"/>
  <c r="C32" i="66" s="1"/>
  <c r="I23" i="66"/>
  <c r="D20" i="66"/>
  <c r="I19" i="66"/>
  <c r="I18" i="66"/>
  <c r="I17" i="66"/>
  <c r="E15" i="66"/>
  <c r="I14" i="66"/>
  <c r="I13" i="66"/>
  <c r="I12" i="66"/>
  <c r="I15" i="66"/>
  <c r="I9" i="66"/>
  <c r="I8" i="66"/>
  <c r="I7" i="66"/>
  <c r="I6" i="66"/>
  <c r="I5" i="66"/>
  <c r="I4" i="66"/>
  <c r="I10" i="66" s="1"/>
  <c r="I21" i="66" s="1"/>
  <c r="I3" i="66"/>
  <c r="D1" i="43"/>
  <c r="F113" i="43"/>
  <c r="N99" i="43"/>
  <c r="N108" i="43" s="1"/>
  <c r="D99" i="43"/>
  <c r="D100" i="43" s="1"/>
  <c r="E99" i="43"/>
  <c r="E108" i="43"/>
  <c r="F99" i="43"/>
  <c r="F108" i="43" s="1"/>
  <c r="G99" i="43"/>
  <c r="G100" i="43" s="1"/>
  <c r="H99" i="43"/>
  <c r="H108" i="43"/>
  <c r="I99" i="43"/>
  <c r="J99" i="43"/>
  <c r="J108" i="43" s="1"/>
  <c r="K99" i="43"/>
  <c r="K108" i="43"/>
  <c r="L99" i="43"/>
  <c r="M99" i="43"/>
  <c r="M108" i="43" s="1"/>
  <c r="C99" i="43"/>
  <c r="C108"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c r="K87" i="43"/>
  <c r="J87" i="43"/>
  <c r="M86" i="43"/>
  <c r="N86" i="43" s="1"/>
  <c r="K86" i="43"/>
  <c r="J86" i="43"/>
  <c r="M85" i="43"/>
  <c r="N85" i="43"/>
  <c r="K85" i="43"/>
  <c r="J85" i="43" s="1"/>
  <c r="M84" i="43"/>
  <c r="N84" i="43"/>
  <c r="K84" i="43"/>
  <c r="J84" i="43"/>
  <c r="M83" i="43"/>
  <c r="N83" i="43" s="1"/>
  <c r="K83" i="43"/>
  <c r="J83" i="43"/>
  <c r="M82" i="43"/>
  <c r="N82" i="43"/>
  <c r="K82" i="43"/>
  <c r="J82" i="43" s="1"/>
  <c r="M81" i="43"/>
  <c r="N81" i="43"/>
  <c r="K81" i="43"/>
  <c r="J81" i="43"/>
  <c r="M78" i="43"/>
  <c r="N78" i="43" s="1"/>
  <c r="K78" i="43"/>
  <c r="J78" i="43"/>
  <c r="D78" i="43"/>
  <c r="M77" i="43"/>
  <c r="N77" i="43"/>
  <c r="K77" i="43"/>
  <c r="J77" i="43" s="1"/>
  <c r="D77" i="43"/>
  <c r="M76" i="43"/>
  <c r="N76" i="43"/>
  <c r="K76" i="43"/>
  <c r="J76" i="43"/>
  <c r="D76" i="43"/>
  <c r="M75" i="43"/>
  <c r="N75" i="43" s="1"/>
  <c r="K75" i="43"/>
  <c r="J75" i="43"/>
  <c r="D75" i="43"/>
  <c r="M74" i="43"/>
  <c r="N74" i="43"/>
  <c r="K74" i="43"/>
  <c r="J74" i="43"/>
  <c r="D74" i="43"/>
  <c r="M73" i="43"/>
  <c r="N73" i="43" s="1"/>
  <c r="K73" i="43"/>
  <c r="J73" i="43" s="1"/>
  <c r="D73" i="43"/>
  <c r="M72" i="43"/>
  <c r="N72" i="43"/>
  <c r="K72" i="43"/>
  <c r="J72" i="43"/>
  <c r="D72" i="43"/>
  <c r="M71" i="43"/>
  <c r="N71" i="43"/>
  <c r="K71" i="43"/>
  <c r="J71" i="43" s="1"/>
  <c r="D71" i="43"/>
  <c r="M70" i="43"/>
  <c r="N70" i="43"/>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c r="D55" i="43"/>
  <c r="M54" i="43"/>
  <c r="N54" i="43" s="1"/>
  <c r="K54" i="43"/>
  <c r="J54" i="43" s="1"/>
  <c r="D54" i="43"/>
  <c r="M53" i="43"/>
  <c r="N53" i="43" s="1"/>
  <c r="K53" i="43"/>
  <c r="J53" i="43"/>
  <c r="D53" i="43"/>
  <c r="M52" i="43"/>
  <c r="N52" i="43"/>
  <c r="K52" i="43"/>
  <c r="J52" i="43" s="1"/>
  <c r="D52" i="43"/>
  <c r="M51" i="43"/>
  <c r="N51" i="43"/>
  <c r="K51" i="43"/>
  <c r="J51" i="43" s="1"/>
  <c r="D51" i="43"/>
  <c r="M50" i="43"/>
  <c r="N50" i="43" s="1"/>
  <c r="K50" i="43"/>
  <c r="J50" i="43"/>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c r="F10" i="31"/>
  <c r="G10" i="3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c r="O8" i="31" s="1"/>
  <c r="P8" i="31" s="1"/>
  <c r="Q8" i="31" s="1"/>
  <c r="R8" i="31" s="1"/>
  <c r="S8" i="31" s="1"/>
  <c r="D6" i="31"/>
  <c r="E6" i="31" s="1"/>
  <c r="F6" i="31" s="1"/>
  <c r="G6" i="31" s="1"/>
  <c r="H6" i="31" s="1"/>
  <c r="I6" i="31" s="1"/>
  <c r="J6" i="31" s="1"/>
  <c r="K6" i="31" s="1"/>
  <c r="L6" i="31" s="1"/>
  <c r="M6" i="31" s="1"/>
  <c r="N6" i="31" s="1"/>
  <c r="O6" i="31" s="1"/>
  <c r="P6" i="31" s="1"/>
  <c r="Q6" i="31" s="1"/>
  <c r="R6" i="31" s="1"/>
  <c r="S6" i="31" s="1"/>
  <c r="F8" i="1"/>
  <c r="F9" i="1"/>
  <c r="F10" i="1"/>
  <c r="F11" i="1"/>
  <c r="F12" i="1"/>
  <c r="F13" i="1"/>
  <c r="D6" i="1"/>
  <c r="D9" i="1"/>
  <c r="D10" i="1"/>
  <c r="G10" i="1"/>
  <c r="D11" i="1"/>
  <c r="D12" i="1"/>
  <c r="G12" i="1" s="1"/>
  <c r="D13" i="1"/>
  <c r="D7" i="1"/>
  <c r="G7" i="1" s="1"/>
  <c r="D8" i="1"/>
  <c r="A7" i="1"/>
  <c r="K7" i="1" s="1"/>
  <c r="B7" i="1"/>
  <c r="E7" i="1" s="1"/>
  <c r="A8" i="1"/>
  <c r="B8" i="1"/>
  <c r="E8" i="1" s="1"/>
  <c r="A9" i="1"/>
  <c r="A10" i="1"/>
  <c r="A11" i="1"/>
  <c r="A12" i="1"/>
  <c r="A13" i="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L109" i="3" s="1"/>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L104" i="3" s="1"/>
  <c r="AZ104" i="3" s="1"/>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L96" i="3" s="1"/>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A91" i="3" s="1"/>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L87" i="3" s="1"/>
  <c r="BN87" i="3"/>
  <c r="BM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A82" i="3" s="1"/>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L80" i="3" s="1"/>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L75" i="3" s="1"/>
  <c r="BN75" i="3"/>
  <c r="BM75" i="3"/>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L72" i="3" s="1"/>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L68" i="3" s="1"/>
  <c r="AZ68" i="3" s="1"/>
  <c r="BN68" i="3"/>
  <c r="BM68" i="3"/>
  <c r="BK68" i="3"/>
  <c r="BJ68" i="3"/>
  <c r="BI68" i="3"/>
  <c r="BH68" i="3"/>
  <c r="BG68" i="3"/>
  <c r="BF68" i="3"/>
  <c r="BE68" i="3"/>
  <c r="BD68" i="3"/>
  <c r="BC68" i="3"/>
  <c r="BA68" i="3" s="1"/>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A65" i="3" s="1"/>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G64" i="3" s="1"/>
  <c r="BT63" i="3"/>
  <c r="BS63" i="3"/>
  <c r="BR63" i="3"/>
  <c r="BQ63" i="3"/>
  <c r="BP63" i="3"/>
  <c r="BO63" i="3"/>
  <c r="BN63" i="3"/>
  <c r="BM63" i="3"/>
  <c r="BK63" i="3"/>
  <c r="BJ63" i="3"/>
  <c r="BI63" i="3"/>
  <c r="BH63" i="3"/>
  <c r="BG63" i="3"/>
  <c r="BF63" i="3"/>
  <c r="BE63" i="3"/>
  <c r="BD63" i="3"/>
  <c r="BA63" i="3" s="1"/>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A58" i="3" s="1"/>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L55" i="3" s="1"/>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L50" i="3" s="1"/>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A46" i="3" s="1"/>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L43" i="3" s="1"/>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L40" i="3" s="1"/>
  <c r="AZ40" i="3" s="1"/>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G29" i="3" s="1"/>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G24" i="3" s="1"/>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A20" i="3" s="1"/>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A186" i="3" s="1"/>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A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A158" i="3" s="1"/>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L151" i="3" s="1"/>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L142" i="3" s="1"/>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L134" i="3" s="1"/>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A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s="1"/>
  <c r="BN122" i="3"/>
  <c r="BM122" i="3"/>
  <c r="BK122" i="3"/>
  <c r="BJ122" i="3"/>
  <c r="BI122" i="3"/>
  <c r="BH122" i="3"/>
  <c r="BG122" i="3"/>
  <c r="BF122" i="3"/>
  <c r="BE122" i="3"/>
  <c r="BD122" i="3"/>
  <c r="BC122" i="3"/>
  <c r="BA122" i="3" s="1"/>
  <c r="AZ122" i="3" s="1"/>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G286" i="3"/>
  <c r="BT285" i="3"/>
  <c r="BS285" i="3"/>
  <c r="BR285" i="3"/>
  <c r="BQ285" i="3"/>
  <c r="BP285" i="3"/>
  <c r="BO285" i="3"/>
  <c r="BN285" i="3"/>
  <c r="BM285" i="3"/>
  <c r="BL285" i="3"/>
  <c r="BK285" i="3"/>
  <c r="BJ285" i="3"/>
  <c r="BI285" i="3"/>
  <c r="BH285" i="3"/>
  <c r="BG285" i="3"/>
  <c r="BF285" i="3"/>
  <c r="BA285" i="3" s="1"/>
  <c r="BE285" i="3"/>
  <c r="BD285" i="3"/>
  <c r="BC285" i="3"/>
  <c r="BB285" i="3"/>
  <c r="AZ285" i="3"/>
  <c r="AX285" i="3"/>
  <c r="AW285" i="3"/>
  <c r="AV285" i="3"/>
  <c r="AC285" i="3"/>
  <c r="H285" i="3"/>
  <c r="G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L281" i="3" s="1"/>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L278" i="3" s="1"/>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A266" i="3" s="1"/>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BT248" i="3"/>
  <c r="BS248" i="3"/>
  <c r="BR248" i="3"/>
  <c r="BQ248" i="3"/>
  <c r="BP248" i="3"/>
  <c r="BL248" i="3" s="1"/>
  <c r="BO248" i="3"/>
  <c r="BN248" i="3"/>
  <c r="BM248" i="3"/>
  <c r="BK248" i="3"/>
  <c r="BJ248" i="3"/>
  <c r="BI248" i="3"/>
  <c r="BH248" i="3"/>
  <c r="BG248" i="3"/>
  <c r="BF248" i="3"/>
  <c r="BE248" i="3"/>
  <c r="BD248" i="3"/>
  <c r="BA248" i="3" s="1"/>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L233" i="3" s="1"/>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A230" i="3" s="1"/>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A223" i="3" s="1"/>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L491" i="3" s="1"/>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A488" i="3" s="1"/>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A478" i="3" s="1"/>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L468" i="3" s="1"/>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A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L438" i="3" s="1"/>
  <c r="BN438" i="3"/>
  <c r="BM438" i="3"/>
  <c r="BK438" i="3"/>
  <c r="BJ438" i="3"/>
  <c r="BI438" i="3"/>
  <c r="BH438" i="3"/>
  <c r="BG438" i="3"/>
  <c r="BF438" i="3"/>
  <c r="BE438" i="3"/>
  <c r="BD438" i="3"/>
  <c r="BC438" i="3"/>
  <c r="BA438" i="3" s="1"/>
  <c r="AZ438" i="3" s="1"/>
  <c r="BB438" i="3"/>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A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A428" i="3" s="1"/>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A411" i="3" s="1"/>
  <c r="AZ411" i="3" s="1"/>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L20" i="4"/>
  <c r="A5" i="62"/>
  <c r="B72" i="72"/>
  <c r="A4" i="62"/>
  <c r="B70" i="72" s="1"/>
  <c r="F33" i="9"/>
  <c r="B37" i="48"/>
  <c r="B2" i="72" s="1"/>
  <c r="B13" i="53"/>
  <c r="B29" i="72" s="1"/>
  <c r="R35" i="4"/>
  <c r="Q35" i="4"/>
  <c r="P35" i="4"/>
  <c r="O35" i="4"/>
  <c r="N35" i="4"/>
  <c r="M35" i="4"/>
  <c r="L35" i="4"/>
  <c r="K34" i="4"/>
  <c r="T34" i="4" s="1"/>
  <c r="I15" i="4"/>
  <c r="H15" i="4"/>
  <c r="G15" i="4"/>
  <c r="E15" i="4"/>
  <c r="D15" i="4"/>
  <c r="L21" i="4"/>
  <c r="F19" i="4"/>
  <c r="F2" i="52"/>
  <c r="B50" i="72" s="1"/>
  <c r="D2" i="52"/>
  <c r="B46" i="72"/>
  <c r="B8" i="53"/>
  <c r="B23" i="72" s="1"/>
  <c r="L4" i="9"/>
  <c r="B17" i="72"/>
  <c r="B15" i="72"/>
  <c r="A3" i="51"/>
  <c r="C8" i="11"/>
  <c r="B2" i="49"/>
  <c r="B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C7" i="12" s="1"/>
  <c r="C8" i="12" s="1"/>
  <c r="E21" i="6"/>
  <c r="K8" i="1"/>
  <c r="M8" i="1" s="1"/>
  <c r="F23" i="15"/>
  <c r="D24" i="15" s="1"/>
  <c r="O13" i="1"/>
  <c r="P13" i="1"/>
  <c r="E22" i="6"/>
  <c r="E23" i="6"/>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c r="D89" i="9"/>
  <c r="C89" i="9" s="1"/>
  <c r="C87" i="9" s="1"/>
  <c r="J55" i="9"/>
  <c r="B31" i="1"/>
  <c r="B52" i="1"/>
  <c r="M20" i="15" s="1"/>
  <c r="T4" i="1"/>
  <c r="F15" i="15"/>
  <c r="F17" i="15"/>
  <c r="F18" i="15"/>
  <c r="F20" i="15"/>
  <c r="F21" i="15"/>
  <c r="E59" i="9"/>
  <c r="N55" i="9"/>
  <c r="K55" i="9"/>
  <c r="F59" i="9"/>
  <c r="O55" i="9" s="1"/>
  <c r="N54" i="9"/>
  <c r="N53" i="9"/>
  <c r="E48" i="9"/>
  <c r="N52" i="9"/>
  <c r="F56" i="9"/>
  <c r="O54" i="9"/>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s="1"/>
  <c r="I55" i="34"/>
  <c r="J55" i="34"/>
  <c r="G55" i="34"/>
  <c r="H55" i="34"/>
  <c r="E55" i="34"/>
  <c r="F55" i="34" s="1"/>
  <c r="I48" i="40"/>
  <c r="J48" i="40"/>
  <c r="G48" i="40"/>
  <c r="H48" i="40"/>
  <c r="E48" i="40"/>
  <c r="F48" i="40" s="1"/>
  <c r="I53" i="39"/>
  <c r="J53" i="39"/>
  <c r="G53" i="39"/>
  <c r="H53" i="39"/>
  <c r="E53" i="39"/>
  <c r="F53" i="39" s="1"/>
  <c r="I42" i="36"/>
  <c r="J42" i="36"/>
  <c r="G42" i="36"/>
  <c r="H42" i="36"/>
  <c r="E42" i="36"/>
  <c r="F42" i="36" s="1"/>
  <c r="I44" i="35"/>
  <c r="J44" i="35"/>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K5" i="3" s="1"/>
  <c r="BM496" i="3"/>
  <c r="BN496" i="3"/>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L497" i="3" s="1"/>
  <c r="BR497" i="3"/>
  <c r="BS497" i="3"/>
  <c r="BT497" i="3"/>
  <c r="H498" i="3"/>
  <c r="AC498" i="3"/>
  <c r="BB498" i="3"/>
  <c r="BA498" i="3" s="1"/>
  <c r="AZ498" i="3" s="1"/>
  <c r="BC498" i="3"/>
  <c r="BD498" i="3"/>
  <c r="BE498" i="3"/>
  <c r="BF498" i="3"/>
  <c r="BG498" i="3"/>
  <c r="BH498" i="3"/>
  <c r="BI498" i="3"/>
  <c r="BJ498" i="3"/>
  <c r="BK498" i="3"/>
  <c r="BM498" i="3"/>
  <c r="BN498" i="3"/>
  <c r="BO498" i="3"/>
  <c r="BL498" i="3" s="1"/>
  <c r="BP498" i="3"/>
  <c r="BQ498" i="3"/>
  <c r="BR498" i="3"/>
  <c r="BS498" i="3"/>
  <c r="BT498" i="3"/>
  <c r="H499" i="3"/>
  <c r="G499" i="3" s="1"/>
  <c r="AC499" i="3"/>
  <c r="BB499" i="3"/>
  <c r="BC499" i="3"/>
  <c r="BD499" i="3"/>
  <c r="BE499" i="3"/>
  <c r="BF499" i="3"/>
  <c r="BA499" i="3" s="1"/>
  <c r="BG499" i="3"/>
  <c r="BH499" i="3"/>
  <c r="BI499" i="3"/>
  <c r="BJ499" i="3"/>
  <c r="BK499" i="3"/>
  <c r="BM499" i="3"/>
  <c r="BL499" i="3" s="1"/>
  <c r="BN499" i="3"/>
  <c r="BO499" i="3"/>
  <c r="BP499" i="3"/>
  <c r="BR499" i="3"/>
  <c r="BS499" i="3"/>
  <c r="BT499" i="3"/>
  <c r="H500" i="3"/>
  <c r="AC500" i="3"/>
  <c r="BB500" i="3"/>
  <c r="BC500" i="3"/>
  <c r="BD500" i="3"/>
  <c r="BE500" i="3"/>
  <c r="BA500" i="3" s="1"/>
  <c r="BF500" i="3"/>
  <c r="BG500" i="3"/>
  <c r="BH500" i="3"/>
  <c r="BI500" i="3"/>
  <c r="BJ500" i="3"/>
  <c r="BK500" i="3"/>
  <c r="BM500" i="3"/>
  <c r="BN500" i="3"/>
  <c r="BO500" i="3"/>
  <c r="BP500" i="3"/>
  <c r="BQ500" i="3"/>
  <c r="BR500" i="3"/>
  <c r="BL500" i="3" s="1"/>
  <c r="BS500" i="3"/>
  <c r="BT500" i="3"/>
  <c r="H501" i="3"/>
  <c r="AC501" i="3"/>
  <c r="BB501" i="3"/>
  <c r="BC501" i="3"/>
  <c r="BA501" i="3" s="1"/>
  <c r="AZ501" i="3" s="1"/>
  <c r="BD501" i="3"/>
  <c r="BE501" i="3"/>
  <c r="BF501" i="3"/>
  <c r="BG501" i="3"/>
  <c r="BH501" i="3"/>
  <c r="BI501" i="3"/>
  <c r="BJ501" i="3"/>
  <c r="BK501" i="3"/>
  <c r="BM501" i="3"/>
  <c r="BN501" i="3"/>
  <c r="BO501" i="3"/>
  <c r="BP501" i="3"/>
  <c r="BL501" i="3" s="1"/>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G503" i="3" s="1"/>
  <c r="AC503" i="3"/>
  <c r="BB503" i="3"/>
  <c r="BC503" i="3"/>
  <c r="BD503" i="3"/>
  <c r="BE503" i="3"/>
  <c r="BF503" i="3"/>
  <c r="BA503" i="3" s="1"/>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L504" i="3" s="1"/>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G507" i="3" s="1"/>
  <c r="AC507" i="3"/>
  <c r="BB507" i="3"/>
  <c r="BC507" i="3"/>
  <c r="BD507" i="3"/>
  <c r="BE507" i="3"/>
  <c r="BF507" i="3"/>
  <c r="BA507" i="3" s="1"/>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L508" i="3" s="1"/>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A512" i="3" s="1"/>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L513" i="3" s="1"/>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G515" i="3" s="1"/>
  <c r="BB515" i="3"/>
  <c r="BC515" i="3"/>
  <c r="BD515" i="3"/>
  <c r="BE515" i="3"/>
  <c r="BF515" i="3"/>
  <c r="BG515" i="3"/>
  <c r="BA515" i="3" s="1"/>
  <c r="BH515" i="3"/>
  <c r="BI515" i="3"/>
  <c r="BJ515" i="3"/>
  <c r="BK515" i="3"/>
  <c r="BM515" i="3"/>
  <c r="BN515" i="3"/>
  <c r="BL515" i="3" s="1"/>
  <c r="BO515" i="3"/>
  <c r="BP515" i="3"/>
  <c r="BR515" i="3"/>
  <c r="BS515" i="3"/>
  <c r="BT515" i="3"/>
  <c r="H516" i="3"/>
  <c r="G516" i="3" s="1"/>
  <c r="AC516" i="3"/>
  <c r="BB516" i="3"/>
  <c r="BC516" i="3"/>
  <c r="BD516" i="3"/>
  <c r="BE516" i="3"/>
  <c r="BF516" i="3"/>
  <c r="BA516" i="3" s="1"/>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L517" i="3" s="1"/>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G519" i="3" s="1"/>
  <c r="BB519" i="3"/>
  <c r="BC519" i="3"/>
  <c r="BD519" i="3"/>
  <c r="BE519" i="3"/>
  <c r="BF519" i="3"/>
  <c r="BG519" i="3"/>
  <c r="BA519" i="3" s="1"/>
  <c r="BH519" i="3"/>
  <c r="BI519" i="3"/>
  <c r="BJ519" i="3"/>
  <c r="BK519" i="3"/>
  <c r="BM519" i="3"/>
  <c r="BN519" i="3"/>
  <c r="BL519" i="3" s="1"/>
  <c r="BO519" i="3"/>
  <c r="BP519" i="3"/>
  <c r="BR519" i="3"/>
  <c r="BS519" i="3"/>
  <c r="BT519" i="3"/>
  <c r="H520" i="3"/>
  <c r="G520" i="3" s="1"/>
  <c r="AC520" i="3"/>
  <c r="BB520" i="3"/>
  <c r="BC520" i="3"/>
  <c r="BD520" i="3"/>
  <c r="BE520" i="3"/>
  <c r="BF520" i="3"/>
  <c r="BA520" i="3" s="1"/>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s="1"/>
  <c r="BT521" i="3"/>
  <c r="H522" i="3"/>
  <c r="AC522" i="3"/>
  <c r="BB522" i="3"/>
  <c r="BC522" i="3"/>
  <c r="BD522" i="3"/>
  <c r="BE522" i="3"/>
  <c r="BF522" i="3"/>
  <c r="BG522" i="3"/>
  <c r="BH522" i="3"/>
  <c r="BI522" i="3"/>
  <c r="BJ522" i="3"/>
  <c r="BK522" i="3"/>
  <c r="BM522" i="3"/>
  <c r="BN522" i="3"/>
  <c r="BO522" i="3"/>
  <c r="BP522" i="3"/>
  <c r="BQ522" i="3"/>
  <c r="BL522" i="3" s="1"/>
  <c r="BR522" i="3"/>
  <c r="BS522" i="3"/>
  <c r="BT522" i="3"/>
  <c r="H523" i="3"/>
  <c r="AC523" i="3"/>
  <c r="BB523" i="3"/>
  <c r="BA523" i="3" s="1"/>
  <c r="AZ523" i="3" s="1"/>
  <c r="BC523" i="3"/>
  <c r="BD523" i="3"/>
  <c r="BE523" i="3"/>
  <c r="BF523" i="3"/>
  <c r="BG523" i="3"/>
  <c r="BH523" i="3"/>
  <c r="BI523" i="3"/>
  <c r="BJ523" i="3"/>
  <c r="BK523" i="3"/>
  <c r="BM523" i="3"/>
  <c r="BN523" i="3"/>
  <c r="BO523" i="3"/>
  <c r="BL523" i="3" s="1"/>
  <c r="BP523" i="3"/>
  <c r="BR523" i="3"/>
  <c r="BS523" i="3"/>
  <c r="BT523" i="3"/>
  <c r="H524" i="3"/>
  <c r="AC524" i="3"/>
  <c r="G524" i="3" s="1"/>
  <c r="BB524" i="3"/>
  <c r="BC524" i="3"/>
  <c r="BD524" i="3"/>
  <c r="BE524" i="3"/>
  <c r="BF524" i="3"/>
  <c r="BG524" i="3"/>
  <c r="BA524" i="3" s="1"/>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L525" i="3" s="1"/>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A550" i="3" s="1"/>
  <c r="AZ550" i="3" s="1"/>
  <c r="BI550" i="3"/>
  <c r="BJ550" i="3"/>
  <c r="BK550" i="3"/>
  <c r="BM550" i="3"/>
  <c r="BN550" i="3"/>
  <c r="BO550" i="3"/>
  <c r="BL550" i="3" s="1"/>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L562" i="3" s="1"/>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c r="C26" i="35"/>
  <c r="C79" i="35" s="1"/>
  <c r="H26" i="35" s="1"/>
  <c r="W31" i="35"/>
  <c r="D87" i="35"/>
  <c r="E87" i="35"/>
  <c r="F87" i="35"/>
  <c r="G87" i="35" s="1"/>
  <c r="H87" i="35" s="1"/>
  <c r="I87" i="35"/>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c r="D112" i="34"/>
  <c r="E112" i="34" s="1"/>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J39" i="40"/>
  <c r="B116" i="40"/>
  <c r="H38" i="40" s="1"/>
  <c r="AB38" i="40" s="1"/>
  <c r="D115" i="40"/>
  <c r="E115" i="40"/>
  <c r="F115" i="40"/>
  <c r="G115" i="40" s="1"/>
  <c r="H115" i="40" s="1"/>
  <c r="I115" i="40"/>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c r="H100" i="40" s="1"/>
  <c r="I100" i="40" s="1"/>
  <c r="J100" i="40" s="1"/>
  <c r="K100" i="40" s="1"/>
  <c r="L100" i="40" s="1"/>
  <c r="M100" i="40" s="1"/>
  <c r="D98" i="40"/>
  <c r="J28" i="40"/>
  <c r="AC28" i="40"/>
  <c r="D96" i="40"/>
  <c r="E96" i="40"/>
  <c r="F96" i="40"/>
  <c r="G96" i="40" s="1"/>
  <c r="H96" i="40" s="1"/>
  <c r="I96" i="40"/>
  <c r="J96" i="40" s="1"/>
  <c r="K96" i="40" s="1"/>
  <c r="L96" i="40" s="1"/>
  <c r="M96" i="40" s="1"/>
  <c r="B95" i="40"/>
  <c r="D92" i="40"/>
  <c r="E92" i="40" s="1"/>
  <c r="F92" i="40" s="1"/>
  <c r="G92" i="40" s="1"/>
  <c r="D90" i="40"/>
  <c r="E90" i="40" s="1"/>
  <c r="F90" i="40"/>
  <c r="G90" i="40" s="1"/>
  <c r="D88" i="40"/>
  <c r="E88" i="40"/>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c r="Q38" i="40"/>
  <c r="Z38" i="40" s="1"/>
  <c r="Q37" i="40"/>
  <c r="Z37" i="40" s="1"/>
  <c r="Q36" i="40"/>
  <c r="Z36" i="40"/>
  <c r="Q35" i="40"/>
  <c r="Z35" i="40"/>
  <c r="Q34" i="40"/>
  <c r="Z34" i="40" s="1"/>
  <c r="J34" i="40"/>
  <c r="AC34" i="40"/>
  <c r="H34" i="40"/>
  <c r="AB34" i="40"/>
  <c r="F34" i="40"/>
  <c r="AA34" i="40" s="1"/>
  <c r="Q33" i="40"/>
  <c r="Z33" i="40"/>
  <c r="Q32" i="40"/>
  <c r="Z32" i="40"/>
  <c r="Q31" i="40"/>
  <c r="Z31" i="40" s="1"/>
  <c r="Q30" i="40"/>
  <c r="Z30" i="40"/>
  <c r="Q28" i="40"/>
  <c r="Z28" i="40"/>
  <c r="Q27" i="40"/>
  <c r="Z27" i="40" s="1"/>
  <c r="Q23" i="40"/>
  <c r="Z23" i="40"/>
  <c r="Q21" i="40"/>
  <c r="Z21" i="40"/>
  <c r="Q19" i="40"/>
  <c r="Z19" i="40" s="1"/>
  <c r="Q17" i="40"/>
  <c r="Z17" i="40"/>
  <c r="Q15" i="40"/>
  <c r="Z15" i="40"/>
  <c r="Q14" i="40"/>
  <c r="Z14" i="40" s="1"/>
  <c r="Q13" i="40"/>
  <c r="Z13" i="40"/>
  <c r="Q12" i="40"/>
  <c r="Z12" i="40"/>
  <c r="Q11" i="40"/>
  <c r="Z11" i="40" s="1"/>
  <c r="Q10" i="40"/>
  <c r="Z10" i="40"/>
  <c r="Q9" i="40"/>
  <c r="Z9" i="40"/>
  <c r="J9" i="40"/>
  <c r="H9" i="40"/>
  <c r="AB9" i="40"/>
  <c r="F9" i="40"/>
  <c r="S9" i="40"/>
  <c r="J8" i="40"/>
  <c r="AC8" i="40" s="1"/>
  <c r="H8" i="40"/>
  <c r="AB8" i="40"/>
  <c r="F8" i="40"/>
  <c r="AA8" i="40"/>
  <c r="J38" i="39"/>
  <c r="W38" i="39" s="1"/>
  <c r="H38" i="39"/>
  <c r="AB38" i="39"/>
  <c r="F38" i="39"/>
  <c r="AA38" i="39"/>
  <c r="D124" i="39"/>
  <c r="E124" i="39" s="1"/>
  <c r="F124" i="39" s="1"/>
  <c r="G124" i="39" s="1"/>
  <c r="H124" i="39" s="1"/>
  <c r="I124" i="39" s="1"/>
  <c r="J124" i="39" s="1"/>
  <c r="K124" i="39" s="1"/>
  <c r="L124" i="39" s="1"/>
  <c r="M124" i="39" s="1"/>
  <c r="D120" i="39"/>
  <c r="E120" i="39"/>
  <c r="F120" i="39"/>
  <c r="G120" i="39" s="1"/>
  <c r="H120" i="39" s="1"/>
  <c r="I120" i="39" s="1"/>
  <c r="J120" i="39" s="1"/>
  <c r="K120" i="39" s="1"/>
  <c r="L120" i="39" s="1"/>
  <c r="M120" i="39" s="1"/>
  <c r="B114" i="39"/>
  <c r="J37" i="39"/>
  <c r="D109" i="39"/>
  <c r="F34" i="39"/>
  <c r="AA34" i="39"/>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c r="Q41" i="39"/>
  <c r="Z41" i="39"/>
  <c r="Q42" i="39"/>
  <c r="Z42" i="39" s="1"/>
  <c r="Q43" i="39"/>
  <c r="Z43" i="39"/>
  <c r="Q44" i="39"/>
  <c r="Z44" i="39"/>
  <c r="Q45" i="39"/>
  <c r="Z45" i="39" s="1"/>
  <c r="Q38" i="39"/>
  <c r="Z38" i="39"/>
  <c r="Q36" i="39"/>
  <c r="Z36" i="39"/>
  <c r="Q37" i="39"/>
  <c r="Z37" i="39" s="1"/>
  <c r="B131" i="39"/>
  <c r="H45" i="39"/>
  <c r="B129" i="39"/>
  <c r="H44" i="39"/>
  <c r="B127" i="39"/>
  <c r="J43" i="39" s="1"/>
  <c r="D126" i="39"/>
  <c r="E126" i="39"/>
  <c r="F126" i="39" s="1"/>
  <c r="G126" i="39" s="1"/>
  <c r="H126" i="39"/>
  <c r="I126" i="39" s="1"/>
  <c r="J126" i="39" s="1"/>
  <c r="K126" i="39" s="1"/>
  <c r="L126" i="39" s="1"/>
  <c r="M126" i="39" s="1"/>
  <c r="D122" i="39"/>
  <c r="E122" i="39" s="1"/>
  <c r="F122" i="39" s="1"/>
  <c r="G122" i="39"/>
  <c r="H122" i="39" s="1"/>
  <c r="I122" i="39" s="1"/>
  <c r="J122" i="39" s="1"/>
  <c r="K122" i="39" s="1"/>
  <c r="L122" i="39" s="1"/>
  <c r="M122" i="39" s="1"/>
  <c r="B104" i="39"/>
  <c r="D97" i="39"/>
  <c r="J23" i="39"/>
  <c r="AC23" i="39"/>
  <c r="D95" i="39"/>
  <c r="E95" i="39"/>
  <c r="F95" i="39"/>
  <c r="D93" i="39"/>
  <c r="E93" i="39"/>
  <c r="F93" i="39"/>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F40" i="39"/>
  <c r="AA40" i="39"/>
  <c r="Q35" i="39"/>
  <c r="Z35" i="39"/>
  <c r="Q34" i="39"/>
  <c r="Z34" i="39" s="1"/>
  <c r="Q32" i="39"/>
  <c r="Z32" i="39"/>
  <c r="Q31" i="39"/>
  <c r="Z31" i="39"/>
  <c r="Q27" i="39"/>
  <c r="Z27" i="39" s="1"/>
  <c r="Q25" i="39"/>
  <c r="Z25" i="39"/>
  <c r="Q23" i="39"/>
  <c r="Z23" i="39"/>
  <c r="Q21" i="39"/>
  <c r="Z21" i="39" s="1"/>
  <c r="Q19" i="39"/>
  <c r="Z19" i="39"/>
  <c r="Q17" i="39"/>
  <c r="Z17" i="39"/>
  <c r="Q15" i="39"/>
  <c r="Z15" i="39" s="1"/>
  <c r="Q14" i="39"/>
  <c r="Z14" i="39"/>
  <c r="Q13" i="39"/>
  <c r="Z13" i="39"/>
  <c r="Q12" i="39"/>
  <c r="Z12" i="39" s="1"/>
  <c r="Q11" i="39"/>
  <c r="Z11" i="39"/>
  <c r="Q10" i="39"/>
  <c r="Z10" i="39"/>
  <c r="Q9" i="39"/>
  <c r="Z9" i="39" s="1"/>
  <c r="J9" i="39"/>
  <c r="AC9" i="39"/>
  <c r="H9" i="39"/>
  <c r="AB9" i="39"/>
  <c r="F9" i="39"/>
  <c r="AA9" i="39" s="1"/>
  <c r="J8" i="39"/>
  <c r="AC8" i="39" s="1"/>
  <c r="H8" i="39"/>
  <c r="U8" i="39"/>
  <c r="F8" i="39"/>
  <c r="AA8" i="39" s="1"/>
  <c r="C20" i="36"/>
  <c r="C20" i="35"/>
  <c r="C16" i="36"/>
  <c r="C16" i="35"/>
  <c r="C14" i="36"/>
  <c r="C14" i="35"/>
  <c r="B80" i="37"/>
  <c r="J25" i="37" s="1"/>
  <c r="H25" i="37"/>
  <c r="U25" i="37" s="1"/>
  <c r="B110" i="37"/>
  <c r="J39" i="37"/>
  <c r="AC39" i="37" s="1"/>
  <c r="B108" i="37"/>
  <c r="C23" i="37"/>
  <c r="C19" i="37"/>
  <c r="C17" i="37"/>
  <c r="C15" i="37"/>
  <c r="B112" i="37"/>
  <c r="D107" i="37"/>
  <c r="E107" i="37" s="1"/>
  <c r="F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s="1"/>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s="1"/>
  <c r="Q31" i="37"/>
  <c r="Z31" i="37"/>
  <c r="J31" i="37"/>
  <c r="AC31" i="37" s="1"/>
  <c r="Q30" i="37"/>
  <c r="Z30" i="37"/>
  <c r="J30" i="37"/>
  <c r="AC30" i="37"/>
  <c r="H30" i="37"/>
  <c r="F30" i="37"/>
  <c r="AA30" i="37" s="1"/>
  <c r="Q29" i="37"/>
  <c r="Z29" i="37"/>
  <c r="H29" i="37"/>
  <c r="AB29" i="37" s="1"/>
  <c r="Q28" i="37"/>
  <c r="Z28" i="37" s="1"/>
  <c r="Q27" i="37"/>
  <c r="Z27" i="37"/>
  <c r="Q26" i="37"/>
  <c r="Z26" i="37" s="1"/>
  <c r="J26" i="37"/>
  <c r="AC26" i="37"/>
  <c r="AB26" i="37"/>
  <c r="F26" i="37"/>
  <c r="AA26" i="37" s="1"/>
  <c r="Q25" i="37"/>
  <c r="Z25" i="37" s="1"/>
  <c r="AC25" i="37"/>
  <c r="F25" i="37"/>
  <c r="AA25" i="37" s="1"/>
  <c r="Q23" i="37"/>
  <c r="Z23" i="37" s="1"/>
  <c r="Q19" i="37"/>
  <c r="Z19" i="37"/>
  <c r="Q17" i="37"/>
  <c r="Z17" i="37" s="1"/>
  <c r="Q15" i="37"/>
  <c r="Z15" i="37" s="1"/>
  <c r="Q14" i="37"/>
  <c r="Z14" i="37"/>
  <c r="Q13" i="37"/>
  <c r="Z13" i="37" s="1"/>
  <c r="Q12" i="37"/>
  <c r="Z12" i="37"/>
  <c r="Q11" i="37"/>
  <c r="Z11" i="37"/>
  <c r="Q10" i="37"/>
  <c r="Z10" i="37" s="1"/>
  <c r="F10" i="37"/>
  <c r="AA10" i="37"/>
  <c r="Q9" i="37"/>
  <c r="Z9" i="37"/>
  <c r="J8" i="37"/>
  <c r="W8" i="37" s="1"/>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c r="F79" i="36"/>
  <c r="E79" i="36"/>
  <c r="D79" i="36"/>
  <c r="C79" i="36"/>
  <c r="B93" i="36"/>
  <c r="H33" i="36"/>
  <c r="B91" i="36"/>
  <c r="F32" i="36"/>
  <c r="B95" i="36"/>
  <c r="H34" i="36" s="1"/>
  <c r="D83" i="36"/>
  <c r="E83" i="36"/>
  <c r="F83" i="36" s="1"/>
  <c r="G83" i="36"/>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F23" i="36" s="1"/>
  <c r="AA23" i="36" s="1"/>
  <c r="D70" i="36"/>
  <c r="H22" i="36"/>
  <c r="AB22" i="36"/>
  <c r="D68" i="36"/>
  <c r="E68" i="36" s="1"/>
  <c r="F68" i="36" s="1"/>
  <c r="G68" i="36" s="1"/>
  <c r="D64" i="36"/>
  <c r="E64" i="36"/>
  <c r="F64" i="36"/>
  <c r="G64" i="36" s="1"/>
  <c r="J16" i="36"/>
  <c r="W16" i="36" s="1"/>
  <c r="D62" i="36"/>
  <c r="E62" i="36"/>
  <c r="F62" i="36"/>
  <c r="G62" i="36" s="1"/>
  <c r="B59" i="36"/>
  <c r="J13" i="36" s="1"/>
  <c r="B57" i="36"/>
  <c r="J12" i="36" s="1"/>
  <c r="B55" i="36"/>
  <c r="F54" i="36"/>
  <c r="G54" i="36" s="1"/>
  <c r="H54" i="36" s="1"/>
  <c r="I54" i="36" s="1"/>
  <c r="C51" i="36"/>
  <c r="P37" i="36"/>
  <c r="P36" i="36"/>
  <c r="V35" i="36"/>
  <c r="T35" i="36"/>
  <c r="R35" i="36"/>
  <c r="P35" i="36"/>
  <c r="Q34" i="36"/>
  <c r="Z34" i="36" s="1"/>
  <c r="Q33" i="36"/>
  <c r="Z33" i="36"/>
  <c r="Q32" i="36"/>
  <c r="Z32" i="36" s="1"/>
  <c r="Q31" i="36"/>
  <c r="Z31" i="36" s="1"/>
  <c r="Q30" i="36"/>
  <c r="Z30" i="36"/>
  <c r="Q29" i="36"/>
  <c r="Z29" i="36"/>
  <c r="Q28" i="36"/>
  <c r="Z28" i="36" s="1"/>
  <c r="J28" i="36"/>
  <c r="AC28" i="36"/>
  <c r="Q27" i="36"/>
  <c r="Z27" i="36"/>
  <c r="Q26" i="36"/>
  <c r="Z26" i="36" s="1"/>
  <c r="H26" i="36"/>
  <c r="AB26" i="36" s="1"/>
  <c r="Q25" i="36"/>
  <c r="Z25" i="36"/>
  <c r="Q24" i="36"/>
  <c r="Z24" i="36" s="1"/>
  <c r="H24" i="36"/>
  <c r="AB24" i="36" s="1"/>
  <c r="Q23" i="36"/>
  <c r="Z23" i="36"/>
  <c r="Q22" i="36"/>
  <c r="Z22" i="36" s="1"/>
  <c r="J22" i="36"/>
  <c r="AC22" i="36" s="1"/>
  <c r="Q20" i="36"/>
  <c r="Z20" i="36"/>
  <c r="Q16" i="36"/>
  <c r="Z16" i="36" s="1"/>
  <c r="Q14" i="36"/>
  <c r="Z14" i="36"/>
  <c r="Q13" i="36"/>
  <c r="Z13" i="36"/>
  <c r="Q12" i="36"/>
  <c r="Z12" i="36" s="1"/>
  <c r="H12" i="36"/>
  <c r="U12" i="36" s="1"/>
  <c r="Q11" i="36"/>
  <c r="Z11" i="36"/>
  <c r="Q10" i="36"/>
  <c r="Z10" i="36"/>
  <c r="F10" i="36"/>
  <c r="AA10" i="36" s="1"/>
  <c r="Q9" i="36"/>
  <c r="Z9" i="36"/>
  <c r="J9" i="36"/>
  <c r="AC9" i="36"/>
  <c r="H9" i="36"/>
  <c r="AB9" i="36" s="1"/>
  <c r="F9" i="36"/>
  <c r="AA9" i="36"/>
  <c r="J8" i="36"/>
  <c r="AC8" i="36"/>
  <c r="H8" i="36"/>
  <c r="U8" i="36" s="1"/>
  <c r="F8" i="36"/>
  <c r="AA8" i="36"/>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c r="B99" i="35"/>
  <c r="B77" i="35"/>
  <c r="B75" i="35"/>
  <c r="J24" i="35"/>
  <c r="AC24" i="35"/>
  <c r="B73" i="35"/>
  <c r="H23" i="35" s="1"/>
  <c r="B57" i="35"/>
  <c r="B61" i="35"/>
  <c r="B59" i="35"/>
  <c r="B131" i="34"/>
  <c r="B129" i="34"/>
  <c r="B127" i="34"/>
  <c r="B99" i="34"/>
  <c r="B97" i="34"/>
  <c r="B95" i="34"/>
  <c r="B93" i="34"/>
  <c r="B75" i="34"/>
  <c r="B73" i="34"/>
  <c r="B71" i="34"/>
  <c r="B130" i="33"/>
  <c r="B128" i="33"/>
  <c r="F45" i="33" s="1"/>
  <c r="B126" i="33"/>
  <c r="B98" i="33"/>
  <c r="B96" i="33"/>
  <c r="B94" i="33"/>
  <c r="B74" i="33"/>
  <c r="B72" i="33"/>
  <c r="B70" i="33"/>
  <c r="J12" i="33" s="1"/>
  <c r="D96" i="35"/>
  <c r="E96" i="35" s="1"/>
  <c r="F96" i="35" s="1"/>
  <c r="G96" i="35"/>
  <c r="D94" i="35"/>
  <c r="E94" i="35" s="1"/>
  <c r="F94" i="35" s="1"/>
  <c r="G94" i="35" s="1"/>
  <c r="H94" i="35" s="1"/>
  <c r="I94" i="35"/>
  <c r="J94" i="35" s="1"/>
  <c r="K94" i="35" s="1"/>
  <c r="L94" i="35" s="1"/>
  <c r="M94" i="35" s="1"/>
  <c r="D84" i="35"/>
  <c r="E84" i="35"/>
  <c r="F84" i="35" s="1"/>
  <c r="G84" i="35" s="1"/>
  <c r="H84" i="35" s="1"/>
  <c r="I84" i="35" s="1"/>
  <c r="J84" i="35" s="1"/>
  <c r="K84" i="35"/>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F56" i="35"/>
  <c r="G56" i="35" s="1"/>
  <c r="H56" i="35" s="1"/>
  <c r="I56" i="35" s="1"/>
  <c r="C53" i="35"/>
  <c r="J9" i="35"/>
  <c r="P39" i="35"/>
  <c r="P38" i="35"/>
  <c r="P37" i="35"/>
  <c r="Q36" i="35"/>
  <c r="Z36" i="35" s="1"/>
  <c r="J36" i="35"/>
  <c r="AC36" i="35"/>
  <c r="Q35" i="35"/>
  <c r="Z35" i="35" s="1"/>
  <c r="Q34" i="35"/>
  <c r="Z34" i="35" s="1"/>
  <c r="Q33" i="35"/>
  <c r="Z33" i="35"/>
  <c r="Q32" i="35"/>
  <c r="Z32" i="35" s="1"/>
  <c r="H32" i="35"/>
  <c r="AB32" i="35" s="1"/>
  <c r="F32" i="35"/>
  <c r="AA32" i="35"/>
  <c r="Q31" i="35"/>
  <c r="Z31" i="35" s="1"/>
  <c r="Q30" i="35"/>
  <c r="Z30" i="35" s="1"/>
  <c r="Q29" i="35"/>
  <c r="Z29" i="35"/>
  <c r="Q28" i="35"/>
  <c r="Z28" i="35" s="1"/>
  <c r="J28" i="35"/>
  <c r="AC28" i="35" s="1"/>
  <c r="H28" i="35"/>
  <c r="AB28" i="35"/>
  <c r="F28" i="35"/>
  <c r="AA28" i="35" s="1"/>
  <c r="Q27" i="35"/>
  <c r="Z27" i="35" s="1"/>
  <c r="Q26" i="35"/>
  <c r="Z26" i="35"/>
  <c r="Q25" i="35"/>
  <c r="Z25" i="35" s="1"/>
  <c r="Q24" i="35"/>
  <c r="Z24" i="35" s="1"/>
  <c r="Q23" i="35"/>
  <c r="Z23" i="35"/>
  <c r="J23" i="35"/>
  <c r="AC23" i="35" s="1"/>
  <c r="Q22" i="35"/>
  <c r="Z22" i="35" s="1"/>
  <c r="Q20" i="35"/>
  <c r="Z20" i="35"/>
  <c r="Q16" i="35"/>
  <c r="Z16" i="35" s="1"/>
  <c r="Q14" i="35"/>
  <c r="Z14" i="35" s="1"/>
  <c r="Q13" i="35"/>
  <c r="Z13" i="35"/>
  <c r="Q12" i="35"/>
  <c r="Z12" i="35" s="1"/>
  <c r="Q11" i="35"/>
  <c r="Z11" i="35" s="1"/>
  <c r="Q10" i="35"/>
  <c r="Z10" i="35"/>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D118" i="34"/>
  <c r="E118" i="34" s="1"/>
  <c r="F118" i="34" s="1"/>
  <c r="G118" i="34" s="1"/>
  <c r="D116" i="34"/>
  <c r="E116" i="34"/>
  <c r="F116" i="34"/>
  <c r="G116" i="34" s="1"/>
  <c r="H116" i="34" s="1"/>
  <c r="I116" i="34" s="1"/>
  <c r="J116" i="34" s="1"/>
  <c r="K116" i="34" s="1"/>
  <c r="L116" i="34"/>
  <c r="M116" i="34" s="1"/>
  <c r="F110" i="34"/>
  <c r="E110" i="34"/>
  <c r="D110" i="34"/>
  <c r="C110" i="34"/>
  <c r="D109" i="34"/>
  <c r="E109" i="34" s="1"/>
  <c r="F109" i="34" s="1"/>
  <c r="G109" i="34" s="1"/>
  <c r="H109" i="34" s="1"/>
  <c r="I109" i="34" s="1"/>
  <c r="J109" i="34"/>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c r="D92" i="34"/>
  <c r="E92" i="34" s="1"/>
  <c r="F92" i="34" s="1"/>
  <c r="G92" i="34" s="1"/>
  <c r="H92" i="34" s="1"/>
  <c r="I92" i="34" s="1"/>
  <c r="J92" i="34" s="1"/>
  <c r="K92" i="34" s="1"/>
  <c r="L92" i="34" s="1"/>
  <c r="M92" i="34" s="1"/>
  <c r="B91" i="34"/>
  <c r="B89" i="34"/>
  <c r="D88" i="34"/>
  <c r="E88" i="34"/>
  <c r="F88" i="34" s="1"/>
  <c r="G88" i="34" s="1"/>
  <c r="H88" i="34"/>
  <c r="I88" i="34" s="1"/>
  <c r="J88" i="34" s="1"/>
  <c r="K88" i="34" s="1"/>
  <c r="L88" i="34" s="1"/>
  <c r="M88" i="34" s="1"/>
  <c r="D86" i="34"/>
  <c r="D82" i="34"/>
  <c r="E82" i="34"/>
  <c r="F82" i="34"/>
  <c r="G82" i="34" s="1"/>
  <c r="D80" i="34"/>
  <c r="E80" i="34"/>
  <c r="F80" i="34" s="1"/>
  <c r="G80" i="34" s="1"/>
  <c r="D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Q43" i="34"/>
  <c r="Z43" i="34"/>
  <c r="Q42" i="34"/>
  <c r="Z42" i="34"/>
  <c r="Q41" i="34"/>
  <c r="Z41" i="34" s="1"/>
  <c r="Q40" i="34"/>
  <c r="Z40" i="34"/>
  <c r="Q39" i="34"/>
  <c r="Z39" i="34"/>
  <c r="H39" i="34"/>
  <c r="AB39" i="34" s="1"/>
  <c r="Q38" i="34"/>
  <c r="Z38" i="34"/>
  <c r="Q37" i="34"/>
  <c r="Z37" i="34"/>
  <c r="Q36" i="34"/>
  <c r="Z36" i="34" s="1"/>
  <c r="Q35" i="34"/>
  <c r="Z35" i="34"/>
  <c r="Q34" i="34"/>
  <c r="Z34" i="34"/>
  <c r="J34" i="34"/>
  <c r="AC34" i="34" s="1"/>
  <c r="H34" i="34"/>
  <c r="AB34" i="34"/>
  <c r="F34" i="34"/>
  <c r="AA34" i="34"/>
  <c r="Q33" i="34"/>
  <c r="Z33" i="34" s="1"/>
  <c r="Q32" i="34"/>
  <c r="Z32" i="34"/>
  <c r="Q31" i="34"/>
  <c r="Z31" i="34"/>
  <c r="Q30" i="34"/>
  <c r="Z30" i="34" s="1"/>
  <c r="Q29" i="34"/>
  <c r="Z29" i="34"/>
  <c r="Q28" i="34"/>
  <c r="Z28" i="34"/>
  <c r="Q27" i="34"/>
  <c r="Z27" i="34" s="1"/>
  <c r="Q25" i="34"/>
  <c r="Z25" i="34"/>
  <c r="Q23" i="34"/>
  <c r="Z23" i="34"/>
  <c r="C23" i="34"/>
  <c r="Q19" i="34"/>
  <c r="Z19" i="34" s="1"/>
  <c r="C19" i="34"/>
  <c r="Q17" i="34"/>
  <c r="Z17" i="34"/>
  <c r="C17" i="34"/>
  <c r="Q15" i="34"/>
  <c r="Z15" i="34" s="1"/>
  <c r="Q14" i="34"/>
  <c r="Z14" i="34" s="1"/>
  <c r="Q13" i="34"/>
  <c r="Z13" i="34"/>
  <c r="Q12" i="34"/>
  <c r="Z12" i="34" s="1"/>
  <c r="J12" i="34"/>
  <c r="W12" i="34" s="1"/>
  <c r="H12" i="34"/>
  <c r="F12" i="34"/>
  <c r="Q11" i="34"/>
  <c r="Z11" i="34"/>
  <c r="Q10" i="34"/>
  <c r="Z10" i="34"/>
  <c r="F10" i="34"/>
  <c r="AA10" i="34" s="1"/>
  <c r="Q9" i="34"/>
  <c r="Z9" i="34"/>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F87" i="33" s="1"/>
  <c r="G87" i="33" s="1"/>
  <c r="H87" i="33" s="1"/>
  <c r="I87" i="33" s="1"/>
  <c r="J87" i="33" s="1"/>
  <c r="K87" i="33" s="1"/>
  <c r="L87" i="33" s="1"/>
  <c r="M87" i="33" s="1"/>
  <c r="D85" i="33"/>
  <c r="E85" i="33" s="1"/>
  <c r="D81" i="33"/>
  <c r="E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s="1"/>
  <c r="Q42" i="33"/>
  <c r="Z42" i="33" s="1"/>
  <c r="J42" i="33"/>
  <c r="AC42" i="33"/>
  <c r="AC41" i="33"/>
  <c r="W41" i="33"/>
  <c r="Q41" i="33"/>
  <c r="Z41" i="33" s="1"/>
  <c r="Q40" i="33"/>
  <c r="Z40" i="33"/>
  <c r="J40" i="33"/>
  <c r="AC40" i="33" s="1"/>
  <c r="H40" i="33"/>
  <c r="AB40" i="33" s="1"/>
  <c r="AA40" i="33"/>
  <c r="Q39" i="33"/>
  <c r="Z39" i="33" s="1"/>
  <c r="J39" i="33"/>
  <c r="AC39" i="33"/>
  <c r="Q38" i="33"/>
  <c r="Z38" i="33"/>
  <c r="J38" i="33"/>
  <c r="AC38" i="33" s="1"/>
  <c r="H38" i="33"/>
  <c r="AB38" i="33"/>
  <c r="F38" i="33"/>
  <c r="AA38" i="33"/>
  <c r="Q37" i="33"/>
  <c r="Z37" i="33" s="1"/>
  <c r="Q36" i="33"/>
  <c r="Z36" i="33"/>
  <c r="Q35" i="33"/>
  <c r="Z35" i="33"/>
  <c r="H35" i="33"/>
  <c r="Q34" i="33"/>
  <c r="Z34" i="33"/>
  <c r="Q33" i="33"/>
  <c r="Z33" i="33"/>
  <c r="J33" i="33"/>
  <c r="H33" i="33"/>
  <c r="AB33" i="33"/>
  <c r="F33" i="33"/>
  <c r="AA33" i="33"/>
  <c r="Q32" i="33"/>
  <c r="Z32" i="33" s="1"/>
  <c r="Q31" i="33"/>
  <c r="Z31" i="33"/>
  <c r="Q30" i="33"/>
  <c r="Z30" i="33"/>
  <c r="Q29" i="33"/>
  <c r="Z29" i="33" s="1"/>
  <c r="Q28" i="33"/>
  <c r="Z28" i="33"/>
  <c r="Q27" i="33"/>
  <c r="Z27" i="33"/>
  <c r="Q26" i="33"/>
  <c r="Z26" i="33" s="1"/>
  <c r="Q25" i="33"/>
  <c r="Z25" i="33"/>
  <c r="Q23" i="33"/>
  <c r="Z23" i="33"/>
  <c r="Q19" i="33"/>
  <c r="Z19" i="33" s="1"/>
  <c r="Q17" i="33"/>
  <c r="Z17" i="33"/>
  <c r="Q15" i="33"/>
  <c r="Z15" i="33"/>
  <c r="F15" i="33"/>
  <c r="AA15" i="33" s="1"/>
  <c r="Q14" i="33"/>
  <c r="Z14" i="33"/>
  <c r="Q13" i="33"/>
  <c r="Z13" i="33"/>
  <c r="Q12" i="33"/>
  <c r="Z12" i="33" s="1"/>
  <c r="Q11" i="33"/>
  <c r="Z11" i="33"/>
  <c r="Q10" i="33"/>
  <c r="Z10" i="33" s="1"/>
  <c r="Q9" i="33"/>
  <c r="Z9" i="33"/>
  <c r="J9" i="33"/>
  <c r="AC9" i="33"/>
  <c r="H9" i="33"/>
  <c r="AB9" i="33" s="1"/>
  <c r="F9" i="33"/>
  <c r="AA9" i="33"/>
  <c r="J8" i="33"/>
  <c r="AC8" i="33"/>
  <c r="H8" i="33"/>
  <c r="F8" i="33"/>
  <c r="AA8" i="33"/>
  <c r="M102" i="21"/>
  <c r="D102" i="21"/>
  <c r="E102" i="21"/>
  <c r="F102" i="21"/>
  <c r="G102" i="21"/>
  <c r="H102" i="21"/>
  <c r="I102" i="21"/>
  <c r="J102" i="21"/>
  <c r="K102" i="21"/>
  <c r="L102" i="21"/>
  <c r="C102" i="21"/>
  <c r="C63" i="21"/>
  <c r="F9" i="21" s="1"/>
  <c r="G18" i="20"/>
  <c r="B88" i="43"/>
  <c r="G19" i="20"/>
  <c r="B85" i="43" s="1"/>
  <c r="G16" i="20"/>
  <c r="B82" i="43" s="1"/>
  <c r="G15" i="20"/>
  <c r="B81" i="43"/>
  <c r="C24" i="20"/>
  <c r="B73" i="43" s="1"/>
  <c r="C21" i="20"/>
  <c r="B74" i="43" s="1"/>
  <c r="C20" i="20"/>
  <c r="B77" i="43"/>
  <c r="C18" i="20"/>
  <c r="B71" i="43" s="1"/>
  <c r="C17" i="20"/>
  <c r="B59" i="43" s="1"/>
  <c r="C16" i="20"/>
  <c r="C17" i="39"/>
  <c r="C15" i="20"/>
  <c r="B70" i="43" s="1"/>
  <c r="E54" i="21"/>
  <c r="F54" i="21" s="1"/>
  <c r="I54" i="21"/>
  <c r="J54" i="21"/>
  <c r="G54" i="21"/>
  <c r="H54" i="21" s="1"/>
  <c r="D125" i="21"/>
  <c r="E125" i="21" s="1"/>
  <c r="F125" i="21" s="1"/>
  <c r="G125" i="21" s="1"/>
  <c r="D123" i="21"/>
  <c r="E123" i="21" s="1"/>
  <c r="F123" i="21" s="1"/>
  <c r="F42" i="21"/>
  <c r="AA42" i="21"/>
  <c r="D119" i="21"/>
  <c r="E119" i="21" s="1"/>
  <c r="F40" i="21"/>
  <c r="AA40" i="21" s="1"/>
  <c r="D117" i="21"/>
  <c r="E117" i="21" s="1"/>
  <c r="F117" i="21" s="1"/>
  <c r="G117" i="21"/>
  <c r="D115" i="21"/>
  <c r="E115" i="21" s="1"/>
  <c r="F115" i="21" s="1"/>
  <c r="G115" i="21" s="1"/>
  <c r="H115" i="21" s="1"/>
  <c r="I115" i="21"/>
  <c r="J115" i="21" s="1"/>
  <c r="K115" i="21" s="1"/>
  <c r="L115" i="21" s="1"/>
  <c r="M115" i="21" s="1"/>
  <c r="D113" i="21"/>
  <c r="E113" i="21"/>
  <c r="F113" i="21" s="1"/>
  <c r="G113" i="21" s="1"/>
  <c r="H113" i="21" s="1"/>
  <c r="D110" i="21"/>
  <c r="E110" i="21"/>
  <c r="F110" i="21"/>
  <c r="G110" i="21" s="1"/>
  <c r="H110" i="21" s="1"/>
  <c r="I110" i="21" s="1"/>
  <c r="J110" i="21" s="1"/>
  <c r="K110" i="21" s="1"/>
  <c r="L110" i="21"/>
  <c r="M110" i="21" s="1"/>
  <c r="J36" i="21"/>
  <c r="AC36" i="21"/>
  <c r="D108" i="21"/>
  <c r="E108" i="21"/>
  <c r="F108" i="21"/>
  <c r="G108" i="21" s="1"/>
  <c r="H108" i="21" s="1"/>
  <c r="I108" i="21" s="1"/>
  <c r="J108" i="21" s="1"/>
  <c r="K108" i="21" s="1"/>
  <c r="L108" i="2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c r="G81" i="21" s="1"/>
  <c r="D77" i="21"/>
  <c r="E77" i="21"/>
  <c r="B130" i="21"/>
  <c r="B128" i="21"/>
  <c r="J45" i="21"/>
  <c r="B126" i="21"/>
  <c r="B98" i="21"/>
  <c r="H31" i="21" s="1"/>
  <c r="B96" i="21"/>
  <c r="B94" i="21"/>
  <c r="J29" i="21" s="1"/>
  <c r="AC29" i="21" s="1"/>
  <c r="B92" i="21"/>
  <c r="B90" i="21"/>
  <c r="J27" i="21"/>
  <c r="W27" i="21"/>
  <c r="B74" i="21"/>
  <c r="B72" i="21"/>
  <c r="H13" i="21"/>
  <c r="B70" i="21"/>
  <c r="F12" i="21"/>
  <c r="S12" i="21"/>
  <c r="C19" i="21"/>
  <c r="C17" i="21"/>
  <c r="C23" i="21"/>
  <c r="Q9" i="21"/>
  <c r="Z9" i="21"/>
  <c r="Q10" i="21"/>
  <c r="Z10" i="21" s="1"/>
  <c r="Q11" i="21"/>
  <c r="Z11" i="21"/>
  <c r="Q12" i="21"/>
  <c r="Z12" i="21"/>
  <c r="Q13" i="21"/>
  <c r="Z13" i="21" s="1"/>
  <c r="Q14" i="21"/>
  <c r="Z14" i="21"/>
  <c r="Q15" i="21"/>
  <c r="Z15" i="21"/>
  <c r="Q17" i="21"/>
  <c r="Z17" i="21" s="1"/>
  <c r="Q19" i="21"/>
  <c r="Z19" i="21"/>
  <c r="Q23" i="21"/>
  <c r="Z23" i="21"/>
  <c r="Q25" i="21"/>
  <c r="Z25" i="21" s="1"/>
  <c r="Q26" i="21"/>
  <c r="Z26" i="21"/>
  <c r="Q27" i="21"/>
  <c r="Z27" i="21"/>
  <c r="Q28" i="21"/>
  <c r="Z28" i="21" s="1"/>
  <c r="Q29" i="21"/>
  <c r="Z29" i="21"/>
  <c r="Q30" i="21"/>
  <c r="Z30" i="21"/>
  <c r="Q31" i="21"/>
  <c r="Z31" i="21" s="1"/>
  <c r="Q32" i="21"/>
  <c r="Z32" i="21"/>
  <c r="Q33" i="21"/>
  <c r="Z33" i="21"/>
  <c r="Q34" i="21"/>
  <c r="Z34" i="21" s="1"/>
  <c r="J35" i="21"/>
  <c r="W35" i="21"/>
  <c r="Q35" i="21"/>
  <c r="Z35" i="21"/>
  <c r="Q36" i="21"/>
  <c r="Z36" i="21" s="1"/>
  <c r="Q37" i="21"/>
  <c r="Z37" i="21"/>
  <c r="J38" i="21"/>
  <c r="W38" i="21"/>
  <c r="Q38" i="21"/>
  <c r="Z38" i="21" s="1"/>
  <c r="J39" i="21"/>
  <c r="AC39" i="21"/>
  <c r="Q39" i="21"/>
  <c r="Z39" i="21"/>
  <c r="H40" i="21"/>
  <c r="AB40" i="21" s="1"/>
  <c r="Q40" i="21"/>
  <c r="Z40" i="21"/>
  <c r="Q41" i="21"/>
  <c r="Z41" i="21"/>
  <c r="Q42" i="21"/>
  <c r="Z42" i="21" s="1"/>
  <c r="J43" i="21"/>
  <c r="AC43" i="21"/>
  <c r="Q43" i="21"/>
  <c r="Z43" i="21"/>
  <c r="Q44" i="21"/>
  <c r="Z44" i="21" s="1"/>
  <c r="Q45" i="21"/>
  <c r="Z45" i="21"/>
  <c r="Q46" i="21"/>
  <c r="Z46" i="21"/>
  <c r="P47" i="21"/>
  <c r="R47" i="21"/>
  <c r="T47" i="21"/>
  <c r="V47" i="21"/>
  <c r="P48" i="21"/>
  <c r="P49" i="21"/>
  <c r="F8" i="21"/>
  <c r="AA8" i="21" s="1"/>
  <c r="E10" i="11"/>
  <c r="E9" i="11"/>
  <c r="BB12" i="3"/>
  <c r="F7" i="12"/>
  <c r="E7" i="12"/>
  <c r="G7" i="12"/>
  <c r="K5" i="3"/>
  <c r="I4" i="6"/>
  <c r="G3" i="43" s="1"/>
  <c r="J5" i="3"/>
  <c r="BE10" i="3"/>
  <c r="BB585" i="3"/>
  <c r="BC585" i="3"/>
  <c r="BD585" i="3"/>
  <c r="BE585" i="3"/>
  <c r="BF585" i="3"/>
  <c r="BG585" i="3"/>
  <c r="BA585" i="3" s="1"/>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F5" i="3"/>
  <c r="G27" i="6"/>
  <c r="F34" i="21"/>
  <c r="H34" i="21"/>
  <c r="AB34" i="21"/>
  <c r="F43" i="21"/>
  <c r="S43" i="21"/>
  <c r="H38" i="21"/>
  <c r="U38" i="21" s="1"/>
  <c r="H43" i="21"/>
  <c r="AB43" i="21"/>
  <c r="F38" i="21"/>
  <c r="S38" i="21" s="1"/>
  <c r="F36" i="21"/>
  <c r="S36" i="21" s="1"/>
  <c r="F39" i="21"/>
  <c r="AA39" i="21"/>
  <c r="J40" i="21"/>
  <c r="W40" i="21" s="1"/>
  <c r="H35" i="21"/>
  <c r="AB35" i="21" s="1"/>
  <c r="J8" i="21"/>
  <c r="AC8" i="21"/>
  <c r="H8" i="21"/>
  <c r="U8" i="21" s="1"/>
  <c r="H10" i="21"/>
  <c r="AB10" i="21" s="1"/>
  <c r="H39" i="21"/>
  <c r="U39" i="21"/>
  <c r="J34" i="21"/>
  <c r="W34" i="21" s="1"/>
  <c r="H36" i="21"/>
  <c r="U36" i="21" s="1"/>
  <c r="F35" i="21"/>
  <c r="AA35" i="21" s="1"/>
  <c r="J10" i="21"/>
  <c r="AC10" i="21" s="1"/>
  <c r="H26" i="21"/>
  <c r="AB26" i="21" s="1"/>
  <c r="AB19" i="21"/>
  <c r="J19" i="21"/>
  <c r="W19" i="21" s="1"/>
  <c r="J12" i="21"/>
  <c r="AC12" i="21"/>
  <c r="H12" i="21"/>
  <c r="AB12" i="21" s="1"/>
  <c r="J26" i="21"/>
  <c r="W26" i="21" s="1"/>
  <c r="F26" i="21"/>
  <c r="S26" i="21"/>
  <c r="AB41" i="21"/>
  <c r="S41" i="21"/>
  <c r="AA41" i="21"/>
  <c r="F45" i="39"/>
  <c r="S45" i="39" s="1"/>
  <c r="J45" i="39"/>
  <c r="W45" i="39" s="1"/>
  <c r="J44" i="39"/>
  <c r="AC44" i="39"/>
  <c r="F36" i="39"/>
  <c r="S36" i="39" s="1"/>
  <c r="H36" i="39"/>
  <c r="J35" i="39"/>
  <c r="AC35" i="39"/>
  <c r="F35" i="39"/>
  <c r="AA35" i="39" s="1"/>
  <c r="J36" i="39"/>
  <c r="AC36" i="39" s="1"/>
  <c r="U9" i="39"/>
  <c r="W25" i="37"/>
  <c r="W31" i="37"/>
  <c r="E103" i="37"/>
  <c r="F103" i="37" s="1"/>
  <c r="G103" i="37" s="1"/>
  <c r="H103" i="37" s="1"/>
  <c r="I103" i="37" s="1"/>
  <c r="J103" i="37"/>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W36" i="35"/>
  <c r="W22" i="35"/>
  <c r="S31" i="35"/>
  <c r="F36" i="34"/>
  <c r="J35" i="34"/>
  <c r="S34" i="34"/>
  <c r="U34" i="34"/>
  <c r="H39" i="33"/>
  <c r="AB39" i="33" s="1"/>
  <c r="F26" i="33"/>
  <c r="AA26" i="33" s="1"/>
  <c r="S9" i="33"/>
  <c r="U33" i="33"/>
  <c r="S40" i="33"/>
  <c r="W39" i="33"/>
  <c r="H39" i="37"/>
  <c r="AB39" i="37"/>
  <c r="S27" i="35"/>
  <c r="F11" i="40"/>
  <c r="AA11" i="40"/>
  <c r="H11" i="40"/>
  <c r="AB11" i="40" s="1"/>
  <c r="W8" i="40"/>
  <c r="AB39" i="40"/>
  <c r="AC40" i="40"/>
  <c r="AA9" i="40"/>
  <c r="U9" i="40"/>
  <c r="S34" i="40"/>
  <c r="U38" i="40"/>
  <c r="S40" i="40"/>
  <c r="W31" i="40"/>
  <c r="U34" i="40"/>
  <c r="U40" i="40"/>
  <c r="F42" i="39"/>
  <c r="AA42" i="39" s="1"/>
  <c r="F41" i="39"/>
  <c r="S41" i="39" s="1"/>
  <c r="H40" i="39"/>
  <c r="AB40" i="39"/>
  <c r="H39" i="39"/>
  <c r="U39" i="39" s="1"/>
  <c r="S38" i="39"/>
  <c r="S34" i="39"/>
  <c r="H34" i="39"/>
  <c r="U34" i="39"/>
  <c r="E109" i="39"/>
  <c r="E101" i="39"/>
  <c r="F101" i="39" s="1"/>
  <c r="H19" i="39"/>
  <c r="AB19" i="39" s="1"/>
  <c r="F19" i="39"/>
  <c r="AA19" i="39" s="1"/>
  <c r="H17" i="39"/>
  <c r="AB17" i="39"/>
  <c r="F17" i="39"/>
  <c r="AA17" i="39" s="1"/>
  <c r="J23" i="40"/>
  <c r="AC23" i="40" s="1"/>
  <c r="F21" i="40"/>
  <c r="AA21" i="40"/>
  <c r="J21" i="40"/>
  <c r="W21" i="40" s="1"/>
  <c r="H42" i="39"/>
  <c r="AB42" i="39" s="1"/>
  <c r="J34" i="39"/>
  <c r="AC34" i="39"/>
  <c r="F109" i="39"/>
  <c r="G109" i="39" s="1"/>
  <c r="H109" i="39" s="1"/>
  <c r="I109" i="39" s="1"/>
  <c r="J109" i="39" s="1"/>
  <c r="K109" i="39"/>
  <c r="L109" i="39"/>
  <c r="M109" i="39" s="1"/>
  <c r="H27" i="39"/>
  <c r="U27" i="39"/>
  <c r="J19" i="39"/>
  <c r="AC19" i="39" s="1"/>
  <c r="J17" i="39"/>
  <c r="J27" i="39"/>
  <c r="AC27" i="39"/>
  <c r="F27" i="39"/>
  <c r="F11" i="21"/>
  <c r="S11" i="21" s="1"/>
  <c r="S40" i="21"/>
  <c r="U34" i="21"/>
  <c r="C25" i="39"/>
  <c r="C27" i="39"/>
  <c r="H11" i="39"/>
  <c r="S40" i="39"/>
  <c r="H32" i="33"/>
  <c r="AB32" i="33" s="1"/>
  <c r="H11" i="21"/>
  <c r="U11" i="21"/>
  <c r="J11" i="21"/>
  <c r="W11" i="21"/>
  <c r="H37" i="40"/>
  <c r="U37" i="40" s="1"/>
  <c r="H36" i="40"/>
  <c r="AB36" i="40"/>
  <c r="F35" i="40"/>
  <c r="AA35" i="40" s="1"/>
  <c r="H23" i="40"/>
  <c r="U23" i="40" s="1"/>
  <c r="H17" i="40"/>
  <c r="U17" i="40"/>
  <c r="J15" i="40"/>
  <c r="W15" i="40" s="1"/>
  <c r="J11" i="40"/>
  <c r="AB8" i="39"/>
  <c r="AC12" i="34"/>
  <c r="AB12" i="36"/>
  <c r="S44" i="39"/>
  <c r="F37" i="39"/>
  <c r="AA37" i="39" s="1"/>
  <c r="J34" i="36"/>
  <c r="W34" i="36" s="1"/>
  <c r="U30" i="36"/>
  <c r="J30" i="35"/>
  <c r="W30" i="35" s="1"/>
  <c r="H30" i="35"/>
  <c r="AB30" i="35"/>
  <c r="F22" i="35"/>
  <c r="AA22" i="35" s="1"/>
  <c r="H10" i="35"/>
  <c r="U10" i="35" s="1"/>
  <c r="AC16" i="36"/>
  <c r="F33" i="36"/>
  <c r="AA33" i="36"/>
  <c r="H16" i="36"/>
  <c r="AB16" i="36" s="1"/>
  <c r="E85" i="36"/>
  <c r="F85" i="36"/>
  <c r="G85" i="36"/>
  <c r="H85" i="36" s="1"/>
  <c r="I85" i="36" s="1"/>
  <c r="J85" i="36" s="1"/>
  <c r="K85" i="36" s="1"/>
  <c r="L85" i="36"/>
  <c r="M85" i="36"/>
  <c r="J29" i="36"/>
  <c r="AC29" i="36"/>
  <c r="F12" i="36"/>
  <c r="F24" i="36"/>
  <c r="AA24" i="36"/>
  <c r="F34" i="36"/>
  <c r="S10" i="36"/>
  <c r="AB8" i="36"/>
  <c r="S8" i="36"/>
  <c r="U8" i="35"/>
  <c r="F23" i="35"/>
  <c r="AA23" i="35" s="1"/>
  <c r="J32" i="35"/>
  <c r="AC32" i="35" s="1"/>
  <c r="H33" i="35"/>
  <c r="F35" i="37"/>
  <c r="S35" i="37" s="1"/>
  <c r="E101" i="37"/>
  <c r="F101" i="37"/>
  <c r="G101" i="37" s="1"/>
  <c r="H101" i="37" s="1"/>
  <c r="I101" i="37" s="1"/>
  <c r="J101" i="37" s="1"/>
  <c r="K101" i="37"/>
  <c r="L101" i="37" s="1"/>
  <c r="M101" i="37" s="1"/>
  <c r="J34" i="37"/>
  <c r="W34" i="37" s="1"/>
  <c r="S10" i="37"/>
  <c r="AA39" i="37"/>
  <c r="AB34" i="37"/>
  <c r="J33" i="37"/>
  <c r="AC33" i="37"/>
  <c r="H40" i="34"/>
  <c r="U40" i="34"/>
  <c r="E114" i="34"/>
  <c r="H36" i="34"/>
  <c r="U36" i="34"/>
  <c r="S35" i="34"/>
  <c r="F28" i="34"/>
  <c r="AA28" i="34" s="1"/>
  <c r="F25" i="34"/>
  <c r="S25" i="34"/>
  <c r="H23" i="34"/>
  <c r="U23" i="34" s="1"/>
  <c r="F19" i="34"/>
  <c r="H17" i="34"/>
  <c r="U17" i="34"/>
  <c r="F15" i="34"/>
  <c r="S9" i="34"/>
  <c r="J28" i="34"/>
  <c r="W28" i="34"/>
  <c r="F41" i="33"/>
  <c r="AA41" i="33"/>
  <c r="S38" i="33"/>
  <c r="E113" i="33"/>
  <c r="F32" i="33"/>
  <c r="AA32" i="33"/>
  <c r="J19" i="33"/>
  <c r="AC19" i="33"/>
  <c r="J15" i="33"/>
  <c r="AC15" i="33" s="1"/>
  <c r="F11" i="33"/>
  <c r="AA11" i="33"/>
  <c r="S26" i="33"/>
  <c r="U40" i="33"/>
  <c r="W40" i="33"/>
  <c r="S8" i="33"/>
  <c r="F37" i="40"/>
  <c r="AA37" i="40" s="1"/>
  <c r="F36" i="40"/>
  <c r="AA36" i="40" s="1"/>
  <c r="H28" i="40"/>
  <c r="U28" i="40"/>
  <c r="F23" i="40"/>
  <c r="AA23" i="40" s="1"/>
  <c r="F17" i="40"/>
  <c r="AA17" i="40" s="1"/>
  <c r="J17" i="40"/>
  <c r="W17" i="40"/>
  <c r="F15" i="40"/>
  <c r="S15" i="40" s="1"/>
  <c r="H15" i="40"/>
  <c r="AB15" i="40" s="1"/>
  <c r="S12" i="36"/>
  <c r="AA12" i="36"/>
  <c r="AB30" i="36"/>
  <c r="U30" i="35"/>
  <c r="H33" i="37"/>
  <c r="AB33" i="37" s="1"/>
  <c r="F33" i="37"/>
  <c r="AA33" i="37" s="1"/>
  <c r="U34" i="37"/>
  <c r="W33" i="37"/>
  <c r="S34" i="37"/>
  <c r="AA34" i="37"/>
  <c r="J43" i="34"/>
  <c r="J40" i="34"/>
  <c r="F114" i="34"/>
  <c r="G114" i="34"/>
  <c r="H114" i="34" s="1"/>
  <c r="I114" i="34"/>
  <c r="J114" i="34" s="1"/>
  <c r="K114" i="34" s="1"/>
  <c r="L114" i="34" s="1"/>
  <c r="M114" i="34" s="1"/>
  <c r="H38" i="34"/>
  <c r="AB38" i="34"/>
  <c r="J36" i="34"/>
  <c r="W36" i="34" s="1"/>
  <c r="H25" i="34"/>
  <c r="AB25" i="34"/>
  <c r="J25" i="34"/>
  <c r="AC25" i="34" s="1"/>
  <c r="AB23" i="34"/>
  <c r="F23" i="34"/>
  <c r="J19" i="34"/>
  <c r="AC19" i="34" s="1"/>
  <c r="F17" i="34"/>
  <c r="AA17" i="34"/>
  <c r="J17" i="34"/>
  <c r="W17" i="34" s="1"/>
  <c r="AB17" i="34"/>
  <c r="S41" i="33"/>
  <c r="F113" i="33"/>
  <c r="G113" i="33" s="1"/>
  <c r="H113" i="33" s="1"/>
  <c r="I113" i="33" s="1"/>
  <c r="J113" i="33" s="1"/>
  <c r="K113" i="33" s="1"/>
  <c r="L113" i="33" s="1"/>
  <c r="M113" i="33" s="1"/>
  <c r="H37" i="33"/>
  <c r="AB37" i="33" s="1"/>
  <c r="H15" i="33"/>
  <c r="AB15" i="33"/>
  <c r="H11" i="33"/>
  <c r="AB11" i="33" s="1"/>
  <c r="F28" i="40"/>
  <c r="AA28" i="40" s="1"/>
  <c r="AA42" i="34"/>
  <c r="S42" i="34"/>
  <c r="AC38" i="34"/>
  <c r="AA38" i="34"/>
  <c r="J11" i="33"/>
  <c r="W11" i="33"/>
  <c r="G123" i="21"/>
  <c r="H123" i="21" s="1"/>
  <c r="I123" i="21" s="1"/>
  <c r="J123" i="21" s="1"/>
  <c r="K123" i="21" s="1"/>
  <c r="L123" i="21" s="1"/>
  <c r="M123" i="21" s="1"/>
  <c r="J42" i="21"/>
  <c r="AC42" i="21"/>
  <c r="H42" i="21"/>
  <c r="J44" i="34"/>
  <c r="F44" i="34"/>
  <c r="AA44" i="34" s="1"/>
  <c r="J10" i="35"/>
  <c r="W10" i="35"/>
  <c r="BL587" i="3"/>
  <c r="AZ587" i="3" s="1"/>
  <c r="J14" i="21"/>
  <c r="W14" i="21"/>
  <c r="F14" i="21"/>
  <c r="S14" i="21"/>
  <c r="H14" i="21"/>
  <c r="U14" i="21"/>
  <c r="H28" i="21"/>
  <c r="AB28" i="21"/>
  <c r="F28" i="21"/>
  <c r="AA28" i="21"/>
  <c r="J28" i="21"/>
  <c r="AC28" i="21" s="1"/>
  <c r="W28" i="21"/>
  <c r="H30" i="21"/>
  <c r="U30" i="21"/>
  <c r="F30" i="21"/>
  <c r="S30" i="21"/>
  <c r="J30" i="21"/>
  <c r="AC30" i="21"/>
  <c r="J44" i="21"/>
  <c r="AC44" i="21"/>
  <c r="H44" i="21"/>
  <c r="U44" i="21"/>
  <c r="F44" i="21"/>
  <c r="AA44" i="21"/>
  <c r="H46" i="21"/>
  <c r="U46" i="21"/>
  <c r="J46" i="21"/>
  <c r="W46" i="21"/>
  <c r="F46" i="21"/>
  <c r="AA46" i="21"/>
  <c r="F119" i="21"/>
  <c r="G119" i="21" s="1"/>
  <c r="H119" i="21" s="1"/>
  <c r="I119" i="21" s="1"/>
  <c r="J119" i="21" s="1"/>
  <c r="K119" i="21" s="1"/>
  <c r="L119" i="21" s="1"/>
  <c r="M119" i="21" s="1"/>
  <c r="H26" i="33"/>
  <c r="U26" i="33"/>
  <c r="H28" i="33"/>
  <c r="U28" i="33" s="1"/>
  <c r="F28" i="33"/>
  <c r="AA28" i="33" s="1"/>
  <c r="J28" i="33"/>
  <c r="W28" i="33"/>
  <c r="F33" i="35"/>
  <c r="S33" i="35" s="1"/>
  <c r="J33" i="35"/>
  <c r="F30" i="35"/>
  <c r="S30" i="35"/>
  <c r="E89" i="35"/>
  <c r="F89" i="35" s="1"/>
  <c r="G89" i="35"/>
  <c r="H89" i="35" s="1"/>
  <c r="I89" i="35" s="1"/>
  <c r="J89" i="35"/>
  <c r="K89" i="35"/>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F13" i="33"/>
  <c r="S13" i="33" s="1"/>
  <c r="J29" i="33"/>
  <c r="H29" i="33"/>
  <c r="U29" i="33"/>
  <c r="F29" i="33"/>
  <c r="S29" i="33" s="1"/>
  <c r="J31" i="33"/>
  <c r="W31" i="33" s="1"/>
  <c r="H31" i="33"/>
  <c r="F31" i="33"/>
  <c r="H45" i="33"/>
  <c r="U45" i="33" s="1"/>
  <c r="J45" i="33"/>
  <c r="AA45" i="33"/>
  <c r="J14" i="34"/>
  <c r="W14" i="34" s="1"/>
  <c r="F14" i="34"/>
  <c r="H14" i="34"/>
  <c r="H30" i="34"/>
  <c r="F30" i="34"/>
  <c r="S30" i="34" s="1"/>
  <c r="J30" i="34"/>
  <c r="H32" i="34"/>
  <c r="F32" i="34"/>
  <c r="J32" i="34"/>
  <c r="W32" i="34" s="1"/>
  <c r="H46" i="34"/>
  <c r="U46" i="34" s="1"/>
  <c r="F46" i="34"/>
  <c r="J46" i="34"/>
  <c r="H11" i="35"/>
  <c r="U11" i="35" s="1"/>
  <c r="J11" i="35"/>
  <c r="F11" i="35"/>
  <c r="S11" i="35"/>
  <c r="J26" i="36"/>
  <c r="H28" i="36"/>
  <c r="U28" i="36" s="1"/>
  <c r="H32" i="36"/>
  <c r="AB32" i="36"/>
  <c r="J32" i="36"/>
  <c r="W32" i="36" s="1"/>
  <c r="J11" i="36"/>
  <c r="AC11" i="36" s="1"/>
  <c r="H11" i="36"/>
  <c r="U11" i="36"/>
  <c r="F11" i="36"/>
  <c r="AA11" i="36" s="1"/>
  <c r="H13" i="36"/>
  <c r="AB13" i="36" s="1"/>
  <c r="F13" i="36"/>
  <c r="S13" i="36"/>
  <c r="E89" i="37"/>
  <c r="F89" i="37"/>
  <c r="G89" i="37" s="1"/>
  <c r="H89" i="37" s="1"/>
  <c r="I89" i="37" s="1"/>
  <c r="J89" i="37" s="1"/>
  <c r="K89" i="37" s="1"/>
  <c r="L89" i="37" s="1"/>
  <c r="M89" i="37" s="1"/>
  <c r="J29" i="37"/>
  <c r="W29" i="37"/>
  <c r="F29" i="37"/>
  <c r="S29" i="37" s="1"/>
  <c r="F105" i="37"/>
  <c r="H36" i="37"/>
  <c r="AB36" i="37"/>
  <c r="J37" i="37"/>
  <c r="AC37" i="37" s="1"/>
  <c r="H37" i="37"/>
  <c r="U37" i="37" s="1"/>
  <c r="H40" i="37"/>
  <c r="U40" i="37"/>
  <c r="J40" i="37"/>
  <c r="AC40" i="37" s="1"/>
  <c r="F40" i="37"/>
  <c r="AA40" i="37" s="1"/>
  <c r="AC12" i="40"/>
  <c r="W12" i="40"/>
  <c r="H14" i="33"/>
  <c r="U14" i="33" s="1"/>
  <c r="F14" i="33"/>
  <c r="J14" i="33"/>
  <c r="H30" i="33"/>
  <c r="AB30" i="33"/>
  <c r="F30" i="33"/>
  <c r="J30" i="33"/>
  <c r="H44" i="33"/>
  <c r="J44" i="33"/>
  <c r="AC44" i="33"/>
  <c r="F44" i="33"/>
  <c r="J46" i="33"/>
  <c r="AC46" i="33" s="1"/>
  <c r="F46" i="33"/>
  <c r="AA46" i="33"/>
  <c r="H46" i="33"/>
  <c r="AB46" i="33" s="1"/>
  <c r="H13" i="34"/>
  <c r="U13" i="34" s="1"/>
  <c r="J13" i="34"/>
  <c r="W13" i="34"/>
  <c r="F13" i="34"/>
  <c r="AA13" i="34" s="1"/>
  <c r="J29" i="34"/>
  <c r="F29" i="34"/>
  <c r="S29" i="34"/>
  <c r="H29" i="34"/>
  <c r="J31" i="34"/>
  <c r="AC31" i="34"/>
  <c r="H31" i="34"/>
  <c r="AB31" i="34"/>
  <c r="F31" i="34"/>
  <c r="H45" i="34"/>
  <c r="U45" i="34" s="1"/>
  <c r="J45" i="34"/>
  <c r="W45" i="34" s="1"/>
  <c r="F45" i="34"/>
  <c r="H47" i="34"/>
  <c r="U47" i="34"/>
  <c r="F47" i="34"/>
  <c r="S47" i="34"/>
  <c r="J47" i="34"/>
  <c r="F13" i="35"/>
  <c r="S13" i="35"/>
  <c r="J13" i="35"/>
  <c r="AC13" i="35"/>
  <c r="H13" i="35"/>
  <c r="J25" i="35"/>
  <c r="W25" i="35"/>
  <c r="F25" i="35"/>
  <c r="S25" i="35"/>
  <c r="H25" i="35"/>
  <c r="J35" i="35"/>
  <c r="AC35" i="35"/>
  <c r="F35" i="35"/>
  <c r="AA35" i="35"/>
  <c r="H35" i="35"/>
  <c r="J25" i="36"/>
  <c r="W25" i="36"/>
  <c r="F25" i="36"/>
  <c r="S25" i="36"/>
  <c r="H25" i="36"/>
  <c r="H13" i="37"/>
  <c r="AB13" i="37"/>
  <c r="F13" i="37"/>
  <c r="S13" i="37"/>
  <c r="J13" i="37"/>
  <c r="F28" i="37"/>
  <c r="AA28" i="37"/>
  <c r="J28" i="37"/>
  <c r="AC28" i="37"/>
  <c r="H28" i="37"/>
  <c r="H38" i="37"/>
  <c r="AB38" i="37"/>
  <c r="J38" i="37"/>
  <c r="AC38" i="37"/>
  <c r="F38" i="37"/>
  <c r="S38" i="37" s="1"/>
  <c r="F43" i="39"/>
  <c r="AA43" i="39"/>
  <c r="H43" i="39"/>
  <c r="J14" i="39"/>
  <c r="AC14" i="39"/>
  <c r="F14" i="39"/>
  <c r="H14" i="39"/>
  <c r="AB14" i="39"/>
  <c r="F12" i="40"/>
  <c r="S12" i="40"/>
  <c r="H12" i="40"/>
  <c r="H30" i="40"/>
  <c r="AB30" i="40"/>
  <c r="F33" i="40"/>
  <c r="AA33" i="40"/>
  <c r="H33" i="40"/>
  <c r="J35" i="40"/>
  <c r="AC35" i="40"/>
  <c r="J37" i="40"/>
  <c r="AC37" i="40"/>
  <c r="H13" i="40"/>
  <c r="J13" i="40"/>
  <c r="W13" i="40"/>
  <c r="F13" i="40"/>
  <c r="AA13" i="40"/>
  <c r="F14" i="37"/>
  <c r="F27" i="37"/>
  <c r="AA27" i="37"/>
  <c r="F13" i="39"/>
  <c r="J13" i="39"/>
  <c r="W13" i="39"/>
  <c r="H13" i="39"/>
  <c r="H14" i="40"/>
  <c r="AB14" i="40"/>
  <c r="J14" i="40"/>
  <c r="W14" i="40"/>
  <c r="F14" i="40"/>
  <c r="J14" i="37"/>
  <c r="AC14" i="37"/>
  <c r="J27" i="37"/>
  <c r="AC27" i="37"/>
  <c r="AA13" i="35"/>
  <c r="U31" i="34"/>
  <c r="J36" i="37"/>
  <c r="AC36" i="37"/>
  <c r="G105" i="37"/>
  <c r="AB11" i="36"/>
  <c r="AB11" i="35"/>
  <c r="J10" i="36"/>
  <c r="AC10" i="36"/>
  <c r="AB26" i="33"/>
  <c r="AB30" i="21"/>
  <c r="W31" i="34"/>
  <c r="S11" i="36"/>
  <c r="S45" i="33"/>
  <c r="AB45" i="33"/>
  <c r="AB31" i="33"/>
  <c r="U31" i="33"/>
  <c r="S44" i="34"/>
  <c r="F17" i="21"/>
  <c r="AA17" i="21" s="1"/>
  <c r="H17" i="21"/>
  <c r="AB17" i="21" s="1"/>
  <c r="F15" i="21"/>
  <c r="S15" i="21"/>
  <c r="AB11" i="21"/>
  <c r="J41" i="39"/>
  <c r="W41" i="39"/>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78" i="3"/>
  <c r="BL574" i="3"/>
  <c r="BL570" i="3"/>
  <c r="BL566" i="3"/>
  <c r="BL556" i="3"/>
  <c r="BL552" i="3"/>
  <c r="BL544" i="3"/>
  <c r="AZ544" i="3" s="1"/>
  <c r="BL540" i="3"/>
  <c r="BL536" i="3"/>
  <c r="G533" i="3"/>
  <c r="BL532" i="3"/>
  <c r="G529" i="3"/>
  <c r="BL528" i="3"/>
  <c r="G525" i="3"/>
  <c r="G493" i="3"/>
  <c r="BA582" i="3"/>
  <c r="BA580" i="3"/>
  <c r="AZ580" i="3" s="1"/>
  <c r="BA578" i="3"/>
  <c r="AZ578" i="3" s="1"/>
  <c r="BA576" i="3"/>
  <c r="AZ576" i="3"/>
  <c r="BA574" i="3"/>
  <c r="AZ574" i="3"/>
  <c r="BA572" i="3"/>
  <c r="AZ572" i="3" s="1"/>
  <c r="BA570" i="3"/>
  <c r="AZ570" i="3" s="1"/>
  <c r="BA568" i="3"/>
  <c r="AZ568" i="3" s="1"/>
  <c r="BA566" i="3"/>
  <c r="AZ566" i="3" s="1"/>
  <c r="BA564" i="3"/>
  <c r="AZ564" i="3" s="1"/>
  <c r="BA562" i="3"/>
  <c r="AZ562" i="3"/>
  <c r="BA560" i="3"/>
  <c r="BA558" i="3"/>
  <c r="AZ558" i="3"/>
  <c r="BA556" i="3"/>
  <c r="AZ556" i="3" s="1"/>
  <c r="BA554" i="3"/>
  <c r="AZ554" i="3" s="1"/>
  <c r="BA548" i="3"/>
  <c r="BA546" i="3"/>
  <c r="BA544" i="3"/>
  <c r="BA542" i="3"/>
  <c r="AZ542" i="3"/>
  <c r="BA540" i="3"/>
  <c r="AZ540" i="3" s="1"/>
  <c r="BA538" i="3"/>
  <c r="BA536" i="3"/>
  <c r="AZ536" i="3"/>
  <c r="BA534" i="3"/>
  <c r="AZ534" i="3" s="1"/>
  <c r="BA532" i="3"/>
  <c r="AZ532" i="3"/>
  <c r="BA530" i="3"/>
  <c r="BA528" i="3"/>
  <c r="AZ528" i="3" s="1"/>
  <c r="BA526" i="3"/>
  <c r="AZ526" i="3" s="1"/>
  <c r="BA587" i="3"/>
  <c r="BA581" i="3"/>
  <c r="AZ581" i="3" s="1"/>
  <c r="BA579" i="3"/>
  <c r="BA577" i="3"/>
  <c r="BA575" i="3"/>
  <c r="BA573" i="3"/>
  <c r="BA571" i="3"/>
  <c r="BA569" i="3"/>
  <c r="BA567" i="3"/>
  <c r="BA565" i="3"/>
  <c r="BA563" i="3"/>
  <c r="BA561" i="3"/>
  <c r="BA559" i="3"/>
  <c r="AZ559" i="3" s="1"/>
  <c r="BA555" i="3"/>
  <c r="BA553" i="3"/>
  <c r="BA549" i="3"/>
  <c r="BA547" i="3"/>
  <c r="BA545" i="3"/>
  <c r="BA543" i="3"/>
  <c r="BA541" i="3"/>
  <c r="AZ541" i="3" s="1"/>
  <c r="BA539" i="3"/>
  <c r="BA537" i="3"/>
  <c r="BA535" i="3"/>
  <c r="BA533" i="3"/>
  <c r="BA531" i="3"/>
  <c r="AZ531" i="3" s="1"/>
  <c r="BA529" i="3"/>
  <c r="BA527" i="3"/>
  <c r="G583" i="3"/>
  <c r="G581" i="3"/>
  <c r="G579" i="3"/>
  <c r="G577" i="3"/>
  <c r="G575" i="3"/>
  <c r="G573" i="3"/>
  <c r="G571" i="3"/>
  <c r="G569" i="3"/>
  <c r="G567" i="3"/>
  <c r="G565" i="3"/>
  <c r="G561" i="3"/>
  <c r="BL558" i="3"/>
  <c r="BA557" i="3"/>
  <c r="AC557" i="3"/>
  <c r="G557" i="3" s="1"/>
  <c r="BQ557" i="3"/>
  <c r="BL557" i="3" s="1"/>
  <c r="AZ557" i="3" s="1"/>
  <c r="BQ583" i="3"/>
  <c r="BL583" i="3" s="1"/>
  <c r="BQ581" i="3"/>
  <c r="BL581" i="3"/>
  <c r="BQ579" i="3"/>
  <c r="BL579" i="3"/>
  <c r="AZ579" i="3" s="1"/>
  <c r="BQ577" i="3"/>
  <c r="BL577" i="3" s="1"/>
  <c r="AZ577" i="3" s="1"/>
  <c r="BQ575" i="3"/>
  <c r="BL575" i="3" s="1"/>
  <c r="AZ575" i="3" s="1"/>
  <c r="BQ573" i="3"/>
  <c r="BL573" i="3" s="1"/>
  <c r="AZ573" i="3"/>
  <c r="BQ571" i="3"/>
  <c r="BL571" i="3" s="1"/>
  <c r="BQ569" i="3"/>
  <c r="BQ567" i="3"/>
  <c r="BL567" i="3" s="1"/>
  <c r="AZ567" i="3" s="1"/>
  <c r="BQ565" i="3"/>
  <c r="BQ563" i="3"/>
  <c r="BL563" i="3"/>
  <c r="AZ563" i="3" s="1"/>
  <c r="BQ561" i="3"/>
  <c r="BL561" i="3" s="1"/>
  <c r="AZ561" i="3" s="1"/>
  <c r="BQ559" i="3"/>
  <c r="BL559" i="3"/>
  <c r="G559" i="3"/>
  <c r="G555" i="3"/>
  <c r="G553" i="3"/>
  <c r="G549" i="3"/>
  <c r="G547" i="3"/>
  <c r="G545" i="3"/>
  <c r="G543" i="3"/>
  <c r="G541" i="3"/>
  <c r="G539" i="3"/>
  <c r="G537" i="3"/>
  <c r="BQ555" i="3"/>
  <c r="BL555" i="3" s="1"/>
  <c r="AZ555" i="3" s="1"/>
  <c r="BQ553" i="3"/>
  <c r="BQ551" i="3"/>
  <c r="BL551" i="3"/>
  <c r="BQ549" i="3"/>
  <c r="BQ547" i="3"/>
  <c r="BL547" i="3" s="1"/>
  <c r="AZ547" i="3" s="1"/>
  <c r="BQ545" i="3"/>
  <c r="BL545" i="3" s="1"/>
  <c r="AZ545" i="3" s="1"/>
  <c r="BQ543" i="3"/>
  <c r="BL543" i="3" s="1"/>
  <c r="AZ543" i="3"/>
  <c r="BQ541" i="3"/>
  <c r="BL541" i="3" s="1"/>
  <c r="BQ539" i="3"/>
  <c r="BL539" i="3" s="1"/>
  <c r="AZ539" i="3" s="1"/>
  <c r="BQ537" i="3"/>
  <c r="BL537" i="3" s="1"/>
  <c r="AZ537" i="3" s="1"/>
  <c r="BQ535" i="3"/>
  <c r="BL535" i="3" s="1"/>
  <c r="AZ535" i="3"/>
  <c r="BQ533" i="3"/>
  <c r="BL533" i="3"/>
  <c r="AZ533" i="3" s="1"/>
  <c r="BQ531" i="3"/>
  <c r="BL531" i="3" s="1"/>
  <c r="BQ529" i="3"/>
  <c r="BL529" i="3" s="1"/>
  <c r="AZ529" i="3" s="1"/>
  <c r="BQ527" i="3"/>
  <c r="BL527" i="3" s="1"/>
  <c r="AZ527" i="3" s="1"/>
  <c r="BQ525" i="3"/>
  <c r="BQ523" i="3"/>
  <c r="AC521" i="3"/>
  <c r="G521" i="3" s="1"/>
  <c r="BQ521" i="3"/>
  <c r="G517" i="3"/>
  <c r="G513" i="3"/>
  <c r="BQ519" i="3"/>
  <c r="BQ517" i="3"/>
  <c r="BQ515" i="3"/>
  <c r="BQ513" i="3"/>
  <c r="BQ511" i="3"/>
  <c r="AC509" i="3"/>
  <c r="BQ509" i="3"/>
  <c r="G505" i="3"/>
  <c r="G501"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AA36" i="39"/>
  <c r="F39" i="33"/>
  <c r="AA39" i="33" s="1"/>
  <c r="E123" i="33"/>
  <c r="F42" i="33"/>
  <c r="AA42" i="33"/>
  <c r="H28" i="34"/>
  <c r="AB28" i="34"/>
  <c r="F14" i="36"/>
  <c r="AA14" i="36" s="1"/>
  <c r="F22" i="36"/>
  <c r="S22" i="36"/>
  <c r="F26" i="36"/>
  <c r="S26" i="36"/>
  <c r="H27" i="34"/>
  <c r="AB27" i="34" s="1"/>
  <c r="H35" i="34"/>
  <c r="U35" i="34"/>
  <c r="F41" i="34"/>
  <c r="S41" i="34"/>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AB32" i="40" s="1"/>
  <c r="J36" i="40"/>
  <c r="W36" i="40"/>
  <c r="AA41" i="34"/>
  <c r="H19" i="37"/>
  <c r="AB19" i="37" s="1"/>
  <c r="F123" i="33"/>
  <c r="G123" i="33" s="1"/>
  <c r="H123" i="33" s="1"/>
  <c r="I123" i="33" s="1"/>
  <c r="J123" i="33"/>
  <c r="K123" i="33" s="1"/>
  <c r="L123" i="33" s="1"/>
  <c r="M123" i="33" s="1"/>
  <c r="H42" i="33"/>
  <c r="AB42" i="33"/>
  <c r="G125" i="33"/>
  <c r="J43" i="33"/>
  <c r="AC43" i="33" s="1"/>
  <c r="S28" i="31"/>
  <c r="S27" i="31"/>
  <c r="S26" i="31"/>
  <c r="U14" i="40"/>
  <c r="AC32" i="36"/>
  <c r="AC33" i="36"/>
  <c r="W23" i="35"/>
  <c r="W14" i="37"/>
  <c r="U39" i="37"/>
  <c r="W26" i="37"/>
  <c r="AC8" i="37"/>
  <c r="U26" i="37"/>
  <c r="AB13" i="34"/>
  <c r="AC36" i="34"/>
  <c r="AA13" i="33"/>
  <c r="AC31" i="33"/>
  <c r="W44" i="33"/>
  <c r="U11" i="33"/>
  <c r="U19" i="21"/>
  <c r="W44" i="21"/>
  <c r="U26" i="21"/>
  <c r="AC46" i="21"/>
  <c r="U12" i="21"/>
  <c r="AB38" i="21"/>
  <c r="F43" i="33"/>
  <c r="AA43" i="33" s="1"/>
  <c r="W40" i="37"/>
  <c r="G107" i="37"/>
  <c r="H107" i="37" s="1"/>
  <c r="I107" i="37" s="1"/>
  <c r="J107" i="37" s="1"/>
  <c r="K107" i="37" s="1"/>
  <c r="L107" i="37" s="1"/>
  <c r="M107" i="37" s="1"/>
  <c r="H37" i="21"/>
  <c r="U37" i="21" s="1"/>
  <c r="S42" i="21"/>
  <c r="H19" i="34"/>
  <c r="AB19" i="34"/>
  <c r="F36" i="35"/>
  <c r="J9" i="37"/>
  <c r="W9" i="37" s="1"/>
  <c r="H9" i="37"/>
  <c r="AB9" i="37"/>
  <c r="F9" i="37"/>
  <c r="J12" i="37"/>
  <c r="W12" i="37" s="1"/>
  <c r="H12" i="37"/>
  <c r="AB12" i="37"/>
  <c r="F12" i="37"/>
  <c r="S12" i="37" s="1"/>
  <c r="E71" i="37"/>
  <c r="F15" i="37"/>
  <c r="AA15" i="37"/>
  <c r="E94" i="37"/>
  <c r="F94" i="37" s="1"/>
  <c r="G94" i="37" s="1"/>
  <c r="H94" i="37" s="1"/>
  <c r="I94" i="37" s="1"/>
  <c r="J94" i="37" s="1"/>
  <c r="K94" i="37" s="1"/>
  <c r="L94" i="37" s="1"/>
  <c r="M94" i="37" s="1"/>
  <c r="F31" i="37"/>
  <c r="S31" i="37" s="1"/>
  <c r="F12" i="39"/>
  <c r="S12" i="39" s="1"/>
  <c r="J42" i="39"/>
  <c r="AC42" i="39"/>
  <c r="H21" i="40"/>
  <c r="AB21" i="40" s="1"/>
  <c r="AC12" i="37"/>
  <c r="H31" i="37"/>
  <c r="U31" i="37"/>
  <c r="F71" i="37"/>
  <c r="G71" i="37" s="1"/>
  <c r="J15" i="37"/>
  <c r="W15" i="37"/>
  <c r="U12" i="37"/>
  <c r="AT6" i="3"/>
  <c r="AA25" i="21"/>
  <c r="C12" i="43"/>
  <c r="H19" i="40"/>
  <c r="U19" i="40"/>
  <c r="F88" i="40"/>
  <c r="G88" i="40" s="1"/>
  <c r="F19" i="40"/>
  <c r="S19" i="40" s="1"/>
  <c r="AC13" i="40"/>
  <c r="W23" i="39"/>
  <c r="AC43" i="39"/>
  <c r="W43" i="39"/>
  <c r="U45" i="39"/>
  <c r="AB45" i="39"/>
  <c r="AB44" i="39"/>
  <c r="U44" i="39"/>
  <c r="G101" i="39"/>
  <c r="H37" i="39"/>
  <c r="AB37" i="39"/>
  <c r="AC37" i="39"/>
  <c r="W37" i="39"/>
  <c r="H25" i="39"/>
  <c r="AB25" i="39" s="1"/>
  <c r="J25" i="39"/>
  <c r="F25" i="39"/>
  <c r="AA25" i="39"/>
  <c r="F15" i="39"/>
  <c r="AA15" i="39" s="1"/>
  <c r="H15" i="39"/>
  <c r="U15" i="39" s="1"/>
  <c r="J15" i="39"/>
  <c r="W15" i="39" s="1"/>
  <c r="H41" i="39"/>
  <c r="U41" i="39" s="1"/>
  <c r="W27" i="39"/>
  <c r="AB34" i="39"/>
  <c r="U40" i="39"/>
  <c r="S42" i="39"/>
  <c r="W14" i="39"/>
  <c r="AA41" i="39"/>
  <c r="W9" i="39"/>
  <c r="W8" i="39"/>
  <c r="J19" i="40"/>
  <c r="AC19" i="40"/>
  <c r="J50" i="40"/>
  <c r="H103" i="9"/>
  <c r="D8" i="53" s="1"/>
  <c r="D9" i="53" s="1"/>
  <c r="B25" i="72" s="1"/>
  <c r="B16" i="53"/>
  <c r="B33" i="72" s="1"/>
  <c r="C7" i="37"/>
  <c r="C52" i="37" s="1"/>
  <c r="C7" i="36"/>
  <c r="C46" i="36" s="1"/>
  <c r="W35" i="40"/>
  <c r="A118" i="9"/>
  <c r="A4" i="52"/>
  <c r="B41" i="72" s="1"/>
  <c r="J11" i="39"/>
  <c r="F11" i="39"/>
  <c r="AA11" i="39" s="1"/>
  <c r="A12" i="52"/>
  <c r="B56" i="72" s="1"/>
  <c r="S11" i="39"/>
  <c r="G4" i="4"/>
  <c r="I4" i="4"/>
  <c r="K5" i="4"/>
  <c r="B47" i="48"/>
  <c r="A2" i="9"/>
  <c r="F59" i="43"/>
  <c r="BL549" i="3"/>
  <c r="AZ549" i="3" s="1"/>
  <c r="AZ530" i="3"/>
  <c r="AZ546" i="3"/>
  <c r="G546" i="3"/>
  <c r="G303" i="3"/>
  <c r="BL304" i="3"/>
  <c r="G305" i="3"/>
  <c r="BL306" i="3"/>
  <c r="BA308" i="3"/>
  <c r="BA309" i="3"/>
  <c r="AZ309" i="3" s="1"/>
  <c r="BL309" i="3"/>
  <c r="G310" i="3"/>
  <c r="BA311" i="3"/>
  <c r="AZ311" i="3" s="1"/>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s="1"/>
  <c r="BL116" i="3"/>
  <c r="AZ116" i="3"/>
  <c r="G117" i="3"/>
  <c r="BA119" i="3"/>
  <c r="AZ119" i="3" s="1"/>
  <c r="BL120" i="3"/>
  <c r="G121" i="3"/>
  <c r="BA123" i="3"/>
  <c r="AZ123" i="3" s="1"/>
  <c r="BL124" i="3"/>
  <c r="AZ124" i="3" s="1"/>
  <c r="G125" i="3"/>
  <c r="BA127" i="3"/>
  <c r="BL128" i="3"/>
  <c r="G129" i="3"/>
  <c r="BA131" i="3"/>
  <c r="BL132" i="3"/>
  <c r="G133" i="3"/>
  <c r="BA135" i="3"/>
  <c r="AZ135" i="3" s="1"/>
  <c r="BL136" i="3"/>
  <c r="G137" i="3"/>
  <c r="BA139" i="3"/>
  <c r="BL140" i="3"/>
  <c r="AZ140" i="3" s="1"/>
  <c r="G141" i="3"/>
  <c r="BA143" i="3"/>
  <c r="BL144" i="3"/>
  <c r="G145" i="3"/>
  <c r="BA147" i="3"/>
  <c r="AZ147" i="3" s="1"/>
  <c r="BL148" i="3"/>
  <c r="AZ148" i="3"/>
  <c r="G149" i="3"/>
  <c r="BA151" i="3"/>
  <c r="AZ151" i="3" s="1"/>
  <c r="BL152" i="3"/>
  <c r="G153" i="3"/>
  <c r="BA155" i="3"/>
  <c r="AZ155" i="3" s="1"/>
  <c r="BL156" i="3"/>
  <c r="G157" i="3"/>
  <c r="BA159" i="3"/>
  <c r="AZ159" i="3"/>
  <c r="BL160" i="3"/>
  <c r="G161" i="3"/>
  <c r="BA163" i="3"/>
  <c r="BL164" i="3"/>
  <c r="AZ164" i="3"/>
  <c r="G165" i="3"/>
  <c r="BA167" i="3"/>
  <c r="BL168" i="3"/>
  <c r="G169" i="3"/>
  <c r="BA171" i="3"/>
  <c r="AZ171" i="3" s="1"/>
  <c r="BL172" i="3"/>
  <c r="G173" i="3"/>
  <c r="BA175" i="3"/>
  <c r="AZ175" i="3"/>
  <c r="BL176" i="3"/>
  <c r="G177" i="3"/>
  <c r="BA179" i="3"/>
  <c r="BL180" i="3"/>
  <c r="AZ180" i="3"/>
  <c r="G181" i="3"/>
  <c r="BA183" i="3"/>
  <c r="AZ183" i="3" s="1"/>
  <c r="BL184" i="3"/>
  <c r="G185" i="3"/>
  <c r="BA187" i="3"/>
  <c r="AZ187" i="3" s="1"/>
  <c r="BL188" i="3"/>
  <c r="AZ188" i="3" s="1"/>
  <c r="G189" i="3"/>
  <c r="BA191" i="3"/>
  <c r="AZ191" i="3"/>
  <c r="BL192" i="3"/>
  <c r="G193" i="3"/>
  <c r="BA195" i="3"/>
  <c r="BL196" i="3"/>
  <c r="AZ196" i="3"/>
  <c r="G197" i="3"/>
  <c r="BA199" i="3"/>
  <c r="BL200" i="3"/>
  <c r="G201" i="3"/>
  <c r="BA203" i="3"/>
  <c r="AZ203" i="3" s="1"/>
  <c r="BL204" i="3"/>
  <c r="AZ204" i="3" s="1"/>
  <c r="AZ43" i="3"/>
  <c r="AZ51" i="3"/>
  <c r="AZ55" i="3"/>
  <c r="AZ71" i="3"/>
  <c r="AZ75" i="3"/>
  <c r="AZ136" i="3"/>
  <c r="AZ160" i="3"/>
  <c r="AZ176" i="3"/>
  <c r="AZ184" i="3"/>
  <c r="AZ85" i="3"/>
  <c r="AZ97" i="3"/>
  <c r="AZ101" i="3"/>
  <c r="AZ109" i="3"/>
  <c r="AZ120" i="3"/>
  <c r="G534" i="3"/>
  <c r="G530" i="3"/>
  <c r="G52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BA329" i="3"/>
  <c r="BL329" i="3"/>
  <c r="AZ329" i="3"/>
  <c r="G330" i="3"/>
  <c r="G333" i="3"/>
  <c r="BL334" i="3"/>
  <c r="BA336" i="3"/>
  <c r="AZ336" i="3" s="1"/>
  <c r="BA337" i="3"/>
  <c r="AZ337" i="3" s="1"/>
  <c r="BL337" i="3"/>
  <c r="G338" i="3"/>
  <c r="G341" i="3"/>
  <c r="BA342" i="3"/>
  <c r="BL342" i="3"/>
  <c r="AZ342" i="3" s="1"/>
  <c r="BA344" i="3"/>
  <c r="AZ344" i="3" s="1"/>
  <c r="BL344" i="3"/>
  <c r="BA346" i="3"/>
  <c r="AZ346" i="3"/>
  <c r="BA347" i="3"/>
  <c r="AZ347" i="3"/>
  <c r="BL347" i="3"/>
  <c r="G350" i="3"/>
  <c r="BA351" i="3"/>
  <c r="AZ351" i="3"/>
  <c r="BL351" i="3"/>
  <c r="G352" i="3"/>
  <c r="G354" i="3"/>
  <c r="BA355" i="3"/>
  <c r="AZ355" i="3" s="1"/>
  <c r="BA356" i="3"/>
  <c r="BL356" i="3"/>
  <c r="G357" i="3"/>
  <c r="G360" i="3"/>
  <c r="BL361" i="3"/>
  <c r="BA363" i="3"/>
  <c r="AZ363" i="3"/>
  <c r="BA364" i="3"/>
  <c r="AZ364" i="3" s="1"/>
  <c r="BL364" i="3"/>
  <c r="G365" i="3"/>
  <c r="G368" i="3"/>
  <c r="BL369" i="3"/>
  <c r="BA371" i="3"/>
  <c r="AZ371" i="3" s="1"/>
  <c r="BA372" i="3"/>
  <c r="AZ372" i="3" s="1"/>
  <c r="BL372" i="3"/>
  <c r="G373" i="3"/>
  <c r="G376" i="3"/>
  <c r="BL377" i="3"/>
  <c r="BL379" i="3"/>
  <c r="BA381" i="3"/>
  <c r="AZ381" i="3" s="1"/>
  <c r="BA382" i="3"/>
  <c r="BL382" i="3"/>
  <c r="AZ382" i="3" s="1"/>
  <c r="G383" i="3"/>
  <c r="G386" i="3"/>
  <c r="BL387" i="3"/>
  <c r="BA389" i="3"/>
  <c r="AZ389" i="3" s="1"/>
  <c r="BA390" i="3"/>
  <c r="BL390" i="3"/>
  <c r="G391" i="3"/>
  <c r="G394" i="3"/>
  <c r="AZ138" i="3"/>
  <c r="AZ150" i="3"/>
  <c r="AZ154" i="3"/>
  <c r="AZ162" i="3"/>
  <c r="AZ186" i="3"/>
  <c r="AZ194" i="3"/>
  <c r="AZ206" i="3"/>
  <c r="BA16" i="3"/>
  <c r="AZ16" i="3"/>
  <c r="BL303" i="3"/>
  <c r="G304" i="3"/>
  <c r="BA306" i="3"/>
  <c r="AZ306" i="3" s="1"/>
  <c r="BL307" i="3"/>
  <c r="G308" i="3"/>
  <c r="BA310" i="3"/>
  <c r="AZ310" i="3" s="1"/>
  <c r="BL311" i="3"/>
  <c r="G312" i="3"/>
  <c r="BA314" i="3"/>
  <c r="AZ314" i="3"/>
  <c r="BL315" i="3"/>
  <c r="G316" i="3"/>
  <c r="BA318" i="3"/>
  <c r="AZ318" i="3" s="1"/>
  <c r="BL319" i="3"/>
  <c r="AZ319" i="3" s="1"/>
  <c r="G320" i="3"/>
  <c r="BA322" i="3"/>
  <c r="AZ322" i="3" s="1"/>
  <c r="BL323" i="3"/>
  <c r="G324" i="3"/>
  <c r="BA326" i="3"/>
  <c r="AZ326" i="3" s="1"/>
  <c r="BL327" i="3"/>
  <c r="AZ327" i="3"/>
  <c r="G328" i="3"/>
  <c r="BA330" i="3"/>
  <c r="AZ330" i="3" s="1"/>
  <c r="BL331" i="3"/>
  <c r="G332" i="3"/>
  <c r="BA334" i="3"/>
  <c r="AZ334" i="3"/>
  <c r="BL335" i="3"/>
  <c r="G336" i="3"/>
  <c r="BA338" i="3"/>
  <c r="AZ338" i="3"/>
  <c r="BL339" i="3"/>
  <c r="AZ339" i="3"/>
  <c r="G340" i="3"/>
  <c r="BL343" i="3"/>
  <c r="G344" i="3"/>
  <c r="G348" i="3"/>
  <c r="G355" i="3"/>
  <c r="AZ214" i="3"/>
  <c r="AZ218" i="3"/>
  <c r="AZ335" i="3"/>
  <c r="G342" i="3"/>
  <c r="BL345" i="3"/>
  <c r="AZ345" i="3" s="1"/>
  <c r="G346" i="3"/>
  <c r="AZ348" i="3"/>
  <c r="BL349" i="3"/>
  <c r="BL352" i="3"/>
  <c r="G353" i="3"/>
  <c r="BA357" i="3"/>
  <c r="AZ357" i="3" s="1"/>
  <c r="BL358" i="3"/>
  <c r="G359" i="3"/>
  <c r="BA361" i="3"/>
  <c r="AZ361" i="3"/>
  <c r="BL362" i="3"/>
  <c r="G363" i="3"/>
  <c r="BA365" i="3"/>
  <c r="AZ365" i="3" s="1"/>
  <c r="BL366" i="3"/>
  <c r="G367" i="3"/>
  <c r="BA369" i="3"/>
  <c r="AZ369" i="3" s="1"/>
  <c r="BL370" i="3"/>
  <c r="G371" i="3"/>
  <c r="BA373" i="3"/>
  <c r="AZ373" i="3" s="1"/>
  <c r="BL374" i="3"/>
  <c r="G375" i="3"/>
  <c r="BA377" i="3"/>
  <c r="AZ377" i="3"/>
  <c r="AZ261" i="3"/>
  <c r="AZ265" i="3"/>
  <c r="AZ269" i="3"/>
  <c r="AZ273" i="3"/>
  <c r="BA379" i="3"/>
  <c r="BL380" i="3"/>
  <c r="AZ380" i="3" s="1"/>
  <c r="G381" i="3"/>
  <c r="BA383" i="3"/>
  <c r="BL384" i="3"/>
  <c r="G385" i="3"/>
  <c r="BA387" i="3"/>
  <c r="AZ387" i="3" s="1"/>
  <c r="BL388" i="3"/>
  <c r="G389" i="3"/>
  <c r="BA391" i="3"/>
  <c r="AZ391" i="3" s="1"/>
  <c r="BL392" i="3"/>
  <c r="G393" i="3"/>
  <c r="AZ283" i="3"/>
  <c r="AZ295" i="3"/>
  <c r="AZ325" i="3"/>
  <c r="AZ341" i="3"/>
  <c r="G548" i="3"/>
  <c r="G538" i="3"/>
  <c r="G502" i="3"/>
  <c r="AZ343" i="3"/>
  <c r="G17" i="3"/>
  <c r="BA17" i="3"/>
  <c r="AZ352" i="3"/>
  <c r="AZ356" i="3"/>
  <c r="AZ360" i="3"/>
  <c r="BA15" i="3"/>
  <c r="AZ15" i="3" s="1"/>
  <c r="G509" i="3"/>
  <c r="AZ376" i="3"/>
  <c r="AZ390" i="3"/>
  <c r="U36" i="40"/>
  <c r="F36" i="43"/>
  <c r="F81" i="43"/>
  <c r="H83" i="43"/>
  <c r="H113" i="43"/>
  <c r="F48" i="43"/>
  <c r="F70" i="43"/>
  <c r="H73" i="43" s="1"/>
  <c r="M11" i="43"/>
  <c r="D17" i="43"/>
  <c r="F39" i="43"/>
  <c r="I17" i="43"/>
  <c r="F35" i="43"/>
  <c r="J17" i="43"/>
  <c r="F6" i="1"/>
  <c r="G6" i="1" s="1"/>
  <c r="U17" i="39"/>
  <c r="U43" i="21"/>
  <c r="U35" i="21"/>
  <c r="AC35" i="21"/>
  <c r="U10" i="21"/>
  <c r="G9" i="1"/>
  <c r="F48" i="9"/>
  <c r="O52" i="9" s="1"/>
  <c r="W37" i="37"/>
  <c r="W44" i="34"/>
  <c r="AC44" i="34"/>
  <c r="S15" i="37"/>
  <c r="U13" i="37"/>
  <c r="AA12" i="40"/>
  <c r="J37" i="33"/>
  <c r="W37" i="33" s="1"/>
  <c r="AC17" i="34"/>
  <c r="F106" i="33"/>
  <c r="G106" i="33" s="1"/>
  <c r="H106" i="33" s="1"/>
  <c r="I106" i="33" s="1"/>
  <c r="J106" i="33" s="1"/>
  <c r="K106" i="33" s="1"/>
  <c r="L106" i="33" s="1"/>
  <c r="M106" i="33" s="1"/>
  <c r="J34" i="33"/>
  <c r="F33" i="34"/>
  <c r="S33" i="34" s="1"/>
  <c r="W12" i="36"/>
  <c r="AC12" i="36"/>
  <c r="H20" i="36"/>
  <c r="J20" i="36"/>
  <c r="W20" i="36" s="1"/>
  <c r="W24" i="36"/>
  <c r="J27" i="36"/>
  <c r="W27" i="36"/>
  <c r="AB25" i="37"/>
  <c r="AC33" i="40"/>
  <c r="F111" i="40"/>
  <c r="G111" i="40"/>
  <c r="H111" i="40" s="1"/>
  <c r="I111" i="40"/>
  <c r="J111" i="40" s="1"/>
  <c r="K111" i="40" s="1"/>
  <c r="L111" i="40" s="1"/>
  <c r="M111" i="40" s="1"/>
  <c r="H35" i="40"/>
  <c r="AB35" i="40"/>
  <c r="H35" i="37"/>
  <c r="U35" i="37" s="1"/>
  <c r="AB29" i="36"/>
  <c r="U29" i="36"/>
  <c r="H32" i="37"/>
  <c r="AB32" i="37" s="1"/>
  <c r="F96" i="37"/>
  <c r="H27" i="40"/>
  <c r="U27" i="40"/>
  <c r="J27" i="40"/>
  <c r="AC27" i="40" s="1"/>
  <c r="F27" i="40"/>
  <c r="S27" i="40"/>
  <c r="J30" i="40"/>
  <c r="AC30" i="40"/>
  <c r="F30" i="40"/>
  <c r="AA30" i="40" s="1"/>
  <c r="AC21" i="40"/>
  <c r="S11" i="40"/>
  <c r="E98" i="40"/>
  <c r="F98" i="40" s="1"/>
  <c r="G98" i="40" s="1"/>
  <c r="H98" i="40" s="1"/>
  <c r="I98" i="40" s="1"/>
  <c r="J98" i="40" s="1"/>
  <c r="K98" i="40"/>
  <c r="L98" i="40" s="1"/>
  <c r="M98" i="40" s="1"/>
  <c r="F10" i="33"/>
  <c r="S10" i="33"/>
  <c r="F34" i="33"/>
  <c r="S34" i="33"/>
  <c r="H34" i="33"/>
  <c r="U34" i="33" s="1"/>
  <c r="F35" i="33"/>
  <c r="S35" i="33"/>
  <c r="F39" i="34"/>
  <c r="S39" i="34"/>
  <c r="J39" i="34"/>
  <c r="W39" i="34" s="1"/>
  <c r="F40" i="34"/>
  <c r="S40" i="34" s="1"/>
  <c r="F43" i="34"/>
  <c r="AA43" i="34"/>
  <c r="H44" i="34"/>
  <c r="AB44" i="34" s="1"/>
  <c r="AC38" i="39"/>
  <c r="F39" i="39"/>
  <c r="S39" i="39"/>
  <c r="J39" i="39"/>
  <c r="E97" i="39"/>
  <c r="F97" i="39" s="1"/>
  <c r="G97" i="39" s="1"/>
  <c r="C40" i="11"/>
  <c r="AZ232" i="3"/>
  <c r="AZ240" i="3"/>
  <c r="AZ248" i="3"/>
  <c r="AZ271" i="3"/>
  <c r="AZ288" i="3"/>
  <c r="AZ296" i="3"/>
  <c r="AZ133" i="3"/>
  <c r="AZ42" i="3"/>
  <c r="AZ45" i="3"/>
  <c r="AZ50" i="3"/>
  <c r="AZ53" i="3"/>
  <c r="AZ72" i="3"/>
  <c r="AZ74" i="3"/>
  <c r="AZ77" i="3"/>
  <c r="AZ82" i="3"/>
  <c r="AZ102" i="3"/>
  <c r="H75" i="43"/>
  <c r="I20" i="43"/>
  <c r="F23" i="39"/>
  <c r="H27" i="36"/>
  <c r="U27" i="36" s="1"/>
  <c r="F27" i="36"/>
  <c r="AA27" i="36" s="1"/>
  <c r="H33" i="34"/>
  <c r="F32" i="37"/>
  <c r="AA32" i="37" s="1"/>
  <c r="G96" i="37"/>
  <c r="H96" i="37" s="1"/>
  <c r="I96" i="37"/>
  <c r="J96" i="37" s="1"/>
  <c r="K96" i="37" s="1"/>
  <c r="L96" i="37" s="1"/>
  <c r="M96" i="37" s="1"/>
  <c r="F20" i="36"/>
  <c r="AA20" i="36"/>
  <c r="J33" i="34"/>
  <c r="AC33" i="34" s="1"/>
  <c r="H23" i="39"/>
  <c r="U23" i="39"/>
  <c r="D48" i="9"/>
  <c r="M52" i="9"/>
  <c r="H86" i="43"/>
  <c r="H82" i="43"/>
  <c r="H87" i="43"/>
  <c r="K9" i="1"/>
  <c r="M9" i="1"/>
  <c r="AE9" i="1"/>
  <c r="D93" i="9"/>
  <c r="K6" i="1"/>
  <c r="AC26" i="33"/>
  <c r="W26" i="33"/>
  <c r="AB34" i="36"/>
  <c r="U34" i="36"/>
  <c r="AC12" i="39"/>
  <c r="W12" i="39"/>
  <c r="AC39" i="40"/>
  <c r="W39" i="40"/>
  <c r="AZ401" i="3"/>
  <c r="AZ417" i="3"/>
  <c r="AZ428" i="3"/>
  <c r="AZ465" i="3"/>
  <c r="W12" i="33"/>
  <c r="AC12" i="33"/>
  <c r="AA32" i="36"/>
  <c r="S32" i="36"/>
  <c r="AZ408" i="3"/>
  <c r="AZ441" i="3"/>
  <c r="AZ490" i="3"/>
  <c r="AA39" i="34"/>
  <c r="BL14" i="3"/>
  <c r="U30" i="33"/>
  <c r="AC13" i="34"/>
  <c r="AA47" i="34"/>
  <c r="W28" i="37"/>
  <c r="S19" i="39"/>
  <c r="F12" i="33"/>
  <c r="H12" i="39"/>
  <c r="AB12" i="39" s="1"/>
  <c r="F39" i="40"/>
  <c r="BA14" i="3"/>
  <c r="AZ14" i="3"/>
  <c r="AZ238" i="3"/>
  <c r="AZ250" i="3"/>
  <c r="AZ297" i="3"/>
  <c r="AZ189" i="3"/>
  <c r="AZ41" i="3"/>
  <c r="S12" i="1"/>
  <c r="R12" i="1"/>
  <c r="B12" i="1"/>
  <c r="E12" i="1"/>
  <c r="S10" i="1"/>
  <c r="R10" i="1"/>
  <c r="B10" i="1"/>
  <c r="E10" i="1" s="1"/>
  <c r="AZ80" i="3"/>
  <c r="AZ107" i="3"/>
  <c r="AZ111" i="3"/>
  <c r="K12" i="1"/>
  <c r="M12" i="1"/>
  <c r="O12" i="1"/>
  <c r="P12" i="1"/>
  <c r="S13" i="1"/>
  <c r="T13" i="1" s="1"/>
  <c r="R13" i="1"/>
  <c r="S11" i="1"/>
  <c r="R11" i="1"/>
  <c r="S9" i="1"/>
  <c r="AR9" i="1" s="1"/>
  <c r="R9" i="1"/>
  <c r="J51" i="67"/>
  <c r="H100" i="43"/>
  <c r="C30" i="66"/>
  <c r="E26" i="66"/>
  <c r="AA34" i="33"/>
  <c r="B41" i="1"/>
  <c r="J100" i="43"/>
  <c r="AB37" i="40"/>
  <c r="S35" i="40"/>
  <c r="U35" i="40"/>
  <c r="AC36" i="40"/>
  <c r="AA32" i="40"/>
  <c r="S17" i="40"/>
  <c r="S23" i="40"/>
  <c r="AC17" i="40"/>
  <c r="AC15" i="40"/>
  <c r="AB27" i="40"/>
  <c r="AA19" i="40"/>
  <c r="S28" i="40"/>
  <c r="AA27" i="40"/>
  <c r="U21" i="40"/>
  <c r="AB19" i="40"/>
  <c r="W42" i="39"/>
  <c r="U37" i="39"/>
  <c r="S43" i="39"/>
  <c r="S37" i="39"/>
  <c r="U35" i="39"/>
  <c r="F32" i="39"/>
  <c r="F107" i="39"/>
  <c r="G107" i="39"/>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S29" i="36"/>
  <c r="AA22" i="36"/>
  <c r="W14" i="36"/>
  <c r="AB14" i="36"/>
  <c r="U22" i="36"/>
  <c r="S16" i="36"/>
  <c r="AA25" i="36"/>
  <c r="S24" i="36"/>
  <c r="U24" i="36"/>
  <c r="U16" i="36"/>
  <c r="S14" i="36"/>
  <c r="U10" i="36"/>
  <c r="W10" i="36"/>
  <c r="AA25" i="35"/>
  <c r="S23" i="35"/>
  <c r="W24" i="35"/>
  <c r="U28" i="35"/>
  <c r="AB27" i="35"/>
  <c r="U32" i="35"/>
  <c r="AA33" i="35"/>
  <c r="AC30" i="35"/>
  <c r="S32" i="35"/>
  <c r="W32" i="35"/>
  <c r="S28" i="35"/>
  <c r="U22" i="35"/>
  <c r="S22" i="35"/>
  <c r="AC10" i="35"/>
  <c r="AA10" i="35"/>
  <c r="AB10" i="35"/>
  <c r="AA11" i="35"/>
  <c r="S8" i="35"/>
  <c r="AC9" i="35"/>
  <c r="W9"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s="1"/>
  <c r="G73" i="37"/>
  <c r="F17" i="37"/>
  <c r="S17" i="37" s="1"/>
  <c r="AA17" i="37"/>
  <c r="AB17" i="37"/>
  <c r="F75" i="37"/>
  <c r="F19" i="37"/>
  <c r="F79" i="37"/>
  <c r="F23" i="37"/>
  <c r="S23" i="37"/>
  <c r="U23" i="37"/>
  <c r="U15" i="37"/>
  <c r="U9" i="37"/>
  <c r="AA13" i="37"/>
  <c r="AA12" i="37"/>
  <c r="H10" i="37"/>
  <c r="F63" i="37"/>
  <c r="F11" i="37"/>
  <c r="AA11" i="37" s="1"/>
  <c r="S11" i="37"/>
  <c r="W25" i="34"/>
  <c r="AB8" i="34"/>
  <c r="AA33" i="34"/>
  <c r="U44" i="34"/>
  <c r="W41" i="34"/>
  <c r="AC42" i="34"/>
  <c r="AB35" i="34"/>
  <c r="U39" i="34"/>
  <c r="S43" i="34"/>
  <c r="W34" i="34"/>
  <c r="AA25" i="34"/>
  <c r="U28" i="34"/>
  <c r="S17" i="34"/>
  <c r="AA29" i="34"/>
  <c r="U27" i="34"/>
  <c r="S10" i="34"/>
  <c r="S13" i="34"/>
  <c r="H10" i="34"/>
  <c r="F11" i="34"/>
  <c r="S11" i="34"/>
  <c r="F70" i="34"/>
  <c r="G70" i="34" s="1"/>
  <c r="W42" i="33"/>
  <c r="AA35" i="33"/>
  <c r="S27" i="33"/>
  <c r="S32" i="33"/>
  <c r="AA29" i="33"/>
  <c r="AB29" i="33"/>
  <c r="W38" i="33"/>
  <c r="H41" i="33"/>
  <c r="F121" i="33"/>
  <c r="G121" i="33" s="1"/>
  <c r="H121" i="33" s="1"/>
  <c r="I121" i="33"/>
  <c r="J121" i="33"/>
  <c r="K121" i="33" s="1"/>
  <c r="L121" i="33" s="1"/>
  <c r="M121" i="33" s="1"/>
  <c r="U42" i="33"/>
  <c r="S42" i="33"/>
  <c r="F36" i="33"/>
  <c r="G111" i="33"/>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W43" i="33"/>
  <c r="S43" i="33"/>
  <c r="F91" i="33"/>
  <c r="H27" i="33"/>
  <c r="H25" i="33"/>
  <c r="F25" i="33"/>
  <c r="J23" i="33"/>
  <c r="AC23" i="33" s="1"/>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BL17" i="3"/>
  <c r="AZ17" i="3"/>
  <c r="BL13" i="3"/>
  <c r="J56" i="9"/>
  <c r="J57" i="9" s="1"/>
  <c r="J59" i="9" s="1"/>
  <c r="J61" i="9" s="1"/>
  <c r="A24" i="51"/>
  <c r="B18" i="72" s="1"/>
  <c r="E5" i="6"/>
  <c r="P10" i="1"/>
  <c r="E32" i="6"/>
  <c r="L19" i="6"/>
  <c r="L27" i="6" s="1"/>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c r="C70" i="39"/>
  <c r="C7" i="33"/>
  <c r="C58" i="33" s="1"/>
  <c r="C7" i="21"/>
  <c r="C58" i="21" s="1"/>
  <c r="C7" i="40"/>
  <c r="C63" i="40"/>
  <c r="D63" i="40" s="1"/>
  <c r="M47" i="9"/>
  <c r="G19" i="43"/>
  <c r="O19" i="43"/>
  <c r="C19" i="43"/>
  <c r="T35" i="4"/>
  <c r="A19" i="51" s="1"/>
  <c r="B14" i="72" s="1"/>
  <c r="C59" i="34"/>
  <c r="D59" i="34"/>
  <c r="E59" i="34"/>
  <c r="A4" i="51"/>
  <c r="B6" i="72"/>
  <c r="C4" i="12"/>
  <c r="H65" i="43"/>
  <c r="H64" i="43"/>
  <c r="H72" i="43"/>
  <c r="L20" i="6"/>
  <c r="B6" i="1"/>
  <c r="E6" i="1" s="1"/>
  <c r="S8" i="1"/>
  <c r="AQ8" i="1"/>
  <c r="K11" i="1"/>
  <c r="M11" i="1" s="1"/>
  <c r="O11" i="1"/>
  <c r="AP6" i="1"/>
  <c r="B9" i="1"/>
  <c r="E9" i="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AB23" i="39"/>
  <c r="AB41" i="39"/>
  <c r="W25" i="39"/>
  <c r="AC25" i="39"/>
  <c r="U13" i="39"/>
  <c r="AB13" i="39"/>
  <c r="AA13" i="39"/>
  <c r="S13" i="39"/>
  <c r="S14" i="39"/>
  <c r="AA14" i="39"/>
  <c r="U43" i="39"/>
  <c r="AB43" i="39"/>
  <c r="AB11" i="39"/>
  <c r="U11" i="39"/>
  <c r="W17" i="39"/>
  <c r="AC17" i="39"/>
  <c r="AA45" i="39"/>
  <c r="AB39" i="39"/>
  <c r="W34" i="39"/>
  <c r="U38" i="39"/>
  <c r="S8" i="39"/>
  <c r="S20" i="36"/>
  <c r="AC25" i="36"/>
  <c r="S28" i="36"/>
  <c r="U32" i="36"/>
  <c r="W29" i="36"/>
  <c r="AC20" i="36"/>
  <c r="AB28" i="36"/>
  <c r="AA13" i="36"/>
  <c r="W9" i="36"/>
  <c r="W22" i="36"/>
  <c r="S9" i="36"/>
  <c r="AC25" i="35"/>
  <c r="S24" i="35"/>
  <c r="AA30" i="35"/>
  <c r="U24" i="35"/>
  <c r="S35" i="35"/>
  <c r="W35" i="35"/>
  <c r="AA35" i="37"/>
  <c r="W36" i="37"/>
  <c r="S27" i="37"/>
  <c r="S28" i="37"/>
  <c r="W32" i="37"/>
  <c r="U36" i="37"/>
  <c r="S40" i="37"/>
  <c r="U38" i="37"/>
  <c r="AB37" i="37"/>
  <c r="S33" i="37"/>
  <c r="AC34" i="37"/>
  <c r="AB35" i="37"/>
  <c r="AA31" i="37"/>
  <c r="U19" i="37"/>
  <c r="AA29" i="37"/>
  <c r="AA8" i="37"/>
  <c r="U8" i="37"/>
  <c r="AA40" i="34"/>
  <c r="AB40" i="34"/>
  <c r="U19" i="34"/>
  <c r="W19"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AC35" i="34"/>
  <c r="W35" i="34"/>
  <c r="U12" i="34"/>
  <c r="AB12" i="34"/>
  <c r="AB28" i="33"/>
  <c r="W46" i="33"/>
  <c r="U39" i="33"/>
  <c r="U38" i="33"/>
  <c r="S33" i="33"/>
  <c r="AB34" i="33"/>
  <c r="U44" i="33"/>
  <c r="AB44" i="33"/>
  <c r="S30" i="33"/>
  <c r="AA30" i="33"/>
  <c r="AC14" i="33"/>
  <c r="W14" i="33"/>
  <c r="AC30" i="33"/>
  <c r="W30" i="33"/>
  <c r="S31" i="33"/>
  <c r="AA31" i="33"/>
  <c r="U15" i="33"/>
  <c r="S11" i="33"/>
  <c r="U37" i="33"/>
  <c r="AC28" i="33"/>
  <c r="S28" i="33"/>
  <c r="W9" i="33"/>
  <c r="W8" i="33"/>
  <c r="S44" i="21"/>
  <c r="U28" i="21"/>
  <c r="AA11" i="21"/>
  <c r="S45" i="21"/>
  <c r="I101" i="21"/>
  <c r="J101" i="21"/>
  <c r="K101" i="21" s="1"/>
  <c r="L101" i="21" s="1"/>
  <c r="M101" i="21" s="1"/>
  <c r="F33" i="21"/>
  <c r="AA33" i="21" s="1"/>
  <c r="J33" i="21"/>
  <c r="H33" i="21"/>
  <c r="U33" i="21" s="1"/>
  <c r="F37" i="21"/>
  <c r="AA37" i="21"/>
  <c r="AA26" i="21"/>
  <c r="AB14" i="21"/>
  <c r="AB46" i="21"/>
  <c r="U40" i="21"/>
  <c r="AB31" i="21"/>
  <c r="U31" i="21"/>
  <c r="AC15" i="21"/>
  <c r="U13" i="21"/>
  <c r="AB13" i="21"/>
  <c r="W8" i="21"/>
  <c r="S35" i="21"/>
  <c r="AB37" i="21"/>
  <c r="J37" i="21"/>
  <c r="W37" i="21" s="1"/>
  <c r="H15" i="21"/>
  <c r="U15" i="21" s="1"/>
  <c r="J17" i="21"/>
  <c r="AC17" i="21"/>
  <c r="AC19" i="21"/>
  <c r="W39" i="21"/>
  <c r="AC14" i="21"/>
  <c r="W30" i="21"/>
  <c r="S46" i="21"/>
  <c r="H45" i="21"/>
  <c r="AB45" i="21" s="1"/>
  <c r="U45" i="21"/>
  <c r="F29" i="21"/>
  <c r="S29" i="21"/>
  <c r="F13" i="21"/>
  <c r="AA13" i="21"/>
  <c r="AC38" i="21"/>
  <c r="H32" i="21"/>
  <c r="H9" i="21"/>
  <c r="J9" i="21"/>
  <c r="AC9" i="21" s="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s="1"/>
  <c r="C4" i="4"/>
  <c r="M6" i="1"/>
  <c r="O6" i="1"/>
  <c r="P6" i="1"/>
  <c r="AA39" i="40"/>
  <c r="S39" i="40"/>
  <c r="S12" i="33"/>
  <c r="AA12" i="33"/>
  <c r="J32" i="39"/>
  <c r="AC32" i="39" s="1"/>
  <c r="H107" i="39"/>
  <c r="I107" i="39" s="1"/>
  <c r="J107" i="39" s="1"/>
  <c r="K107" i="39" s="1"/>
  <c r="L107" i="39" s="1"/>
  <c r="M107" i="39" s="1"/>
  <c r="H32" i="39"/>
  <c r="U32" i="39" s="1"/>
  <c r="AA32" i="39"/>
  <c r="S32" i="39"/>
  <c r="AA21" i="39"/>
  <c r="S21" i="39"/>
  <c r="AC21" i="39"/>
  <c r="W21" i="39"/>
  <c r="S9" i="35"/>
  <c r="AC17" i="37"/>
  <c r="J19" i="37"/>
  <c r="G75" i="37"/>
  <c r="S19" i="37"/>
  <c r="AA19" i="37"/>
  <c r="AA23" i="37"/>
  <c r="J23" i="37"/>
  <c r="G79" i="37"/>
  <c r="J10" i="37"/>
  <c r="G63" i="37"/>
  <c r="H63" i="37" s="1"/>
  <c r="H11" i="37"/>
  <c r="AB10" i="37"/>
  <c r="U10" i="37"/>
  <c r="H11" i="34"/>
  <c r="U11" i="34"/>
  <c r="AB10" i="34"/>
  <c r="U10" i="34"/>
  <c r="J10" i="34"/>
  <c r="AC10" i="34" s="1"/>
  <c r="AB41" i="33"/>
  <c r="U41" i="33"/>
  <c r="W35" i="33"/>
  <c r="AC35" i="33"/>
  <c r="H111" i="33"/>
  <c r="I111" i="33" s="1"/>
  <c r="J111" i="33" s="1"/>
  <c r="K111" i="33"/>
  <c r="L111" i="33"/>
  <c r="M111" i="33" s="1"/>
  <c r="J36" i="33"/>
  <c r="W36" i="33" s="1"/>
  <c r="H36" i="33"/>
  <c r="AC32" i="33"/>
  <c r="W32" i="33"/>
  <c r="U27" i="33"/>
  <c r="AB27" i="33"/>
  <c r="G91" i="33"/>
  <c r="H91" i="33"/>
  <c r="I91" i="33" s="1"/>
  <c r="J91" i="33" s="1"/>
  <c r="K91" i="33" s="1"/>
  <c r="L91" i="33" s="1"/>
  <c r="M91" i="33" s="1"/>
  <c r="J27" i="33"/>
  <c r="W27" i="33" s="1"/>
  <c r="U25" i="33"/>
  <c r="AB25" i="33"/>
  <c r="J25" i="33"/>
  <c r="AC25" i="33" s="1"/>
  <c r="AB23" i="33"/>
  <c r="U23" i="33"/>
  <c r="F23" i="33"/>
  <c r="S23" i="33" s="1"/>
  <c r="G85" i="33"/>
  <c r="W23" i="33"/>
  <c r="AA19" i="33"/>
  <c r="H19" i="33"/>
  <c r="G81" i="33"/>
  <c r="G79" i="33"/>
  <c r="H17" i="33"/>
  <c r="AB17" i="33" s="1"/>
  <c r="F17" i="33"/>
  <c r="S17" i="33" s="1"/>
  <c r="W17" i="33"/>
  <c r="AC17" i="33"/>
  <c r="U10" i="33"/>
  <c r="AB10" i="33"/>
  <c r="AC10" i="33"/>
  <c r="W10" i="33"/>
  <c r="AC37" i="21"/>
  <c r="S37" i="21"/>
  <c r="AA23" i="21"/>
  <c r="AB15" i="21"/>
  <c r="J23" i="21"/>
  <c r="W23" i="21" s="1"/>
  <c r="F85" i="21"/>
  <c r="G85" i="21" s="1"/>
  <c r="H23" i="21"/>
  <c r="U23" i="21" s="1"/>
  <c r="S13" i="21"/>
  <c r="D121" i="9"/>
  <c r="D7" i="52" s="1"/>
  <c r="AR8" i="1"/>
  <c r="AP7" i="1"/>
  <c r="C36" i="69" s="1"/>
  <c r="AC33" i="21"/>
  <c r="W33" i="21"/>
  <c r="S33" i="21"/>
  <c r="W32" i="21"/>
  <c r="AC32" i="21"/>
  <c r="AB9" i="21"/>
  <c r="U9" i="21"/>
  <c r="AA32" i="21"/>
  <c r="S32" i="21"/>
  <c r="W9" i="21"/>
  <c r="AA10" i="21"/>
  <c r="S10" i="21"/>
  <c r="W32" i="39"/>
  <c r="W19" i="37"/>
  <c r="AC19" i="37"/>
  <c r="W23" i="37"/>
  <c r="AC23" i="37"/>
  <c r="I63" i="37"/>
  <c r="J63" i="37" s="1"/>
  <c r="K63" i="37"/>
  <c r="L63" i="37" s="1"/>
  <c r="M63" i="37" s="1"/>
  <c r="J11" i="37"/>
  <c r="W11" i="37" s="1"/>
  <c r="W10" i="37"/>
  <c r="AC10" i="37"/>
  <c r="AB11" i="34"/>
  <c r="H70" i="34"/>
  <c r="I70" i="34"/>
  <c r="J70" i="34" s="1"/>
  <c r="K70" i="34" s="1"/>
  <c r="L70" i="34" s="1"/>
  <c r="M70" i="34" s="1"/>
  <c r="J11" i="34"/>
  <c r="AC36" i="33"/>
  <c r="U36" i="33"/>
  <c r="AB36" i="33"/>
  <c r="W25" i="33"/>
  <c r="AA23" i="33"/>
  <c r="AB19" i="33"/>
  <c r="U19" i="33"/>
  <c r="U17" i="33"/>
  <c r="AB23" i="21"/>
  <c r="AC23" i="21"/>
  <c r="AC11" i="37"/>
  <c r="F34" i="11"/>
  <c r="C36" i="11" s="1"/>
  <c r="F11" i="12"/>
  <c r="F34" i="68"/>
  <c r="C36" i="68" s="1"/>
  <c r="R8" i="1"/>
  <c r="AE8" i="1"/>
  <c r="AG6" i="1"/>
  <c r="H109" i="9"/>
  <c r="D124" i="9"/>
  <c r="H14" i="74" s="1"/>
  <c r="B7" i="74" s="1"/>
  <c r="H110" i="9"/>
  <c r="D18" i="53"/>
  <c r="B35" i="72"/>
  <c r="D16" i="53"/>
  <c r="B34" i="72" s="1"/>
  <c r="H112" i="9"/>
  <c r="D21" i="53" s="1"/>
  <c r="B39" i="72" s="1"/>
  <c r="H111" i="9"/>
  <c r="D19" i="53" s="1"/>
  <c r="D20" i="53" s="1"/>
  <c r="D126" i="9"/>
  <c r="D59" i="9"/>
  <c r="M55" i="9"/>
  <c r="AD3" i="71"/>
  <c r="B4" i="62"/>
  <c r="B71" i="72"/>
  <c r="C65" i="40"/>
  <c r="J1" i="73"/>
  <c r="C13" i="12"/>
  <c r="C77" i="9"/>
  <c r="H77" i="43"/>
  <c r="H76" i="43"/>
  <c r="H59" i="43"/>
  <c r="M4" i="43"/>
  <c r="M5" i="43"/>
  <c r="N12" i="43"/>
  <c r="N11" i="43"/>
  <c r="M10" i="43"/>
  <c r="M2" i="43"/>
  <c r="M7" i="43"/>
  <c r="H70" i="43"/>
  <c r="N9" i="43"/>
  <c r="M8" i="43"/>
  <c r="N10" i="43"/>
  <c r="H74" i="43"/>
  <c r="M6" i="43"/>
  <c r="N7" i="43"/>
  <c r="N4" i="43"/>
  <c r="N2" i="43"/>
  <c r="N17" i="43"/>
  <c r="L17" i="43"/>
  <c r="O17" i="43"/>
  <c r="M17" i="43"/>
  <c r="E17" i="43"/>
  <c r="D68" i="39"/>
  <c r="E68" i="39" s="1"/>
  <c r="D70" i="39"/>
  <c r="D58" i="21"/>
  <c r="E58" i="21" s="1"/>
  <c r="C24" i="12"/>
  <c r="C12" i="71"/>
  <c r="D12" i="71"/>
  <c r="D13" i="71"/>
  <c r="D14" i="71"/>
  <c r="U14" i="71" s="1"/>
  <c r="S14" i="71"/>
  <c r="T14" i="71"/>
  <c r="AB12" i="71"/>
  <c r="X10" i="71"/>
  <c r="X9" i="71"/>
  <c r="AA10" i="71"/>
  <c r="AA9" i="71"/>
  <c r="X13" i="71"/>
  <c r="Y9" i="71"/>
  <c r="Z9" i="71"/>
  <c r="AB10" i="71"/>
  <c r="AB9" i="71"/>
  <c r="Y10" i="71"/>
  <c r="Z10" i="71"/>
  <c r="X3" i="71"/>
  <c r="C11" i="71"/>
  <c r="E11" i="71"/>
  <c r="E10" i="71" s="1"/>
  <c r="E9" i="71" s="1"/>
  <c r="E8" i="71" s="1"/>
  <c r="E7" i="71" s="1"/>
  <c r="E6" i="71" s="1"/>
  <c r="G20" i="43"/>
  <c r="F68" i="39"/>
  <c r="C10" i="71"/>
  <c r="C9" i="71" s="1"/>
  <c r="C8" i="71" s="1"/>
  <c r="D11" i="71"/>
  <c r="E70" i="39"/>
  <c r="T10" i="71"/>
  <c r="D9" i="71"/>
  <c r="J26" i="35"/>
  <c r="AC8" i="35"/>
  <c r="K4" i="4"/>
  <c r="B46" i="48"/>
  <c r="B4" i="72" s="1"/>
  <c r="W8" i="34"/>
  <c r="P74" i="67"/>
  <c r="B4" i="49"/>
  <c r="E10" i="49"/>
  <c r="C92" i="9"/>
  <c r="C94" i="9"/>
  <c r="F32" i="67"/>
  <c r="F60" i="67"/>
  <c r="D68" i="9"/>
  <c r="F52" i="9"/>
  <c r="M18" i="15"/>
  <c r="F30" i="11"/>
  <c r="C74" i="9"/>
  <c r="E9" i="49"/>
  <c r="B22" i="49"/>
  <c r="E8" i="49"/>
  <c r="E6" i="49"/>
  <c r="D9" i="68"/>
  <c r="T9" i="1"/>
  <c r="AQ9" i="1"/>
  <c r="J101" i="43"/>
  <c r="J102" i="43" s="1"/>
  <c r="B113" i="43"/>
  <c r="D101" i="43"/>
  <c r="D106" i="43"/>
  <c r="I101" i="43"/>
  <c r="S4" i="43"/>
  <c r="L101" i="43"/>
  <c r="M101" i="43"/>
  <c r="E101" i="43"/>
  <c r="S2" i="43"/>
  <c r="S5" i="43"/>
  <c r="G101" i="43"/>
  <c r="G102" i="43"/>
  <c r="C23" i="43"/>
  <c r="C21" i="43"/>
  <c r="S7" i="43"/>
  <c r="T8" i="1"/>
  <c r="E106" i="43"/>
  <c r="E103" i="43"/>
  <c r="I102" i="43"/>
  <c r="AR13" i="1"/>
  <c r="AQ13" i="1"/>
  <c r="AR12" i="1"/>
  <c r="T12" i="1"/>
  <c r="G107" i="43"/>
  <c r="I115" i="43"/>
  <c r="J115" i="43"/>
  <c r="K115" i="43" s="1"/>
  <c r="L115" i="43"/>
  <c r="M115" i="43" s="1"/>
  <c r="D118" i="43"/>
  <c r="E118" i="43"/>
  <c r="F118" i="43" s="1"/>
  <c r="I116" i="43"/>
  <c r="J116" i="43" s="1"/>
  <c r="K116" i="43" s="1"/>
  <c r="L116" i="43"/>
  <c r="M116" i="43" s="1"/>
  <c r="D115" i="43"/>
  <c r="E115" i="43" s="1"/>
  <c r="F115" i="43"/>
  <c r="G115" i="43" s="1"/>
  <c r="H115" i="43" s="1"/>
  <c r="F22" i="43"/>
  <c r="K101" i="43"/>
  <c r="F101" i="43"/>
  <c r="N101" i="43"/>
  <c r="E22" i="43"/>
  <c r="C101" i="43"/>
  <c r="N104" i="46"/>
  <c r="H22" i="43"/>
  <c r="H101" i="43"/>
  <c r="G22" i="43"/>
  <c r="AJ11" i="43"/>
  <c r="AJ13" i="43"/>
  <c r="AH11" i="43"/>
  <c r="AH13" i="43"/>
  <c r="AF11" i="43"/>
  <c r="AF13" i="43"/>
  <c r="AD11" i="43"/>
  <c r="AD13" i="43"/>
  <c r="AB11" i="43"/>
  <c r="AB13" i="43"/>
  <c r="Z11" i="43"/>
  <c r="Z13" i="43"/>
  <c r="Z7" i="43"/>
  <c r="AI11" i="43"/>
  <c r="AI13" i="43" s="1"/>
  <c r="AG11" i="43"/>
  <c r="AG13" i="43" s="1"/>
  <c r="AE11" i="43"/>
  <c r="AE13" i="43"/>
  <c r="AC11" i="43"/>
  <c r="AC13" i="43" s="1"/>
  <c r="AA11" i="43"/>
  <c r="AA13" i="43" s="1"/>
  <c r="Y11" i="43"/>
  <c r="Y13" i="43"/>
  <c r="S6" i="43"/>
  <c r="S3" i="43"/>
  <c r="J22" i="43"/>
  <c r="L102" i="43"/>
  <c r="L105" i="43"/>
  <c r="L104" i="43"/>
  <c r="O14" i="1"/>
  <c r="P14" i="1"/>
  <c r="M7" i="1"/>
  <c r="P11" i="1"/>
  <c r="D9" i="69"/>
  <c r="C9" i="69" s="1"/>
  <c r="O9" i="1"/>
  <c r="P9" i="1"/>
  <c r="O8" i="1"/>
  <c r="P8" i="1"/>
  <c r="G8" i="1"/>
  <c r="G11" i="1"/>
  <c r="G13" i="1"/>
  <c r="D10" i="52"/>
  <c r="D125" i="9"/>
  <c r="D11" i="52" s="1"/>
  <c r="D12" i="52"/>
  <c r="D17" i="53"/>
  <c r="B36" i="72" s="1"/>
  <c r="D46" i="36"/>
  <c r="D52" i="37"/>
  <c r="B6" i="49"/>
  <c r="B10" i="49"/>
  <c r="E13" i="49"/>
  <c r="B8" i="49"/>
  <c r="E14" i="49"/>
  <c r="Y6" i="71"/>
  <c r="Z6" i="71" s="1"/>
  <c r="Y5" i="71"/>
  <c r="Z5" i="71" s="1"/>
  <c r="AA6" i="71"/>
  <c r="AB3" i="71"/>
  <c r="E22" i="49"/>
  <c r="E21" i="49"/>
  <c r="B14" i="49"/>
  <c r="B9" i="49"/>
  <c r="E11" i="49"/>
  <c r="B11" i="49"/>
  <c r="E4" i="49"/>
  <c r="B13" i="49"/>
  <c r="E7" i="49"/>
  <c r="X6" i="71"/>
  <c r="AB6" i="71"/>
  <c r="Y3" i="71"/>
  <c r="Z3" i="71" s="1"/>
  <c r="AF3" i="71"/>
  <c r="P22" i="43"/>
  <c r="P21" i="43"/>
  <c r="P24" i="43"/>
  <c r="B66" i="40"/>
  <c r="K1" i="73"/>
  <c r="M17" i="67"/>
  <c r="M17" i="15"/>
  <c r="F59" i="15"/>
  <c r="F59" i="67"/>
  <c r="F31" i="15"/>
  <c r="F31" i="67"/>
  <c r="J105" i="43"/>
  <c r="G105" i="43"/>
  <c r="M106" i="43"/>
  <c r="D102" i="43"/>
  <c r="G104" i="43"/>
  <c r="D103" i="43"/>
  <c r="M103" i="43"/>
  <c r="J106" i="43"/>
  <c r="E104" i="43"/>
  <c r="L107" i="43"/>
  <c r="L106" i="43"/>
  <c r="L103" i="43"/>
  <c r="I107" i="43"/>
  <c r="I104" i="43"/>
  <c r="D116" i="43"/>
  <c r="E116" i="43"/>
  <c r="F116" i="43"/>
  <c r="G116" i="43" s="1"/>
  <c r="H116" i="43" s="1"/>
  <c r="I117" i="43"/>
  <c r="J117" i="43" s="1"/>
  <c r="K117" i="43" s="1"/>
  <c r="L117" i="43"/>
  <c r="M117" i="43" s="1"/>
  <c r="B117" i="43"/>
  <c r="C117" i="43" s="1"/>
  <c r="D117" i="43"/>
  <c r="E117" i="43" s="1"/>
  <c r="F117" i="43"/>
  <c r="G117" i="43" s="1"/>
  <c r="H117" i="43" s="1"/>
  <c r="G103" i="43"/>
  <c r="G106" i="43"/>
  <c r="M107" i="43"/>
  <c r="M104" i="43"/>
  <c r="D105" i="43"/>
  <c r="D107" i="43"/>
  <c r="D104" i="43"/>
  <c r="H104" i="43"/>
  <c r="H103" i="43"/>
  <c r="H107" i="43"/>
  <c r="C106" i="43"/>
  <c r="C102" i="43"/>
  <c r="C105" i="43"/>
  <c r="N105" i="43"/>
  <c r="N107" i="43"/>
  <c r="N103" i="43"/>
  <c r="N109" i="43"/>
  <c r="N102" i="43"/>
  <c r="N106" i="43"/>
  <c r="N104" i="43"/>
  <c r="K102" i="43"/>
  <c r="K106" i="43"/>
  <c r="K107" i="43"/>
  <c r="K105" i="43"/>
  <c r="K109" i="43"/>
  <c r="K103" i="43"/>
  <c r="K104" i="43"/>
  <c r="F102" i="43"/>
  <c r="F104" i="43"/>
  <c r="F106" i="43"/>
  <c r="F109" i="43"/>
  <c r="F107" i="43"/>
  <c r="O7" i="1"/>
  <c r="B38" i="72"/>
  <c r="B40" i="72"/>
  <c r="E52" i="37"/>
  <c r="F52" i="37" s="1"/>
  <c r="F58" i="21"/>
  <c r="E46" i="36"/>
  <c r="P25" i="43"/>
  <c r="P23" i="43"/>
  <c r="B71" i="39"/>
  <c r="D3" i="34"/>
  <c r="B1" i="74"/>
  <c r="C7" i="74" s="1"/>
  <c r="P7" i="1"/>
  <c r="F46" i="36"/>
  <c r="G52" i="37"/>
  <c r="G46" i="36"/>
  <c r="H52" i="37"/>
  <c r="I52" i="37"/>
  <c r="J52" i="37" s="1"/>
  <c r="K52" i="37" s="1"/>
  <c r="L52" i="37" s="1"/>
  <c r="M52" i="37" s="1"/>
  <c r="N52" i="37" s="1"/>
  <c r="O52" i="37" s="1"/>
  <c r="D35" i="80"/>
  <c r="F8" i="67"/>
  <c r="J15" i="67"/>
  <c r="F43" i="67"/>
  <c r="F4" i="73"/>
  <c r="E13" i="76"/>
  <c r="D2" i="37"/>
  <c r="D2" i="21"/>
  <c r="C76" i="67"/>
  <c r="F3" i="73"/>
  <c r="B10" i="76"/>
  <c r="D35" i="9"/>
  <c r="M28" i="67"/>
  <c r="F37" i="67"/>
  <c r="J15" i="15"/>
  <c r="D2" i="36"/>
  <c r="D2" i="33"/>
  <c r="F36" i="67"/>
  <c r="D34" i="9"/>
  <c r="M24" i="67"/>
  <c r="F16" i="67"/>
  <c r="M9" i="67"/>
  <c r="F26" i="67"/>
  <c r="B11" i="76"/>
  <c r="E9" i="76"/>
  <c r="F37" i="15"/>
  <c r="F5" i="73"/>
  <c r="E2" i="69"/>
  <c r="E10" i="76"/>
  <c r="D7" i="73"/>
  <c r="AO8" i="1"/>
  <c r="F20" i="31"/>
  <c r="L48" i="67"/>
  <c r="D6" i="73"/>
  <c r="E12" i="76"/>
  <c r="F38" i="67"/>
  <c r="B9" i="76"/>
  <c r="E2" i="68"/>
  <c r="F40" i="67"/>
  <c r="M29" i="67"/>
  <c r="F9" i="67"/>
  <c r="B13" i="76"/>
  <c r="F6" i="73"/>
  <c r="F42" i="67"/>
  <c r="D5" i="73"/>
  <c r="AO11" i="1"/>
  <c r="B8" i="76"/>
  <c r="D4" i="73"/>
  <c r="AO9" i="1"/>
  <c r="AO13" i="1"/>
  <c r="M22" i="67"/>
  <c r="D3" i="73"/>
  <c r="E7" i="76"/>
  <c r="E8" i="76"/>
  <c r="AO12" i="1"/>
  <c r="M23" i="67"/>
  <c r="M6" i="67"/>
  <c r="D34" i="80"/>
  <c r="L47" i="67"/>
  <c r="AO10" i="1"/>
  <c r="M27" i="67"/>
  <c r="M26" i="67"/>
  <c r="M24" i="15"/>
  <c r="M28" i="15"/>
  <c r="M8" i="67"/>
  <c r="B7" i="76"/>
  <c r="D2" i="34"/>
  <c r="E11" i="76"/>
  <c r="F7" i="67"/>
  <c r="F7" i="73"/>
  <c r="F6" i="67"/>
  <c r="D2" i="35"/>
  <c r="B12" i="76"/>
  <c r="C18" i="80" l="1"/>
  <c r="D18" i="80" s="1"/>
  <c r="AC45" i="34"/>
  <c r="C23" i="12"/>
  <c r="U26" i="35"/>
  <c r="AB26" i="35"/>
  <c r="O16" i="1"/>
  <c r="P16" i="1"/>
  <c r="C11" i="12" s="1"/>
  <c r="C12" i="12" s="1"/>
  <c r="B11" i="70"/>
  <c r="B13" i="70"/>
  <c r="F65" i="15"/>
  <c r="I1" i="73"/>
  <c r="B39" i="1" s="1"/>
  <c r="B9" i="70"/>
  <c r="L56" i="67"/>
  <c r="I54" i="67"/>
  <c r="J59" i="67"/>
  <c r="J53" i="67"/>
  <c r="J57" i="67"/>
  <c r="J55" i="67" s="1"/>
  <c r="J58" i="67" s="1"/>
  <c r="Q50" i="67" s="1"/>
  <c r="L57" i="67"/>
  <c r="J60" i="67"/>
  <c r="Q48" i="67" s="1"/>
  <c r="L60" i="67"/>
  <c r="F50" i="67"/>
  <c r="M7" i="67"/>
  <c r="J6" i="67" s="1"/>
  <c r="F70" i="67"/>
  <c r="C6" i="67"/>
  <c r="C27" i="67"/>
  <c r="F68" i="67"/>
  <c r="F71" i="67"/>
  <c r="E20" i="43"/>
  <c r="B8" i="70"/>
  <c r="B10" i="70"/>
  <c r="F65" i="67"/>
  <c r="B12" i="70"/>
  <c r="M59" i="67"/>
  <c r="N59" i="67"/>
  <c r="L59" i="67"/>
  <c r="L58" i="67"/>
  <c r="F51" i="67"/>
  <c r="Q71" i="67"/>
  <c r="F66" i="67"/>
  <c r="F64" i="67"/>
  <c r="AZ519" i="3"/>
  <c r="BA518" i="3"/>
  <c r="AZ518" i="3" s="1"/>
  <c r="BA517" i="3"/>
  <c r="AZ517" i="3" s="1"/>
  <c r="BL516" i="3"/>
  <c r="AZ516" i="3" s="1"/>
  <c r="BA514" i="3"/>
  <c r="AZ514" i="3" s="1"/>
  <c r="BA513" i="3"/>
  <c r="AZ513" i="3" s="1"/>
  <c r="AC5" i="3"/>
  <c r="G511" i="3"/>
  <c r="BA502" i="3"/>
  <c r="AZ502" i="3" s="1"/>
  <c r="BL496" i="3"/>
  <c r="BR5" i="3"/>
  <c r="G495" i="3"/>
  <c r="H5" i="3"/>
  <c r="BA494" i="3"/>
  <c r="BB5" i="3"/>
  <c r="J7" i="37"/>
  <c r="H46" i="36"/>
  <c r="S36" i="33"/>
  <c r="AA36" i="33"/>
  <c r="T11" i="1"/>
  <c r="AR11" i="1"/>
  <c r="AQ11" i="1"/>
  <c r="AB33" i="34"/>
  <c r="U33" i="34"/>
  <c r="H7" i="37"/>
  <c r="AZ524" i="3"/>
  <c r="BS5" i="3"/>
  <c r="BL512" i="3"/>
  <c r="AZ512" i="3" s="1"/>
  <c r="BL511" i="3"/>
  <c r="BN5" i="3"/>
  <c r="G29" i="6" s="1"/>
  <c r="BA511" i="3"/>
  <c r="AZ511" i="3" s="1"/>
  <c r="BG5" i="3"/>
  <c r="BA510" i="3"/>
  <c r="AZ510" i="3" s="1"/>
  <c r="BA506" i="3"/>
  <c r="AZ506" i="3" s="1"/>
  <c r="BA505" i="3"/>
  <c r="AZ505" i="3" s="1"/>
  <c r="BA504" i="3"/>
  <c r="AZ504" i="3" s="1"/>
  <c r="BL503" i="3"/>
  <c r="AZ503" i="3" s="1"/>
  <c r="AZ500" i="3"/>
  <c r="AZ499" i="3"/>
  <c r="BT5" i="3"/>
  <c r="BA495" i="3"/>
  <c r="AZ495" i="3" s="1"/>
  <c r="BF5" i="3"/>
  <c r="BL494" i="3"/>
  <c r="BO5" i="3"/>
  <c r="BA493" i="3"/>
  <c r="BC5" i="3"/>
  <c r="BA496" i="3"/>
  <c r="AZ496" i="3" s="1"/>
  <c r="BE5" i="3"/>
  <c r="BM5" i="3"/>
  <c r="F29" i="6" s="1"/>
  <c r="E29" i="6" s="1"/>
  <c r="K15" i="1" s="1"/>
  <c r="BL495" i="3"/>
  <c r="BP5" i="3"/>
  <c r="BL493" i="3"/>
  <c r="C9" i="68"/>
  <c r="AA17" i="33"/>
  <c r="C30" i="11"/>
  <c r="C48" i="11"/>
  <c r="H54" i="43"/>
  <c r="H50" i="43"/>
  <c r="H55" i="43"/>
  <c r="H56" i="43"/>
  <c r="H53" i="43"/>
  <c r="H52" i="43"/>
  <c r="H48" i="43"/>
  <c r="H49" i="43"/>
  <c r="H51" i="43"/>
  <c r="AC26" i="35"/>
  <c r="W26" i="35"/>
  <c r="BA525" i="3"/>
  <c r="AZ525" i="3" s="1"/>
  <c r="BL524" i="3"/>
  <c r="BA522" i="3"/>
  <c r="AZ522" i="3" s="1"/>
  <c r="BA521" i="3"/>
  <c r="AZ521" i="3" s="1"/>
  <c r="BL520" i="3"/>
  <c r="AZ520" i="3"/>
  <c r="AZ515" i="3"/>
  <c r="BJ5" i="3"/>
  <c r="BA509" i="3"/>
  <c r="BD5" i="3"/>
  <c r="BA508" i="3"/>
  <c r="AZ508" i="3" s="1"/>
  <c r="BL507" i="3"/>
  <c r="AZ507" i="3" s="1"/>
  <c r="BI5" i="3"/>
  <c r="C109" i="43"/>
  <c r="C103" i="43"/>
  <c r="C104" i="43"/>
  <c r="C107" i="43"/>
  <c r="AB32" i="21"/>
  <c r="U32" i="21"/>
  <c r="AR10" i="1"/>
  <c r="AQ10" i="1"/>
  <c r="T10" i="1"/>
  <c r="AB20" i="36"/>
  <c r="U20" i="36"/>
  <c r="U33" i="40"/>
  <c r="AB33" i="40"/>
  <c r="U35" i="35"/>
  <c r="AB35" i="35"/>
  <c r="U29" i="34"/>
  <c r="AB29" i="34"/>
  <c r="S44" i="33"/>
  <c r="AA44" i="33"/>
  <c r="AC33" i="35"/>
  <c r="W33" i="35"/>
  <c r="AA23" i="34"/>
  <c r="S23" i="34"/>
  <c r="G58" i="21"/>
  <c r="W39" i="39"/>
  <c r="AC39" i="39"/>
  <c r="S22" i="31"/>
  <c r="D127" i="9"/>
  <c r="D13" i="52" s="1"/>
  <c r="I14" i="74"/>
  <c r="B8" i="74" s="1"/>
  <c r="W11" i="34"/>
  <c r="AC11" i="34"/>
  <c r="F59" i="34"/>
  <c r="D19" i="12"/>
  <c r="C19" i="12" s="1"/>
  <c r="D9" i="11"/>
  <c r="C9" i="11" s="1"/>
  <c r="K120" i="9"/>
  <c r="A18" i="62" s="1"/>
  <c r="B64" i="72" s="1"/>
  <c r="D6" i="52"/>
  <c r="S25" i="33"/>
  <c r="AA25" i="33"/>
  <c r="F52" i="80"/>
  <c r="F32" i="79"/>
  <c r="F60" i="79" s="1"/>
  <c r="F54" i="80"/>
  <c r="D68" i="80"/>
  <c r="F53" i="80"/>
  <c r="F28" i="79"/>
  <c r="C28" i="79" s="1"/>
  <c r="M18" i="79"/>
  <c r="F28" i="15"/>
  <c r="C28" i="15" s="1"/>
  <c r="F30" i="69"/>
  <c r="F28" i="67"/>
  <c r="C28" i="67" s="1"/>
  <c r="F30" i="68"/>
  <c r="M18" i="67"/>
  <c r="F53" i="9"/>
  <c r="F54" i="9"/>
  <c r="F32" i="15"/>
  <c r="F60" i="15" s="1"/>
  <c r="F31" i="12"/>
  <c r="C31" i="12" s="1"/>
  <c r="BL509" i="3"/>
  <c r="U12" i="40"/>
  <c r="AB12" i="40"/>
  <c r="U25" i="35"/>
  <c r="AB25" i="35"/>
  <c r="S34" i="36"/>
  <c r="AA34" i="36"/>
  <c r="AA27" i="39"/>
  <c r="S27" i="39"/>
  <c r="AZ585" i="3"/>
  <c r="W45" i="21"/>
  <c r="AC45" i="21"/>
  <c r="H106" i="43"/>
  <c r="H102" i="43"/>
  <c r="H105" i="43"/>
  <c r="H109" i="43"/>
  <c r="F103" i="43"/>
  <c r="F105" i="43"/>
  <c r="E109" i="43"/>
  <c r="E105" i="43"/>
  <c r="E102" i="43"/>
  <c r="E107" i="43"/>
  <c r="F70" i="39"/>
  <c r="G68" i="39"/>
  <c r="G17" i="43"/>
  <c r="C16" i="43" s="1"/>
  <c r="D5" i="43" s="1"/>
  <c r="AC27" i="33"/>
  <c r="D65" i="40"/>
  <c r="E63" i="40"/>
  <c r="D58" i="33"/>
  <c r="C5" i="43"/>
  <c r="B24" i="72"/>
  <c r="J107" i="43"/>
  <c r="J109" i="43"/>
  <c r="J104" i="43"/>
  <c r="J103" i="43"/>
  <c r="V10" i="71"/>
  <c r="E41" i="43"/>
  <c r="C41" i="43" s="1"/>
  <c r="C20" i="43"/>
  <c r="S23" i="39"/>
  <c r="AA23" i="39"/>
  <c r="AZ379" i="3"/>
  <c r="F7" i="37"/>
  <c r="AA36" i="35"/>
  <c r="S36" i="35"/>
  <c r="S14" i="40"/>
  <c r="AA14" i="40"/>
  <c r="AB28" i="37"/>
  <c r="U28" i="37"/>
  <c r="W47" i="34"/>
  <c r="AC47" i="34"/>
  <c r="U23" i="35"/>
  <c r="AB23" i="35"/>
  <c r="AB36" i="35"/>
  <c r="U36" i="35"/>
  <c r="E5" i="71"/>
  <c r="V6" i="71"/>
  <c r="I103" i="43"/>
  <c r="I105" i="43"/>
  <c r="C7" i="71"/>
  <c r="D8" i="71"/>
  <c r="AB11" i="37"/>
  <c r="U11" i="37"/>
  <c r="AB21" i="39"/>
  <c r="U21" i="39"/>
  <c r="H63" i="43"/>
  <c r="H67" i="43"/>
  <c r="H60" i="43"/>
  <c r="H66" i="43"/>
  <c r="H61" i="43"/>
  <c r="H62" i="43"/>
  <c r="AA9" i="37"/>
  <c r="S9" i="37"/>
  <c r="AB13" i="40"/>
  <c r="U13" i="40"/>
  <c r="U25" i="36"/>
  <c r="AB25" i="36"/>
  <c r="AA31" i="34"/>
  <c r="S31" i="34"/>
  <c r="AA14" i="37"/>
  <c r="S14" i="37"/>
  <c r="AC13" i="37"/>
  <c r="W13" i="37"/>
  <c r="AA45" i="34"/>
  <c r="S45" i="34"/>
  <c r="W26" i="36"/>
  <c r="AC26" i="36"/>
  <c r="W45" i="33"/>
  <c r="AC45" i="33"/>
  <c r="AB42" i="21"/>
  <c r="U42" i="21"/>
  <c r="AC11" i="40"/>
  <c r="W11" i="40"/>
  <c r="U33" i="36"/>
  <c r="AB33" i="36"/>
  <c r="D22" i="43"/>
  <c r="I106" i="43"/>
  <c r="M109" i="43"/>
  <c r="M105" i="43"/>
  <c r="M102" i="43"/>
  <c r="G118" i="43"/>
  <c r="H118" i="43" s="1"/>
  <c r="I118" i="43"/>
  <c r="J118" i="43" s="1"/>
  <c r="K118" i="43" s="1"/>
  <c r="L118" i="43" s="1"/>
  <c r="M118" i="43" s="1"/>
  <c r="B116" i="43"/>
  <c r="C116" i="43" s="1"/>
  <c r="B115" i="43"/>
  <c r="B118" i="43"/>
  <c r="C118" i="43" s="1"/>
  <c r="D10" i="71"/>
  <c r="U10" i="71" s="1"/>
  <c r="AB32" i="39"/>
  <c r="U9" i="35"/>
  <c r="AB9" i="35"/>
  <c r="AC34" i="33"/>
  <c r="W34" i="33"/>
  <c r="AZ328" i="3"/>
  <c r="AC11" i="39"/>
  <c r="W11" i="39"/>
  <c r="BQ5" i="3"/>
  <c r="F28" i="6" s="1"/>
  <c r="AZ571" i="3"/>
  <c r="AB13" i="35"/>
  <c r="U13" i="35"/>
  <c r="AZ548" i="3"/>
  <c r="W30" i="34"/>
  <c r="AC30" i="34"/>
  <c r="U36" i="39"/>
  <c r="AB36" i="39"/>
  <c r="W33" i="33"/>
  <c r="AC33" i="33"/>
  <c r="J15" i="34"/>
  <c r="H15" i="34"/>
  <c r="E78" i="34"/>
  <c r="F78" i="34" s="1"/>
  <c r="G78" i="34" s="1"/>
  <c r="J23" i="34"/>
  <c r="E86" i="34"/>
  <c r="F86" i="34" s="1"/>
  <c r="G86" i="34" s="1"/>
  <c r="W10" i="34"/>
  <c r="W33" i="34"/>
  <c r="S28" i="34"/>
  <c r="AC34" i="36"/>
  <c r="BA586" i="3"/>
  <c r="AZ586" i="3" s="1"/>
  <c r="AC13" i="36"/>
  <c r="W13" i="36"/>
  <c r="AB30" i="37"/>
  <c r="U30" i="37"/>
  <c r="H31" i="39"/>
  <c r="J31" i="39"/>
  <c r="F31" i="39"/>
  <c r="W30" i="36"/>
  <c r="AC30" i="36"/>
  <c r="BA584" i="3"/>
  <c r="AZ584" i="3" s="1"/>
  <c r="BA583" i="3"/>
  <c r="AZ583" i="3" s="1"/>
  <c r="BL582" i="3"/>
  <c r="AZ582" i="3" s="1"/>
  <c r="BL569" i="3"/>
  <c r="AZ569" i="3" s="1"/>
  <c r="BL565" i="3"/>
  <c r="AZ565" i="3" s="1"/>
  <c r="BL553" i="3"/>
  <c r="AZ553" i="3" s="1"/>
  <c r="BA552" i="3"/>
  <c r="AZ552" i="3" s="1"/>
  <c r="AB33" i="21"/>
  <c r="AB46" i="34"/>
  <c r="AC29" i="33"/>
  <c r="W29" i="33"/>
  <c r="AC40" i="39"/>
  <c r="W40" i="39"/>
  <c r="S30" i="40"/>
  <c r="U33" i="37"/>
  <c r="W11" i="36"/>
  <c r="U46" i="33"/>
  <c r="S14" i="33"/>
  <c r="AA14" i="33"/>
  <c r="W11" i="35"/>
  <c r="AC11" i="35"/>
  <c r="S14" i="34"/>
  <c r="AA14" i="34"/>
  <c r="AA15" i="34"/>
  <c r="S15" i="34"/>
  <c r="W9" i="34"/>
  <c r="AC9" i="34"/>
  <c r="F27" i="34"/>
  <c r="J27" i="34"/>
  <c r="H43" i="34"/>
  <c r="E124" i="34"/>
  <c r="F124" i="34" s="1"/>
  <c r="G124" i="34" s="1"/>
  <c r="H124" i="34" s="1"/>
  <c r="I124" i="34" s="1"/>
  <c r="J124" i="34" s="1"/>
  <c r="K124" i="34" s="1"/>
  <c r="L124" i="34" s="1"/>
  <c r="M124" i="34" s="1"/>
  <c r="J13" i="33"/>
  <c r="H13" i="33"/>
  <c r="J12" i="35"/>
  <c r="H12" i="35"/>
  <c r="F12" i="35"/>
  <c r="W9" i="40"/>
  <c r="AC9" i="40"/>
  <c r="AC32" i="40"/>
  <c r="W32" i="40"/>
  <c r="AC37" i="33"/>
  <c r="AB41" i="34"/>
  <c r="AC39" i="34"/>
  <c r="AB33" i="35"/>
  <c r="U33" i="35"/>
  <c r="AB23" i="40"/>
  <c r="S34" i="21"/>
  <c r="AA34" i="21"/>
  <c r="U8" i="33"/>
  <c r="AB8" i="33"/>
  <c r="AB35" i="33"/>
  <c r="U35" i="33"/>
  <c r="AA12" i="34"/>
  <c r="S12" i="34"/>
  <c r="U42" i="34"/>
  <c r="AB42" i="34"/>
  <c r="F14" i="35"/>
  <c r="J14" i="35"/>
  <c r="H14" i="35"/>
  <c r="AZ427" i="3"/>
  <c r="AZ449" i="3"/>
  <c r="AZ430" i="3"/>
  <c r="C15" i="39"/>
  <c r="F20" i="35"/>
  <c r="H20" i="35"/>
  <c r="J20" i="35"/>
  <c r="H23" i="36"/>
  <c r="G570" i="3"/>
  <c r="AZ415" i="3"/>
  <c r="AZ421" i="3"/>
  <c r="AZ455" i="3"/>
  <c r="J23" i="36"/>
  <c r="G558" i="3"/>
  <c r="BA551" i="3"/>
  <c r="AZ551" i="3" s="1"/>
  <c r="AZ399" i="3"/>
  <c r="AZ445" i="3"/>
  <c r="F16" i="35"/>
  <c r="J16" i="35"/>
  <c r="H16" i="35"/>
  <c r="AZ431" i="3"/>
  <c r="C21" i="39"/>
  <c r="H12" i="33"/>
  <c r="E64" i="35"/>
  <c r="F64" i="35" s="1"/>
  <c r="G64" i="35" s="1"/>
  <c r="G556" i="3"/>
  <c r="AZ419" i="3"/>
  <c r="AZ208" i="3"/>
  <c r="AZ118" i="3"/>
  <c r="AZ100" i="3"/>
  <c r="J38" i="40"/>
  <c r="F38" i="40"/>
  <c r="G412" i="3"/>
  <c r="BL414" i="3"/>
  <c r="BA420" i="3"/>
  <c r="AZ420" i="3" s="1"/>
  <c r="BL429" i="3"/>
  <c r="AZ429" i="3" s="1"/>
  <c r="BL430" i="3"/>
  <c r="BL431" i="3"/>
  <c r="BA435" i="3"/>
  <c r="BL439" i="3"/>
  <c r="G440" i="3"/>
  <c r="BA442" i="3"/>
  <c r="AZ442" i="3" s="1"/>
  <c r="BL447" i="3"/>
  <c r="BL449" i="3"/>
  <c r="BA456" i="3"/>
  <c r="AZ456" i="3" s="1"/>
  <c r="BA463" i="3"/>
  <c r="AZ463" i="3" s="1"/>
  <c r="BA464" i="3"/>
  <c r="AZ464" i="3" s="1"/>
  <c r="BA471" i="3"/>
  <c r="AZ471" i="3" s="1"/>
  <c r="BA476" i="3"/>
  <c r="AZ476" i="3" s="1"/>
  <c r="BL328" i="3"/>
  <c r="BA354" i="3"/>
  <c r="AZ354" i="3" s="1"/>
  <c r="BA396" i="3"/>
  <c r="AZ396" i="3" s="1"/>
  <c r="BA222" i="3"/>
  <c r="AZ222" i="3" s="1"/>
  <c r="BA225" i="3"/>
  <c r="AZ225" i="3" s="1"/>
  <c r="BA253" i="3"/>
  <c r="AZ253" i="3" s="1"/>
  <c r="F26" i="35"/>
  <c r="BA13" i="3"/>
  <c r="A15" i="62"/>
  <c r="B61" i="72" s="1"/>
  <c r="BL410" i="3"/>
  <c r="AZ410" i="3" s="1"/>
  <c r="BA414" i="3"/>
  <c r="BA444" i="3"/>
  <c r="AZ444" i="3" s="1"/>
  <c r="BL446" i="3"/>
  <c r="BA450" i="3"/>
  <c r="BA453" i="3"/>
  <c r="AZ453" i="3" s="1"/>
  <c r="BL477" i="3"/>
  <c r="BL478" i="3"/>
  <c r="AZ478" i="3" s="1"/>
  <c r="AZ488" i="3"/>
  <c r="BA303" i="3"/>
  <c r="AZ303" i="3" s="1"/>
  <c r="AZ316" i="3"/>
  <c r="BA384" i="3"/>
  <c r="AZ384" i="3" s="1"/>
  <c r="BL386" i="3"/>
  <c r="G396" i="3"/>
  <c r="BL397" i="3"/>
  <c r="G222" i="3"/>
  <c r="AZ230" i="3"/>
  <c r="BA235" i="3"/>
  <c r="AZ235" i="3" s="1"/>
  <c r="BL241" i="3"/>
  <c r="BA260" i="3"/>
  <c r="F34" i="79"/>
  <c r="M20" i="79"/>
  <c r="D78" i="80"/>
  <c r="D93" i="80"/>
  <c r="BL416" i="3"/>
  <c r="BA436" i="3"/>
  <c r="AZ436" i="3" s="1"/>
  <c r="BL454" i="3"/>
  <c r="AZ475" i="3"/>
  <c r="BL215" i="3"/>
  <c r="AZ252" i="3"/>
  <c r="G13" i="3"/>
  <c r="BL412" i="3"/>
  <c r="AZ412" i="3" s="1"/>
  <c r="BA416" i="3"/>
  <c r="AZ416" i="3" s="1"/>
  <c r="BA426" i="3"/>
  <c r="AZ426" i="3" s="1"/>
  <c r="BA437" i="3"/>
  <c r="AZ437" i="3" s="1"/>
  <c r="BA452" i="3"/>
  <c r="BL457" i="3"/>
  <c r="AZ457" i="3" s="1"/>
  <c r="BA459" i="3"/>
  <c r="AZ459" i="3" s="1"/>
  <c r="BA460" i="3"/>
  <c r="BA467" i="3"/>
  <c r="AZ467" i="3" s="1"/>
  <c r="AZ482" i="3"/>
  <c r="BA484" i="3"/>
  <c r="AZ484" i="3" s="1"/>
  <c r="BL368" i="3"/>
  <c r="BA370" i="3"/>
  <c r="AZ370" i="3" s="1"/>
  <c r="BA392" i="3"/>
  <c r="AZ392" i="3" s="1"/>
  <c r="BA209" i="3"/>
  <c r="AZ209" i="3" s="1"/>
  <c r="AZ216" i="3"/>
  <c r="BA243" i="3"/>
  <c r="AZ243" i="3" s="1"/>
  <c r="BL245" i="3"/>
  <c r="AZ245" i="3" s="1"/>
  <c r="BA424" i="3"/>
  <c r="AZ424" i="3" s="1"/>
  <c r="BL440" i="3"/>
  <c r="AZ440" i="3" s="1"/>
  <c r="G446" i="3"/>
  <c r="BA447" i="3"/>
  <c r="BA454" i="3"/>
  <c r="AZ454" i="3" s="1"/>
  <c r="G459" i="3"/>
  <c r="BA461" i="3"/>
  <c r="AZ461" i="3" s="1"/>
  <c r="AZ469" i="3"/>
  <c r="BL482" i="3"/>
  <c r="G351" i="3"/>
  <c r="BA213" i="3"/>
  <c r="AZ213" i="3" s="1"/>
  <c r="BL223" i="3"/>
  <c r="AZ223" i="3" s="1"/>
  <c r="AZ247" i="3"/>
  <c r="BL251" i="3"/>
  <c r="BL266" i="3"/>
  <c r="AZ266" i="3" s="1"/>
  <c r="G429" i="3"/>
  <c r="G433" i="3"/>
  <c r="BL435" i="3"/>
  <c r="BA446" i="3"/>
  <c r="G450" i="3"/>
  <c r="BL452" i="3"/>
  <c r="G460" i="3"/>
  <c r="BL462" i="3"/>
  <c r="BA468" i="3"/>
  <c r="AZ468" i="3" s="1"/>
  <c r="BL475" i="3"/>
  <c r="G483" i="3"/>
  <c r="G489" i="3"/>
  <c r="BA491" i="3"/>
  <c r="AZ491" i="3" s="1"/>
  <c r="BL308" i="3"/>
  <c r="AZ308" i="3" s="1"/>
  <c r="G311" i="3"/>
  <c r="BL316" i="3"/>
  <c r="BL317" i="3"/>
  <c r="AZ317" i="3" s="1"/>
  <c r="G329" i="3"/>
  <c r="G339" i="3"/>
  <c r="BL359" i="3"/>
  <c r="AZ359" i="3" s="1"/>
  <c r="G362" i="3"/>
  <c r="BL367" i="3"/>
  <c r="AZ367" i="3" s="1"/>
  <c r="BA397" i="3"/>
  <c r="AZ397" i="3" s="1"/>
  <c r="G208" i="3"/>
  <c r="BA217" i="3"/>
  <c r="G224" i="3"/>
  <c r="BL227" i="3"/>
  <c r="AZ227" i="3" s="1"/>
  <c r="G231" i="3"/>
  <c r="BA233" i="3"/>
  <c r="AZ233" i="3" s="1"/>
  <c r="BA234" i="3"/>
  <c r="AZ234" i="3" s="1"/>
  <c r="BL236" i="3"/>
  <c r="BL237" i="3"/>
  <c r="AZ237" i="3" s="1"/>
  <c r="G242" i="3"/>
  <c r="BL244" i="3"/>
  <c r="BA249" i="3"/>
  <c r="AZ249" i="3" s="1"/>
  <c r="BL257" i="3"/>
  <c r="BA263" i="3"/>
  <c r="AZ263" i="3" s="1"/>
  <c r="BL270" i="3"/>
  <c r="AZ270" i="3" s="1"/>
  <c r="AZ292" i="3"/>
  <c r="AZ293" i="3"/>
  <c r="AZ126" i="3"/>
  <c r="BL131" i="3"/>
  <c r="AZ131" i="3" s="1"/>
  <c r="BA141" i="3"/>
  <c r="BL448" i="3"/>
  <c r="AZ448" i="3" s="1"/>
  <c r="G456" i="3"/>
  <c r="BL458" i="3"/>
  <c r="AZ458" i="3" s="1"/>
  <c r="BA462" i="3"/>
  <c r="BA466" i="3"/>
  <c r="AZ466" i="3" s="1"/>
  <c r="G479" i="3"/>
  <c r="BL481" i="3"/>
  <c r="BA485" i="3"/>
  <c r="AZ485" i="3" s="1"/>
  <c r="BL487" i="3"/>
  <c r="G492" i="3"/>
  <c r="BL324" i="3"/>
  <c r="AZ324" i="3" s="1"/>
  <c r="G327" i="3"/>
  <c r="BL332" i="3"/>
  <c r="BL333" i="3"/>
  <c r="AZ333" i="3" s="1"/>
  <c r="BL350" i="3"/>
  <c r="BA353" i="3"/>
  <c r="AZ353" i="3" s="1"/>
  <c r="BA368" i="3"/>
  <c r="AZ368" i="3" s="1"/>
  <c r="BL383" i="3"/>
  <c r="AZ383" i="3" s="1"/>
  <c r="BA210" i="3"/>
  <c r="AZ210" i="3" s="1"/>
  <c r="BL212" i="3"/>
  <c r="G217" i="3"/>
  <c r="BA219" i="3"/>
  <c r="AZ219" i="3" s="1"/>
  <c r="BA226" i="3"/>
  <c r="AZ226" i="3" s="1"/>
  <c r="BL229" i="3"/>
  <c r="G234" i="3"/>
  <c r="BA236" i="3"/>
  <c r="BA241" i="3"/>
  <c r="AZ241" i="3" s="1"/>
  <c r="BA244" i="3"/>
  <c r="AZ244" i="3" s="1"/>
  <c r="G249" i="3"/>
  <c r="BL252" i="3"/>
  <c r="BA257" i="3"/>
  <c r="BL268" i="3"/>
  <c r="AZ268" i="3" s="1"/>
  <c r="BL301" i="3"/>
  <c r="AZ301" i="3" s="1"/>
  <c r="AZ64" i="3"/>
  <c r="BL433" i="3"/>
  <c r="AZ433" i="3" s="1"/>
  <c r="BA439" i="3"/>
  <c r="G448" i="3"/>
  <c r="BL450" i="3"/>
  <c r="G458" i="3"/>
  <c r="BL460" i="3"/>
  <c r="BA472" i="3"/>
  <c r="AZ472" i="3" s="1"/>
  <c r="BL473" i="3"/>
  <c r="AZ473" i="3" s="1"/>
  <c r="BA481" i="3"/>
  <c r="BL483" i="3"/>
  <c r="AZ483" i="3" s="1"/>
  <c r="BA487" i="3"/>
  <c r="AZ487" i="3" s="1"/>
  <c r="BL489" i="3"/>
  <c r="AZ489" i="3" s="1"/>
  <c r="BA307" i="3"/>
  <c r="AZ307" i="3" s="1"/>
  <c r="BA315" i="3"/>
  <c r="AZ315" i="3" s="1"/>
  <c r="BA332" i="3"/>
  <c r="BA350" i="3"/>
  <c r="AZ350" i="3" s="1"/>
  <c r="BA358" i="3"/>
  <c r="AZ358" i="3" s="1"/>
  <c r="BA366" i="3"/>
  <c r="AZ366" i="3" s="1"/>
  <c r="BA374" i="3"/>
  <c r="AZ374" i="3" s="1"/>
  <c r="BA388" i="3"/>
  <c r="AZ388" i="3" s="1"/>
  <c r="BA395" i="3"/>
  <c r="AZ395" i="3" s="1"/>
  <c r="BA212" i="3"/>
  <c r="AZ212" i="3" s="1"/>
  <c r="BA221" i="3"/>
  <c r="AZ221" i="3" s="1"/>
  <c r="BL224" i="3"/>
  <c r="AZ224" i="3" s="1"/>
  <c r="BA228" i="3"/>
  <c r="AZ228" i="3" s="1"/>
  <c r="BA229" i="3"/>
  <c r="BL231" i="3"/>
  <c r="AZ231" i="3" s="1"/>
  <c r="BA239" i="3"/>
  <c r="AZ239" i="3" s="1"/>
  <c r="BL246" i="3"/>
  <c r="G252" i="3"/>
  <c r="BA256" i="3"/>
  <c r="AZ256" i="3" s="1"/>
  <c r="BL259" i="3"/>
  <c r="BL272" i="3"/>
  <c r="AZ274" i="3"/>
  <c r="BA275" i="3"/>
  <c r="BL282" i="3"/>
  <c r="AZ300" i="3"/>
  <c r="BA114" i="3"/>
  <c r="AZ153" i="3"/>
  <c r="BA161" i="3"/>
  <c r="BL161" i="3"/>
  <c r="BA470" i="3"/>
  <c r="AZ470" i="3" s="1"/>
  <c r="BA477" i="3"/>
  <c r="G481" i="3"/>
  <c r="G487" i="3"/>
  <c r="G307" i="3"/>
  <c r="G315" i="3"/>
  <c r="BA323" i="3"/>
  <c r="AZ323" i="3" s="1"/>
  <c r="BA331" i="3"/>
  <c r="AZ331" i="3" s="1"/>
  <c r="BA349" i="3"/>
  <c r="AZ349" i="3" s="1"/>
  <c r="G358" i="3"/>
  <c r="G366" i="3"/>
  <c r="G374" i="3"/>
  <c r="BA385" i="3"/>
  <c r="AZ385" i="3" s="1"/>
  <c r="BA386" i="3"/>
  <c r="BL208" i="3"/>
  <c r="G212" i="3"/>
  <c r="BA215" i="3"/>
  <c r="AZ215" i="3" s="1"/>
  <c r="BL217" i="3"/>
  <c r="G229" i="3"/>
  <c r="BL234" i="3"/>
  <c r="G239" i="3"/>
  <c r="BL242" i="3"/>
  <c r="AZ242" i="3" s="1"/>
  <c r="BA246" i="3"/>
  <c r="AZ246" i="3" s="1"/>
  <c r="BA251" i="3"/>
  <c r="AZ251" i="3" s="1"/>
  <c r="BL254" i="3"/>
  <c r="AZ254" i="3" s="1"/>
  <c r="BA259" i="3"/>
  <c r="AZ259" i="3" s="1"/>
  <c r="BA276" i="3"/>
  <c r="AZ276" i="3" s="1"/>
  <c r="AZ277" i="3"/>
  <c r="AZ137" i="3"/>
  <c r="BL260" i="3"/>
  <c r="BL264" i="3"/>
  <c r="AZ264" i="3" s="1"/>
  <c r="BA267" i="3"/>
  <c r="AZ267" i="3" s="1"/>
  <c r="BA272" i="3"/>
  <c r="AZ272" i="3" s="1"/>
  <c r="BL275" i="3"/>
  <c r="G282" i="3"/>
  <c r="BA287" i="3"/>
  <c r="AZ287" i="3" s="1"/>
  <c r="BL291" i="3"/>
  <c r="AZ291" i="3" s="1"/>
  <c r="BL292" i="3"/>
  <c r="BL293" i="3"/>
  <c r="BL294" i="3"/>
  <c r="AZ294" i="3" s="1"/>
  <c r="BL299" i="3"/>
  <c r="BL117" i="3"/>
  <c r="AZ117" i="3" s="1"/>
  <c r="BL118" i="3"/>
  <c r="BA125" i="3"/>
  <c r="AZ125" i="3" s="1"/>
  <c r="BA128" i="3"/>
  <c r="AZ128" i="3" s="1"/>
  <c r="G131" i="3"/>
  <c r="BL139" i="3"/>
  <c r="AZ139" i="3" s="1"/>
  <c r="BA142" i="3"/>
  <c r="AZ142" i="3" s="1"/>
  <c r="G144" i="3"/>
  <c r="BL149" i="3"/>
  <c r="G156" i="3"/>
  <c r="BA185" i="3"/>
  <c r="AZ185" i="3" s="1"/>
  <c r="AZ34" i="3"/>
  <c r="AZ46" i="3"/>
  <c r="BA62" i="3"/>
  <c r="AZ62" i="3" s="1"/>
  <c r="BA66" i="3"/>
  <c r="BA67" i="3"/>
  <c r="AZ67" i="3" s="1"/>
  <c r="BA284" i="3"/>
  <c r="AZ284" i="3" s="1"/>
  <c r="G292" i="3"/>
  <c r="G294" i="3"/>
  <c r="G296" i="3"/>
  <c r="AZ298" i="3"/>
  <c r="BA299" i="3"/>
  <c r="G118" i="3"/>
  <c r="G124" i="3"/>
  <c r="G127" i="3"/>
  <c r="G140" i="3"/>
  <c r="BA149" i="3"/>
  <c r="BL163" i="3"/>
  <c r="AZ163" i="3" s="1"/>
  <c r="BA174" i="3"/>
  <c r="AZ174" i="3" s="1"/>
  <c r="AB24" i="71"/>
  <c r="AB15" i="71"/>
  <c r="F25" i="71"/>
  <c r="F26" i="71" s="1"/>
  <c r="V26" i="71" s="1"/>
  <c r="AB16" i="71"/>
  <c r="BA278" i="3"/>
  <c r="AZ278" i="3" s="1"/>
  <c r="BA279" i="3"/>
  <c r="AZ279" i="3" s="1"/>
  <c r="BL280" i="3"/>
  <c r="AZ280" i="3" s="1"/>
  <c r="BL287" i="3"/>
  <c r="BA302" i="3"/>
  <c r="AZ302" i="3" s="1"/>
  <c r="BL125" i="3"/>
  <c r="BL129" i="3"/>
  <c r="AZ129" i="3" s="1"/>
  <c r="BA132" i="3"/>
  <c r="AZ132" i="3" s="1"/>
  <c r="BA134" i="3"/>
  <c r="AZ134" i="3" s="1"/>
  <c r="BL143" i="3"/>
  <c r="AZ143" i="3" s="1"/>
  <c r="BA146" i="3"/>
  <c r="AZ146" i="3" s="1"/>
  <c r="G148" i="3"/>
  <c r="BA152" i="3"/>
  <c r="AZ152" i="3" s="1"/>
  <c r="BA157" i="3"/>
  <c r="AZ157" i="3" s="1"/>
  <c r="BL158" i="3"/>
  <c r="AZ158" i="3" s="1"/>
  <c r="BL165" i="3"/>
  <c r="AZ165" i="3" s="1"/>
  <c r="BL167" i="3"/>
  <c r="AZ167" i="3" s="1"/>
  <c r="BA170" i="3"/>
  <c r="AZ170" i="3" s="1"/>
  <c r="BA25" i="3"/>
  <c r="AZ25" i="3" s="1"/>
  <c r="BA28" i="3"/>
  <c r="AZ28" i="3" s="1"/>
  <c r="BA29" i="3"/>
  <c r="AZ29" i="3" s="1"/>
  <c r="BL35" i="3"/>
  <c r="AZ35" i="3" s="1"/>
  <c r="BL36" i="3"/>
  <c r="BL37" i="3"/>
  <c r="AZ37" i="3" s="1"/>
  <c r="BA38" i="3"/>
  <c r="BA39" i="3"/>
  <c r="AZ39" i="3" s="1"/>
  <c r="BL54" i="3"/>
  <c r="AZ54" i="3" s="1"/>
  <c r="BL60" i="3"/>
  <c r="K13" i="1"/>
  <c r="G16" i="1" s="1"/>
  <c r="B13" i="1"/>
  <c r="E13" i="1" s="1"/>
  <c r="BA262" i="3"/>
  <c r="AZ262" i="3" s="1"/>
  <c r="BA281" i="3"/>
  <c r="AZ281" i="3" s="1"/>
  <c r="BA282" i="3"/>
  <c r="AZ282" i="3" s="1"/>
  <c r="BL286" i="3"/>
  <c r="AZ286" i="3" s="1"/>
  <c r="BA113" i="3"/>
  <c r="AZ113" i="3" s="1"/>
  <c r="BL114" i="3"/>
  <c r="BL127" i="3"/>
  <c r="AZ127" i="3" s="1"/>
  <c r="BA130" i="3"/>
  <c r="AZ130" i="3" s="1"/>
  <c r="BL141" i="3"/>
  <c r="BA144" i="3"/>
  <c r="AZ144" i="3" s="1"/>
  <c r="BA156" i="3"/>
  <c r="AZ156" i="3" s="1"/>
  <c r="BL166" i="3"/>
  <c r="AZ166" i="3" s="1"/>
  <c r="BA190" i="3"/>
  <c r="BL195" i="3"/>
  <c r="AZ195" i="3" s="1"/>
  <c r="BA197" i="3"/>
  <c r="BA18" i="3"/>
  <c r="BA19" i="3"/>
  <c r="AZ19" i="3" s="1"/>
  <c r="BA21" i="3"/>
  <c r="BA56" i="3"/>
  <c r="AZ56" i="3" s="1"/>
  <c r="AZ207" i="3"/>
  <c r="BL31" i="3"/>
  <c r="AZ31" i="3" s="1"/>
  <c r="BL32" i="3"/>
  <c r="BA44" i="3"/>
  <c r="AZ44" i="3" s="1"/>
  <c r="BA47" i="3"/>
  <c r="BL58" i="3"/>
  <c r="AZ58" i="3" s="1"/>
  <c r="BL59" i="3"/>
  <c r="BA60" i="3"/>
  <c r="AZ60" i="3" s="1"/>
  <c r="BA61" i="3"/>
  <c r="AZ61" i="3" s="1"/>
  <c r="AZ78" i="3"/>
  <c r="BA81" i="3"/>
  <c r="AZ81" i="3" s="1"/>
  <c r="BL83" i="3"/>
  <c r="AZ106" i="3"/>
  <c r="AC21" i="34"/>
  <c r="W21" i="34"/>
  <c r="G163" i="3"/>
  <c r="BL169" i="3"/>
  <c r="AZ169" i="3" s="1"/>
  <c r="BL201" i="3"/>
  <c r="G207" i="3"/>
  <c r="BA30" i="3"/>
  <c r="AZ30" i="3" s="1"/>
  <c r="BA32" i="3"/>
  <c r="BA33" i="3"/>
  <c r="AZ33" i="3" s="1"/>
  <c r="BL38" i="3"/>
  <c r="BA57" i="3"/>
  <c r="AZ57" i="3" s="1"/>
  <c r="BA59" i="3"/>
  <c r="AZ59" i="3" s="1"/>
  <c r="BL63" i="3"/>
  <c r="AZ63" i="3" s="1"/>
  <c r="BL64" i="3"/>
  <c r="BL65" i="3"/>
  <c r="AZ65" i="3" s="1"/>
  <c r="BL66" i="3"/>
  <c r="BA87" i="3"/>
  <c r="AZ87" i="3" s="1"/>
  <c r="BL88" i="3"/>
  <c r="AZ88" i="3" s="1"/>
  <c r="BA95" i="3"/>
  <c r="AZ95" i="3" s="1"/>
  <c r="G99" i="3"/>
  <c r="G106" i="3"/>
  <c r="BA168" i="3"/>
  <c r="AZ168" i="3" s="1"/>
  <c r="BA173" i="3"/>
  <c r="AZ173" i="3" s="1"/>
  <c r="BL177" i="3"/>
  <c r="BL179" i="3"/>
  <c r="AZ179" i="3" s="1"/>
  <c r="BL182" i="3"/>
  <c r="AZ182" i="3" s="1"/>
  <c r="BA192" i="3"/>
  <c r="AZ192" i="3" s="1"/>
  <c r="BL197" i="3"/>
  <c r="BA201" i="3"/>
  <c r="AZ201" i="3" s="1"/>
  <c r="G202" i="3"/>
  <c r="BA202" i="3"/>
  <c r="AZ202" i="3" s="1"/>
  <c r="G204" i="3"/>
  <c r="BL22" i="3"/>
  <c r="BA23" i="3"/>
  <c r="AZ23" i="3" s="1"/>
  <c r="BA24" i="3"/>
  <c r="AZ24" i="3" s="1"/>
  <c r="AZ36" i="3"/>
  <c r="BL69" i="3"/>
  <c r="AZ69" i="3" s="1"/>
  <c r="BL70" i="3"/>
  <c r="BL73" i="3"/>
  <c r="AZ73" i="3" s="1"/>
  <c r="BL79" i="3"/>
  <c r="AZ79" i="3" s="1"/>
  <c r="BA90" i="3"/>
  <c r="AZ90" i="3" s="1"/>
  <c r="I108" i="43"/>
  <c r="I109" i="43" s="1"/>
  <c r="I100" i="43"/>
  <c r="G167" i="3"/>
  <c r="G168" i="3"/>
  <c r="BA172" i="3"/>
  <c r="AZ172" i="3" s="1"/>
  <c r="BA177" i="3"/>
  <c r="AZ177" i="3" s="1"/>
  <c r="BA178" i="3"/>
  <c r="AZ178" i="3" s="1"/>
  <c r="BA181" i="3"/>
  <c r="AZ181" i="3" s="1"/>
  <c r="BL190" i="3"/>
  <c r="BA198" i="3"/>
  <c r="AZ198" i="3" s="1"/>
  <c r="BL199" i="3"/>
  <c r="AZ199" i="3" s="1"/>
  <c r="BA200" i="3"/>
  <c r="AZ200" i="3" s="1"/>
  <c r="BL207" i="3"/>
  <c r="BL18" i="3"/>
  <c r="BL20" i="3"/>
  <c r="AZ20" i="3" s="1"/>
  <c r="BL21" i="3"/>
  <c r="BA22" i="3"/>
  <c r="AZ22" i="3" s="1"/>
  <c r="BL26" i="3"/>
  <c r="AZ26" i="3" s="1"/>
  <c r="BL47" i="3"/>
  <c r="G54" i="3"/>
  <c r="AZ70" i="3"/>
  <c r="BL84" i="3"/>
  <c r="AZ84" i="3" s="1"/>
  <c r="BA92" i="3"/>
  <c r="AZ92" i="3" s="1"/>
  <c r="BL99" i="3"/>
  <c r="AZ99" i="3" s="1"/>
  <c r="BL106" i="3"/>
  <c r="P74" i="15"/>
  <c r="P61" i="15"/>
  <c r="BL89" i="3"/>
  <c r="AZ89" i="3" s="1"/>
  <c r="BA96" i="3"/>
  <c r="AZ96" i="3" s="1"/>
  <c r="G108" i="3"/>
  <c r="N100" i="43"/>
  <c r="C41" i="71"/>
  <c r="D40" i="71"/>
  <c r="X11" i="71"/>
  <c r="G78" i="3"/>
  <c r="BA86" i="3"/>
  <c r="AZ86" i="3" s="1"/>
  <c r="BA93" i="3"/>
  <c r="AZ93" i="3" s="1"/>
  <c r="BA94" i="3"/>
  <c r="AZ94" i="3" s="1"/>
  <c r="BL98" i="3"/>
  <c r="AZ98" i="3" s="1"/>
  <c r="BL105" i="3"/>
  <c r="AZ105" i="3" s="1"/>
  <c r="BL110" i="3"/>
  <c r="AZ110" i="3" s="1"/>
  <c r="I20" i="66"/>
  <c r="D1" i="66" s="1"/>
  <c r="E10" i="66" s="1"/>
  <c r="P57" i="71"/>
  <c r="E56" i="71"/>
  <c r="X12" i="71"/>
  <c r="BA83" i="3"/>
  <c r="AZ83" i="3" s="1"/>
  <c r="BL91" i="3"/>
  <c r="AZ91" i="3" s="1"/>
  <c r="AA21" i="34"/>
  <c r="S21" i="34"/>
  <c r="C26" i="71"/>
  <c r="D25" i="71"/>
  <c r="AB22" i="71"/>
  <c r="X20" i="71"/>
  <c r="X25" i="71"/>
  <c r="T54" i="71"/>
  <c r="D54" i="71"/>
  <c r="AA16" i="71"/>
  <c r="AA3" i="71"/>
  <c r="G83" i="3"/>
  <c r="BL100" i="3"/>
  <c r="BA103" i="3"/>
  <c r="AZ103" i="3" s="1"/>
  <c r="BL108" i="3"/>
  <c r="AZ108" i="3" s="1"/>
  <c r="G1" i="79"/>
  <c r="F3" i="35"/>
  <c r="L108" i="43"/>
  <c r="L109" i="43" s="1"/>
  <c r="L100" i="43"/>
  <c r="AA21" i="21"/>
  <c r="S21" i="21"/>
  <c r="AA18" i="36"/>
  <c r="S18" i="36"/>
  <c r="D52" i="71"/>
  <c r="AB21" i="71"/>
  <c r="X24" i="71"/>
  <c r="AA25" i="71"/>
  <c r="AA28" i="71"/>
  <c r="E42" i="71"/>
  <c r="U42" i="71" s="1"/>
  <c r="G108" i="43"/>
  <c r="G109" i="43" s="1"/>
  <c r="D108" i="43"/>
  <c r="D109" i="43" s="1"/>
  <c r="B55" i="43"/>
  <c r="B66" i="43"/>
  <c r="C29" i="39"/>
  <c r="P27" i="6"/>
  <c r="B21" i="71"/>
  <c r="B22" i="71" s="1"/>
  <c r="S22" i="71" s="1"/>
  <c r="X22" i="71"/>
  <c r="X23" i="71"/>
  <c r="B24" i="71"/>
  <c r="B25" i="71" s="1"/>
  <c r="B26" i="71" s="1"/>
  <c r="S26" i="71" s="1"/>
  <c r="AB28" i="71"/>
  <c r="AB27" i="71"/>
  <c r="B34" i="71"/>
  <c r="S34" i="71" s="1"/>
  <c r="P58" i="71"/>
  <c r="U58" i="71"/>
  <c r="D78" i="71"/>
  <c r="F34" i="35"/>
  <c r="H34" i="35"/>
  <c r="J34" i="35"/>
  <c r="E18" i="71"/>
  <c r="AA18" i="71"/>
  <c r="C22" i="71"/>
  <c r="D21" i="71"/>
  <c r="X15" i="71"/>
  <c r="X16" i="71"/>
  <c r="X17" i="71"/>
  <c r="B18" i="71"/>
  <c r="X18" i="71"/>
  <c r="F20" i="71"/>
  <c r="F21" i="71" s="1"/>
  <c r="F22" i="71" s="1"/>
  <c r="V22" i="71" s="1"/>
  <c r="AB19" i="71"/>
  <c r="X21" i="71"/>
  <c r="C34" i="71"/>
  <c r="D33" i="71"/>
  <c r="E50" i="71"/>
  <c r="U50" i="71" s="1"/>
  <c r="D77" i="71"/>
  <c r="C76" i="71"/>
  <c r="D76" i="71" s="1"/>
  <c r="AA15" i="71"/>
  <c r="AA14" i="71"/>
  <c r="AA13" i="71"/>
  <c r="AA12" i="71"/>
  <c r="J7" i="35"/>
  <c r="AB14" i="71"/>
  <c r="AB17" i="71"/>
  <c r="F18" i="71"/>
  <c r="F17" i="71" s="1"/>
  <c r="F16" i="71" s="1"/>
  <c r="AB18" i="71"/>
  <c r="B45" i="71"/>
  <c r="B46" i="71" s="1"/>
  <c r="S46" i="71" s="1"/>
  <c r="V70" i="71"/>
  <c r="F69" i="71"/>
  <c r="F68" i="71" s="1"/>
  <c r="AB13" i="71"/>
  <c r="F13" i="71"/>
  <c r="F12" i="71" s="1"/>
  <c r="F11" i="71" s="1"/>
  <c r="F10" i="71" s="1"/>
  <c r="F9" i="71" s="1"/>
  <c r="F8" i="71" s="1"/>
  <c r="F7" i="71" s="1"/>
  <c r="F6" i="71" s="1"/>
  <c r="F5" i="71" s="1"/>
  <c r="AA11" i="71"/>
  <c r="AA8" i="71"/>
  <c r="X8" i="71"/>
  <c r="AB8" i="71"/>
  <c r="AB5" i="71"/>
  <c r="AB7" i="71"/>
  <c r="Y6" i="1"/>
  <c r="N7" i="1"/>
  <c r="P74" i="79"/>
  <c r="P61" i="79"/>
  <c r="D121" i="80"/>
  <c r="K120" i="80"/>
  <c r="D56" i="71"/>
  <c r="D29" i="71"/>
  <c r="C64" i="71"/>
  <c r="D64" i="71" s="1"/>
  <c r="E61" i="71"/>
  <c r="E60" i="71" s="1"/>
  <c r="D48" i="71"/>
  <c r="Y16" i="71"/>
  <c r="Z16" i="71" s="1"/>
  <c r="Y21" i="71"/>
  <c r="Z21" i="71" s="1"/>
  <c r="F61" i="71"/>
  <c r="F60" i="71" s="1"/>
  <c r="B13" i="71"/>
  <c r="B12" i="71" s="1"/>
  <c r="B11" i="71" s="1"/>
  <c r="B10" i="71" s="1"/>
  <c r="X14" i="71"/>
  <c r="Y8" i="71"/>
  <c r="Z8" i="71" s="1"/>
  <c r="D57" i="71"/>
  <c r="AB23" i="71"/>
  <c r="S58" i="71"/>
  <c r="B57" i="71"/>
  <c r="Y11" i="71"/>
  <c r="Z11" i="71" s="1"/>
  <c r="AB11" i="71"/>
  <c r="X7" i="71"/>
  <c r="X5" i="71"/>
  <c r="H7" i="35"/>
  <c r="Y18" i="71"/>
  <c r="Z18" i="71" s="1"/>
  <c r="Y15" i="71"/>
  <c r="Z15" i="71" s="1"/>
  <c r="Y14" i="71"/>
  <c r="Z14" i="71" s="1"/>
  <c r="Y7" i="71"/>
  <c r="Z7" i="71" s="1"/>
  <c r="F7" i="35"/>
  <c r="A124" i="80"/>
  <c r="AB20" i="71"/>
  <c r="D22" i="79"/>
  <c r="D24" i="79"/>
  <c r="C74" i="80"/>
  <c r="K56" i="9"/>
  <c r="J56" i="80"/>
  <c r="J57" i="80" s="1"/>
  <c r="J59" i="80" s="1"/>
  <c r="J61" i="80" s="1"/>
  <c r="G1" i="73"/>
  <c r="F40" i="15"/>
  <c r="F41" i="15"/>
  <c r="F26" i="15"/>
  <c r="F16" i="15"/>
  <c r="L48" i="15"/>
  <c r="F13" i="67"/>
  <c r="F9" i="15"/>
  <c r="M23" i="15"/>
  <c r="F13" i="15"/>
  <c r="L47" i="15"/>
  <c r="F38" i="15"/>
  <c r="F8" i="15"/>
  <c r="M6" i="15"/>
  <c r="C76" i="15"/>
  <c r="M27" i="15"/>
  <c r="F7" i="15"/>
  <c r="M9" i="15"/>
  <c r="C16" i="67"/>
  <c r="M26" i="15"/>
  <c r="M29" i="15"/>
  <c r="F42" i="15"/>
  <c r="F35" i="15"/>
  <c r="F36" i="15"/>
  <c r="F6" i="15"/>
  <c r="C14" i="15"/>
  <c r="M22" i="15"/>
  <c r="F43" i="15"/>
  <c r="M21" i="15"/>
  <c r="M8" i="15"/>
  <c r="B40" i="1" l="1"/>
  <c r="F24" i="79" s="1"/>
  <c r="C24" i="79" s="1"/>
  <c r="C15" i="12"/>
  <c r="C49" i="67"/>
  <c r="L46" i="67"/>
  <c r="F66" i="15"/>
  <c r="F51" i="15"/>
  <c r="F71" i="15"/>
  <c r="F68" i="15"/>
  <c r="C27" i="15"/>
  <c r="F63" i="15"/>
  <c r="C62" i="15" s="1"/>
  <c r="C34" i="15"/>
  <c r="L59" i="15"/>
  <c r="M59" i="15"/>
  <c r="N59" i="15"/>
  <c r="L58" i="15"/>
  <c r="C15" i="15"/>
  <c r="C18" i="15"/>
  <c r="Q71" i="15"/>
  <c r="C6" i="15"/>
  <c r="F50" i="15"/>
  <c r="M7" i="15"/>
  <c r="J6" i="15" s="1"/>
  <c r="F69" i="15"/>
  <c r="J20" i="15"/>
  <c r="F64" i="15"/>
  <c r="J57" i="15"/>
  <c r="J55" i="15" s="1"/>
  <c r="J58" i="15" s="1"/>
  <c r="Q50" i="15" s="1"/>
  <c r="I54" i="15"/>
  <c r="J53" i="15"/>
  <c r="L56" i="15" s="1"/>
  <c r="F10" i="39"/>
  <c r="J10" i="39"/>
  <c r="H10" i="40"/>
  <c r="J10" i="40"/>
  <c r="H10" i="39"/>
  <c r="F10" i="40"/>
  <c r="J18" i="67"/>
  <c r="AA34" i="35"/>
  <c r="S34" i="35"/>
  <c r="E252" i="3"/>
  <c r="AZ141" i="3"/>
  <c r="AA27" i="34"/>
  <c r="S27" i="34"/>
  <c r="D22" i="71"/>
  <c r="T22" i="71"/>
  <c r="T26" i="71"/>
  <c r="D26" i="71"/>
  <c r="P55" i="71"/>
  <c r="P56" i="71"/>
  <c r="D41" i="71"/>
  <c r="C42" i="71"/>
  <c r="E163" i="3"/>
  <c r="AZ161" i="3"/>
  <c r="AZ275" i="3"/>
  <c r="AZ462" i="3"/>
  <c r="AZ217" i="3"/>
  <c r="E460" i="3"/>
  <c r="AZ460" i="3"/>
  <c r="AZ450" i="3"/>
  <c r="BA5" i="3"/>
  <c r="E27" i="6" s="1"/>
  <c r="AZ13" i="3"/>
  <c r="AC16" i="35"/>
  <c r="W16" i="35"/>
  <c r="AC23" i="36"/>
  <c r="W23" i="36"/>
  <c r="AB23" i="36"/>
  <c r="U23" i="36"/>
  <c r="AA14" i="35"/>
  <c r="S14" i="35"/>
  <c r="U13" i="33"/>
  <c r="AB13" i="33"/>
  <c r="AC31" i="39"/>
  <c r="W31" i="39"/>
  <c r="AC23" i="34"/>
  <c r="W23" i="34"/>
  <c r="C6" i="71"/>
  <c r="D7" i="71"/>
  <c r="C30" i="69"/>
  <c r="C48" i="69"/>
  <c r="AZ509" i="3"/>
  <c r="E12" i="6"/>
  <c r="E13" i="6"/>
  <c r="E10" i="6"/>
  <c r="E8" i="6"/>
  <c r="E11" i="6"/>
  <c r="E15" i="6"/>
  <c r="E14" i="6"/>
  <c r="M11" i="67"/>
  <c r="J10" i="67" s="1"/>
  <c r="J5" i="67" s="1"/>
  <c r="M11" i="79"/>
  <c r="J10" i="79" s="1"/>
  <c r="F11" i="15"/>
  <c r="M11" i="15"/>
  <c r="F11" i="67"/>
  <c r="C53" i="67" s="1"/>
  <c r="F11" i="79"/>
  <c r="C53" i="79" s="1"/>
  <c r="AC7" i="35"/>
  <c r="W7" i="35"/>
  <c r="AB16" i="35"/>
  <c r="U16" i="35"/>
  <c r="R22" i="31"/>
  <c r="B20" i="31"/>
  <c r="B21" i="31" s="1"/>
  <c r="AC7" i="37"/>
  <c r="V42" i="37" s="1"/>
  <c r="I42" i="37" s="1"/>
  <c r="W7" i="37"/>
  <c r="S18" i="71"/>
  <c r="B17" i="71"/>
  <c r="B16" i="71" s="1"/>
  <c r="BL5" i="3"/>
  <c r="E99" i="3"/>
  <c r="AZ32" i="3"/>
  <c r="AZ190" i="3"/>
  <c r="AZ38" i="3"/>
  <c r="AZ299" i="3"/>
  <c r="E212" i="3"/>
  <c r="E208" i="3"/>
  <c r="E489" i="3"/>
  <c r="AA26" i="35"/>
  <c r="S26" i="35"/>
  <c r="AZ435" i="3"/>
  <c r="U12" i="33"/>
  <c r="AB12" i="33"/>
  <c r="AA16" i="35"/>
  <c r="S16" i="35"/>
  <c r="AC20" i="35"/>
  <c r="W20" i="35"/>
  <c r="W13" i="33"/>
  <c r="AC13" i="33"/>
  <c r="AB31" i="39"/>
  <c r="U31" i="39"/>
  <c r="T16" i="43"/>
  <c r="V16" i="43" s="1"/>
  <c r="T3" i="43"/>
  <c r="V3" i="43" s="1"/>
  <c r="T6" i="43"/>
  <c r="V6" i="43" s="1"/>
  <c r="T9" i="43"/>
  <c r="V9" i="43" s="1"/>
  <c r="T10" i="43"/>
  <c r="V10" i="43" s="1"/>
  <c r="T8" i="43"/>
  <c r="V8" i="43" s="1"/>
  <c r="T11" i="43"/>
  <c r="V11" i="43" s="1"/>
  <c r="T5" i="43"/>
  <c r="V5" i="43" s="1"/>
  <c r="T2" i="43"/>
  <c r="V2" i="43" s="1"/>
  <c r="T7" i="43"/>
  <c r="V7" i="43" s="1"/>
  <c r="T14" i="43"/>
  <c r="V14" i="43" s="1"/>
  <c r="T15" i="43"/>
  <c r="V15" i="43" s="1"/>
  <c r="T13" i="43"/>
  <c r="V13" i="43" s="1"/>
  <c r="T4" i="43"/>
  <c r="V4" i="43" s="1"/>
  <c r="C29" i="43"/>
  <c r="T12" i="43"/>
  <c r="V12" i="43" s="1"/>
  <c r="AZ493" i="3"/>
  <c r="U7" i="37"/>
  <c r="AB7" i="37"/>
  <c r="T42" i="37" s="1"/>
  <c r="G42" i="37" s="1"/>
  <c r="AZ494" i="3"/>
  <c r="Q60" i="67"/>
  <c r="Q73" i="67"/>
  <c r="F1" i="67"/>
  <c r="Q52" i="67"/>
  <c r="E124" i="3"/>
  <c r="AC14" i="35"/>
  <c r="W14" i="35"/>
  <c r="W12" i="35"/>
  <c r="AC12" i="35"/>
  <c r="S7" i="37"/>
  <c r="AA7" i="37"/>
  <c r="R42" i="37" s="1"/>
  <c r="E65" i="40"/>
  <c r="F63" i="40"/>
  <c r="H58" i="21"/>
  <c r="I58" i="21" s="1"/>
  <c r="J58" i="21" s="1"/>
  <c r="K58" i="21" s="1"/>
  <c r="L58" i="21" s="1"/>
  <c r="M58" i="21" s="1"/>
  <c r="N58" i="21" s="1"/>
  <c r="O58" i="21" s="1"/>
  <c r="F22" i="68"/>
  <c r="Y7" i="1"/>
  <c r="C37" i="34"/>
  <c r="C29" i="35"/>
  <c r="AA7" i="35"/>
  <c r="S7" i="35"/>
  <c r="D34" i="71"/>
  <c r="T34" i="71"/>
  <c r="E17" i="71"/>
  <c r="E16" i="71" s="1"/>
  <c r="V18" i="71"/>
  <c r="AZ47" i="3"/>
  <c r="AZ21" i="3"/>
  <c r="E148" i="3"/>
  <c r="AZ149" i="3"/>
  <c r="E481" i="3"/>
  <c r="AZ114" i="3"/>
  <c r="AZ332" i="3"/>
  <c r="AZ481" i="3"/>
  <c r="AZ236" i="3"/>
  <c r="E456" i="3"/>
  <c r="E450" i="3"/>
  <c r="AZ447" i="3"/>
  <c r="F62" i="79"/>
  <c r="AA38" i="40"/>
  <c r="S38" i="40"/>
  <c r="AB20" i="35"/>
  <c r="U20" i="35"/>
  <c r="AB15" i="34"/>
  <c r="U15" i="34"/>
  <c r="C35" i="43"/>
  <c r="C36" i="43"/>
  <c r="C37" i="43"/>
  <c r="C38" i="43"/>
  <c r="C33" i="43"/>
  <c r="C39" i="43"/>
  <c r="C34" i="43"/>
  <c r="C8" i="74"/>
  <c r="Q74" i="67"/>
  <c r="Q61" i="67"/>
  <c r="Q66" i="67"/>
  <c r="Q57" i="67"/>
  <c r="AA31" i="39"/>
  <c r="S31" i="39"/>
  <c r="AB7" i="35"/>
  <c r="U7" i="35"/>
  <c r="N57" i="71"/>
  <c r="B56" i="71"/>
  <c r="AC34" i="35"/>
  <c r="W34" i="35"/>
  <c r="E83" i="3"/>
  <c r="E202" i="3"/>
  <c r="E207" i="3"/>
  <c r="M13" i="1"/>
  <c r="Q16" i="1"/>
  <c r="H16" i="1"/>
  <c r="E140" i="3"/>
  <c r="AZ66" i="3"/>
  <c r="AZ386" i="3"/>
  <c r="AZ477" i="3"/>
  <c r="AZ229" i="3"/>
  <c r="AZ439" i="3"/>
  <c r="AZ257" i="3"/>
  <c r="E231" i="3"/>
  <c r="AZ446" i="3"/>
  <c r="E446" i="3"/>
  <c r="AZ452" i="3"/>
  <c r="G5" i="3"/>
  <c r="B3" i="3" s="1"/>
  <c r="E292" i="3" s="1"/>
  <c r="AZ260" i="3"/>
  <c r="AZ414" i="3"/>
  <c r="AC38" i="40"/>
  <c r="W38" i="40"/>
  <c r="AA20" i="35"/>
  <c r="S20" i="35"/>
  <c r="S12" i="35"/>
  <c r="AA12" i="35"/>
  <c r="AB43" i="34"/>
  <c r="U43" i="34"/>
  <c r="W15" i="34"/>
  <c r="AC15" i="34"/>
  <c r="C115" i="43"/>
  <c r="D113" i="43"/>
  <c r="E58" i="33"/>
  <c r="G70" i="39"/>
  <c r="H68" i="39"/>
  <c r="J7" i="21"/>
  <c r="E495" i="3"/>
  <c r="N28" i="43"/>
  <c r="P28" i="43"/>
  <c r="O28" i="43"/>
  <c r="M28" i="43"/>
  <c r="B9" i="71"/>
  <c r="B8" i="71" s="1"/>
  <c r="B7" i="71" s="1"/>
  <c r="B6" i="71" s="1"/>
  <c r="S10" i="71"/>
  <c r="E168" i="3"/>
  <c r="AZ197" i="3"/>
  <c r="E440" i="3"/>
  <c r="E558" i="3"/>
  <c r="AB34" i="35"/>
  <c r="U34" i="35"/>
  <c r="AZ18" i="3"/>
  <c r="E294" i="3"/>
  <c r="E144" i="3"/>
  <c r="E229" i="3"/>
  <c r="E479" i="3"/>
  <c r="E362" i="3"/>
  <c r="E311" i="3"/>
  <c r="AB14" i="35"/>
  <c r="U14" i="35"/>
  <c r="U12" i="35"/>
  <c r="AB12" i="35"/>
  <c r="W27" i="34"/>
  <c r="AC27" i="34"/>
  <c r="F30" i="6"/>
  <c r="C30" i="68"/>
  <c r="C48" i="68"/>
  <c r="G59" i="34"/>
  <c r="F7" i="21"/>
  <c r="I46" i="36"/>
  <c r="G28" i="6"/>
  <c r="G30" i="6" s="1"/>
  <c r="G31" i="6" s="1"/>
  <c r="C33" i="67"/>
  <c r="C32" i="67"/>
  <c r="M28" i="79"/>
  <c r="M29" i="79"/>
  <c r="F7" i="79"/>
  <c r="F8" i="79"/>
  <c r="F13" i="79"/>
  <c r="F40" i="79"/>
  <c r="L47" i="79"/>
  <c r="AE6" i="1"/>
  <c r="C76" i="79"/>
  <c r="F36" i="79"/>
  <c r="M9" i="79"/>
  <c r="F9" i="79"/>
  <c r="F43" i="79"/>
  <c r="M27" i="79"/>
  <c r="M8" i="79"/>
  <c r="F26" i="79"/>
  <c r="L48" i="79"/>
  <c r="F42" i="79"/>
  <c r="C17" i="15"/>
  <c r="C16" i="15"/>
  <c r="M26" i="79"/>
  <c r="M6" i="79"/>
  <c r="F6" i="79"/>
  <c r="M23" i="79"/>
  <c r="F16" i="79"/>
  <c r="J15" i="79"/>
  <c r="M22" i="79"/>
  <c r="F37" i="79"/>
  <c r="F38" i="79"/>
  <c r="M24" i="79"/>
  <c r="F25" i="12" l="1"/>
  <c r="C26" i="12" s="1"/>
  <c r="D25" i="12" s="1"/>
  <c r="F24" i="15"/>
  <c r="C24" i="15" s="1"/>
  <c r="F24" i="67"/>
  <c r="C24" i="67" s="1"/>
  <c r="F22" i="11"/>
  <c r="C23" i="11" s="1"/>
  <c r="F22" i="69"/>
  <c r="C48" i="67"/>
  <c r="C60" i="67" s="1"/>
  <c r="C10" i="67"/>
  <c r="C5" i="67" s="1"/>
  <c r="C38" i="67" s="1"/>
  <c r="F66" i="79"/>
  <c r="F51" i="79"/>
  <c r="F71" i="79"/>
  <c r="F70" i="79"/>
  <c r="L59" i="79"/>
  <c r="M59" i="79"/>
  <c r="N59" i="79"/>
  <c r="L58" i="79"/>
  <c r="M7" i="79"/>
  <c r="J6" i="79" s="1"/>
  <c r="F50" i="79"/>
  <c r="F64" i="79"/>
  <c r="L60" i="79"/>
  <c r="L57" i="79"/>
  <c r="I54" i="79"/>
  <c r="L56" i="79"/>
  <c r="J59" i="79"/>
  <c r="J57" i="79"/>
  <c r="J55" i="79" s="1"/>
  <c r="J58" i="79" s="1"/>
  <c r="Q50" i="79" s="1"/>
  <c r="J53" i="79"/>
  <c r="J60" i="79"/>
  <c r="Q48" i="79" s="1"/>
  <c r="C19" i="15"/>
  <c r="F65" i="79"/>
  <c r="Q71" i="79"/>
  <c r="C27" i="79"/>
  <c r="F68" i="79"/>
  <c r="C6" i="79"/>
  <c r="J26" i="67"/>
  <c r="J24" i="67"/>
  <c r="AC10" i="39"/>
  <c r="W10" i="39"/>
  <c r="J18" i="15"/>
  <c r="J10" i="15"/>
  <c r="J5" i="15" s="1"/>
  <c r="Q73" i="15"/>
  <c r="Q60" i="15"/>
  <c r="J46" i="36"/>
  <c r="E28" i="6"/>
  <c r="E327" i="3"/>
  <c r="E315" i="3"/>
  <c r="E13" i="3"/>
  <c r="E234" i="3"/>
  <c r="F27" i="69"/>
  <c r="F28" i="12"/>
  <c r="C29" i="12" s="1"/>
  <c r="D28" i="12" s="1"/>
  <c r="F27" i="11"/>
  <c r="F27" i="68"/>
  <c r="E511" i="3"/>
  <c r="G33" i="43"/>
  <c r="I33" i="43" s="1"/>
  <c r="E33" i="43"/>
  <c r="E239" i="3"/>
  <c r="E108" i="3"/>
  <c r="C26" i="11"/>
  <c r="D22" i="11" s="1"/>
  <c r="H7" i="21"/>
  <c r="E29" i="43"/>
  <c r="C30" i="43"/>
  <c r="E30" i="43" s="1"/>
  <c r="E222" i="3"/>
  <c r="E217" i="3"/>
  <c r="E54" i="3"/>
  <c r="E58" i="40"/>
  <c r="E63" i="39"/>
  <c r="AZ5" i="3"/>
  <c r="E339" i="3"/>
  <c r="E106" i="3"/>
  <c r="E459" i="3"/>
  <c r="S10" i="39"/>
  <c r="AA10" i="39"/>
  <c r="C32" i="15"/>
  <c r="S7" i="21"/>
  <c r="AA7" i="21"/>
  <c r="R48" i="21" s="1"/>
  <c r="E149" i="3"/>
  <c r="E253" i="3"/>
  <c r="E141" i="3"/>
  <c r="E575" i="3"/>
  <c r="E542" i="3"/>
  <c r="E502" i="3"/>
  <c r="E427" i="3"/>
  <c r="E472" i="3"/>
  <c r="E469" i="3"/>
  <c r="E527" i="3"/>
  <c r="E422" i="3"/>
  <c r="E424" i="3"/>
  <c r="E451" i="3"/>
  <c r="E288" i="3"/>
  <c r="E376" i="3"/>
  <c r="E587" i="3"/>
  <c r="E497" i="3"/>
  <c r="E571" i="3"/>
  <c r="E498" i="3"/>
  <c r="E452" i="3"/>
  <c r="E471" i="3"/>
  <c r="E401" i="3"/>
  <c r="E454" i="3"/>
  <c r="E26" i="3"/>
  <c r="E72" i="3"/>
  <c r="E25" i="3"/>
  <c r="E73" i="3"/>
  <c r="E115" i="3"/>
  <c r="E119" i="3"/>
  <c r="E171" i="3"/>
  <c r="E225" i="3"/>
  <c r="E279" i="3"/>
  <c r="E226" i="3"/>
  <c r="E274" i="3"/>
  <c r="E332" i="3"/>
  <c r="AL6" i="3"/>
  <c r="E31" i="3"/>
  <c r="E60" i="3"/>
  <c r="E32" i="3"/>
  <c r="E488" i="3"/>
  <c r="E473" i="3"/>
  <c r="E79" i="3"/>
  <c r="E170" i="3"/>
  <c r="E174" i="3"/>
  <c r="E235" i="3"/>
  <c r="E342" i="3"/>
  <c r="AQ6" i="3"/>
  <c r="E86" i="3"/>
  <c r="E112" i="3"/>
  <c r="E206" i="3"/>
  <c r="E289" i="3"/>
  <c r="E370" i="3"/>
  <c r="E50" i="3"/>
  <c r="E80" i="3"/>
  <c r="E176" i="3"/>
  <c r="E287" i="3"/>
  <c r="E365" i="3"/>
  <c r="E22" i="3"/>
  <c r="E261" i="3"/>
  <c r="E361" i="3"/>
  <c r="AA6" i="3"/>
  <c r="I6" i="3"/>
  <c r="E453" i="3"/>
  <c r="E196" i="3"/>
  <c r="E188" i="3"/>
  <c r="E157" i="3"/>
  <c r="E223" i="3"/>
  <c r="E116" i="3"/>
  <c r="E369" i="3"/>
  <c r="E493" i="3"/>
  <c r="T6" i="3"/>
  <c r="E278" i="3"/>
  <c r="E445" i="3"/>
  <c r="E567" i="3"/>
  <c r="E165" i="3"/>
  <c r="AN6" i="3"/>
  <c r="E350" i="3"/>
  <c r="E159" i="3"/>
  <c r="E135" i="3"/>
  <c r="E117" i="3"/>
  <c r="E319" i="3"/>
  <c r="E343" i="3"/>
  <c r="E426" i="3"/>
  <c r="E388" i="3"/>
  <c r="E574" i="3"/>
  <c r="E337" i="3"/>
  <c r="E97" i="3"/>
  <c r="E533" i="3"/>
  <c r="E523" i="3"/>
  <c r="E538" i="3"/>
  <c r="E338" i="3"/>
  <c r="E169" i="3"/>
  <c r="E77" i="3"/>
  <c r="E286" i="3"/>
  <c r="AD6" i="3"/>
  <c r="R6" i="3"/>
  <c r="E405" i="3"/>
  <c r="E486" i="3"/>
  <c r="E438" i="3"/>
  <c r="E465" i="3"/>
  <c r="E360" i="3"/>
  <c r="E562" i="3"/>
  <c r="AH6" i="3"/>
  <c r="AE6" i="3"/>
  <c r="E537" i="3"/>
  <c r="E419" i="3"/>
  <c r="E468" i="3"/>
  <c r="E470" i="3"/>
  <c r="E463" i="3"/>
  <c r="E55" i="3"/>
  <c r="E104" i="3"/>
  <c r="E146" i="3"/>
  <c r="E198" i="3"/>
  <c r="E150" i="3"/>
  <c r="E256" i="3"/>
  <c r="E281" i="3"/>
  <c r="E257" i="3"/>
  <c r="E276" i="3"/>
  <c r="E318" i="3"/>
  <c r="E372" i="3"/>
  <c r="E42" i="3"/>
  <c r="E93" i="3"/>
  <c r="E43" i="3"/>
  <c r="E409" i="3"/>
  <c r="E482" i="3"/>
  <c r="E455" i="3"/>
  <c r="E96" i="3"/>
  <c r="E100" i="3"/>
  <c r="E190" i="3"/>
  <c r="E194" i="3"/>
  <c r="E275" i="3"/>
  <c r="E299" i="3"/>
  <c r="E383" i="3"/>
  <c r="E392" i="3"/>
  <c r="E35" i="3"/>
  <c r="E36" i="3"/>
  <c r="E49" i="3"/>
  <c r="E147" i="3"/>
  <c r="E251" i="3"/>
  <c r="E364" i="3"/>
  <c r="E102" i="3"/>
  <c r="E62" i="3"/>
  <c r="E158" i="3"/>
  <c r="E265" i="3"/>
  <c r="E326" i="3"/>
  <c r="E101" i="3"/>
  <c r="E528" i="3"/>
  <c r="E399" i="3"/>
  <c r="E397" i="3"/>
  <c r="E536" i="3"/>
  <c r="E368" i="3"/>
  <c r="E191" i="3"/>
  <c r="E228" i="3"/>
  <c r="E238" i="3"/>
  <c r="E173" i="3"/>
  <c r="E393" i="3"/>
  <c r="E534" i="3"/>
  <c r="E563" i="3"/>
  <c r="E535" i="3"/>
  <c r="E461" i="3"/>
  <c r="E353" i="3"/>
  <c r="E586" i="3"/>
  <c r="E303" i="3"/>
  <c r="E185" i="3"/>
  <c r="E290" i="3"/>
  <c r="E53" i="3"/>
  <c r="E530" i="3"/>
  <c r="E153" i="3"/>
  <c r="E508" i="3"/>
  <c r="O6" i="3"/>
  <c r="E410" i="3"/>
  <c r="E285" i="3"/>
  <c r="E270" i="3"/>
  <c r="S6" i="3"/>
  <c r="E561" i="3"/>
  <c r="E418" i="3"/>
  <c r="E380" i="3"/>
  <c r="E298" i="3"/>
  <c r="E585" i="3"/>
  <c r="AG6" i="3"/>
  <c r="E421" i="3"/>
  <c r="E466" i="3"/>
  <c r="E398" i="3"/>
  <c r="E400" i="3"/>
  <c r="E449" i="3"/>
  <c r="E477" i="3"/>
  <c r="AP6" i="3"/>
  <c r="E547" i="3"/>
  <c r="E582" i="3"/>
  <c r="E435" i="3"/>
  <c r="E476" i="3"/>
  <c r="E404" i="3"/>
  <c r="E71" i="3"/>
  <c r="E90" i="3"/>
  <c r="E70" i="3"/>
  <c r="E95" i="3"/>
  <c r="E162" i="3"/>
  <c r="E187" i="3"/>
  <c r="E166" i="3"/>
  <c r="E192" i="3"/>
  <c r="E272" i="3"/>
  <c r="E297" i="3"/>
  <c r="E273" i="3"/>
  <c r="E331" i="3"/>
  <c r="E378" i="3"/>
  <c r="E334" i="3"/>
  <c r="E389" i="3"/>
  <c r="AM6" i="3"/>
  <c r="E58" i="3"/>
  <c r="E109" i="3"/>
  <c r="E59" i="3"/>
  <c r="E441" i="3"/>
  <c r="E467" i="3"/>
  <c r="E98" i="3"/>
  <c r="E103" i="3"/>
  <c r="E195" i="3"/>
  <c r="E200" i="3"/>
  <c r="E209" i="3"/>
  <c r="E300" i="3"/>
  <c r="E66" i="3"/>
  <c r="E67" i="3"/>
  <c r="E87" i="3"/>
  <c r="E184" i="3"/>
  <c r="E284" i="3"/>
  <c r="E381" i="3"/>
  <c r="E51" i="3"/>
  <c r="E81" i="3"/>
  <c r="E179" i="3"/>
  <c r="E283" i="3"/>
  <c r="E373" i="3"/>
  <c r="E21" i="3"/>
  <c r="E271" i="3"/>
  <c r="E379" i="3"/>
  <c r="E464" i="3"/>
  <c r="E541" i="3"/>
  <c r="E416" i="3"/>
  <c r="E255" i="3"/>
  <c r="E566" i="3"/>
  <c r="E554" i="3"/>
  <c r="E413" i="3"/>
  <c r="E491" i="3"/>
  <c r="E436" i="3"/>
  <c r="E56" i="3"/>
  <c r="E57" i="3"/>
  <c r="E152" i="3"/>
  <c r="E155" i="3"/>
  <c r="E258" i="3"/>
  <c r="E259" i="3"/>
  <c r="E375" i="3"/>
  <c r="E544" i="3"/>
  <c r="E110" i="3"/>
  <c r="E462" i="3"/>
  <c r="E47" i="3"/>
  <c r="E138" i="3"/>
  <c r="E248" i="3"/>
  <c r="E584" i="3"/>
  <c r="E48" i="3"/>
  <c r="E250" i="3"/>
  <c r="Y6" i="3"/>
  <c r="E154" i="3"/>
  <c r="E323" i="3"/>
  <c r="E347" i="3"/>
  <c r="E293" i="3"/>
  <c r="E549" i="3"/>
  <c r="E136" i="3"/>
  <c r="E181" i="3"/>
  <c r="E277" i="3"/>
  <c r="E105" i="3"/>
  <c r="E532" i="3"/>
  <c r="E69" i="3"/>
  <c r="E550" i="3"/>
  <c r="E227" i="3"/>
  <c r="AI6" i="3"/>
  <c r="E301" i="3"/>
  <c r="E91" i="3"/>
  <c r="E175" i="3"/>
  <c r="E268" i="3"/>
  <c r="E328" i="3"/>
  <c r="E569" i="3"/>
  <c r="E143" i="3"/>
  <c r="E514" i="3"/>
  <c r="E506" i="3"/>
  <c r="E320" i="3"/>
  <c r="E216" i="3"/>
  <c r="E164" i="3"/>
  <c r="Z6" i="3"/>
  <c r="E411" i="3"/>
  <c r="E485" i="3"/>
  <c r="E414" i="3"/>
  <c r="E443" i="3"/>
  <c r="E367" i="3"/>
  <c r="E557" i="3"/>
  <c r="AS6" i="3"/>
  <c r="E444" i="3"/>
  <c r="E546" i="3"/>
  <c r="E28" i="3"/>
  <c r="E27" i="3"/>
  <c r="E121" i="3"/>
  <c r="E126" i="3"/>
  <c r="E211" i="3"/>
  <c r="E210" i="3"/>
  <c r="E316" i="3"/>
  <c r="E317" i="3"/>
  <c r="E572" i="3"/>
  <c r="E44" i="3"/>
  <c r="E480" i="3"/>
  <c r="E425" i="3"/>
  <c r="E46" i="3"/>
  <c r="E142" i="3"/>
  <c r="E84" i="3"/>
  <c r="E355" i="3"/>
  <c r="E63" i="3"/>
  <c r="E264" i="3"/>
  <c r="E213" i="3"/>
  <c r="E336" i="3"/>
  <c r="E236" i="3"/>
  <c r="E120" i="3"/>
  <c r="E177" i="3"/>
  <c r="E573" i="3"/>
  <c r="E395" i="3"/>
  <c r="E545" i="3"/>
  <c r="E385" i="3"/>
  <c r="E423" i="3"/>
  <c r="E134" i="3"/>
  <c r="E180" i="3"/>
  <c r="E526" i="3"/>
  <c r="E322" i="3"/>
  <c r="E407" i="3"/>
  <c r="U6" i="3"/>
  <c r="E478" i="3"/>
  <c r="E430" i="3"/>
  <c r="E345" i="3"/>
  <c r="E500" i="3"/>
  <c r="E403" i="3"/>
  <c r="E417" i="3"/>
  <c r="E88" i="3"/>
  <c r="E186" i="3"/>
  <c r="E241" i="3"/>
  <c r="E377" i="3"/>
  <c r="E504" i="3"/>
  <c r="E29" i="3"/>
  <c r="E160" i="3"/>
  <c r="E266" i="3"/>
  <c r="E23" i="3"/>
  <c r="E68" i="3"/>
  <c r="E199" i="3"/>
  <c r="E552" i="3"/>
  <c r="E474" i="3"/>
  <c r="E408" i="3"/>
  <c r="E344" i="3"/>
  <c r="J6" i="3"/>
  <c r="E420" i="3"/>
  <c r="E178" i="3"/>
  <c r="E243" i="3"/>
  <c r="E394" i="3"/>
  <c r="L6" i="3"/>
  <c r="E75" i="3"/>
  <c r="E18" i="3"/>
  <c r="E137" i="3"/>
  <c r="E324" i="3"/>
  <c r="E52" i="3"/>
  <c r="E232" i="3"/>
  <c r="E20" i="3"/>
  <c r="E308" i="3"/>
  <c r="E565" i="3"/>
  <c r="E280" i="3"/>
  <c r="E434" i="3"/>
  <c r="E525" i="3"/>
  <c r="E114" i="3"/>
  <c r="E510" i="3"/>
  <c r="E578" i="3"/>
  <c r="E61" i="3"/>
  <c r="N6" i="3"/>
  <c r="E431" i="3"/>
  <c r="E390" i="3"/>
  <c r="V6" i="3"/>
  <c r="E215" i="3"/>
  <c r="E312" i="3"/>
  <c r="E437" i="3"/>
  <c r="E457" i="3"/>
  <c r="E577" i="3"/>
  <c r="E475" i="3"/>
  <c r="E41" i="3"/>
  <c r="E203" i="3"/>
  <c r="E356" i="3"/>
  <c r="E74" i="3"/>
  <c r="E428" i="3"/>
  <c r="E38" i="3"/>
  <c r="E220" i="3"/>
  <c r="E325" i="3"/>
  <c r="E34" i="3"/>
  <c r="E340" i="3"/>
  <c r="E17" i="3"/>
  <c r="E314" i="3"/>
  <c r="E244" i="3"/>
  <c r="E122" i="3"/>
  <c r="E193" i="3"/>
  <c r="Q6" i="3"/>
  <c r="E172" i="3"/>
  <c r="E205" i="3"/>
  <c r="E382" i="3"/>
  <c r="E221" i="3"/>
  <c r="E501" i="3"/>
  <c r="E247" i="3"/>
  <c r="E439" i="3"/>
  <c r="E189" i="3"/>
  <c r="E406" i="3"/>
  <c r="E490" i="3"/>
  <c r="W6" i="3"/>
  <c r="E494" i="3"/>
  <c r="E496" i="3"/>
  <c r="E40" i="3"/>
  <c r="E111" i="3"/>
  <c r="E139" i="3"/>
  <c r="E214" i="3"/>
  <c r="E346" i="3"/>
  <c r="E14" i="3"/>
  <c r="E94" i="3"/>
  <c r="E15" i="3"/>
  <c r="E129" i="3"/>
  <c r="E219" i="3"/>
  <c r="E522" i="3"/>
  <c r="E123" i="3"/>
  <c r="AF6" i="3"/>
  <c r="E218" i="3"/>
  <c r="E583" i="3"/>
  <c r="E16" i="3"/>
  <c r="E85" i="3"/>
  <c r="E313" i="3"/>
  <c r="E560" i="3"/>
  <c r="E245" i="3"/>
  <c r="E555" i="3"/>
  <c r="E201" i="3"/>
  <c r="E551" i="3"/>
  <c r="E335" i="3"/>
  <c r="E581" i="3"/>
  <c r="E37" i="3"/>
  <c r="E291" i="3"/>
  <c r="E540" i="3"/>
  <c r="E371" i="3"/>
  <c r="E19" i="3"/>
  <c r="E302" i="3"/>
  <c r="E262" i="3"/>
  <c r="E133" i="3"/>
  <c r="E260" i="3"/>
  <c r="E263" i="3"/>
  <c r="E553" i="3"/>
  <c r="E387" i="3"/>
  <c r="P6" i="3"/>
  <c r="E517" i="3"/>
  <c r="E92" i="3"/>
  <c r="E348" i="3"/>
  <c r="E484" i="3"/>
  <c r="E354" i="3"/>
  <c r="X6" i="3"/>
  <c r="E330" i="3"/>
  <c r="E539" i="3"/>
  <c r="E130" i="3"/>
  <c r="E305" i="3"/>
  <c r="E151" i="3"/>
  <c r="E321" i="3"/>
  <c r="E442" i="3"/>
  <c r="E505" i="3"/>
  <c r="E39" i="3"/>
  <c r="E295" i="3"/>
  <c r="E76" i="3"/>
  <c r="E267" i="3"/>
  <c r="E341" i="3"/>
  <c r="E183" i="3"/>
  <c r="E306" i="3"/>
  <c r="E197" i="3"/>
  <c r="E415" i="3"/>
  <c r="E402" i="3"/>
  <c r="E359" i="3"/>
  <c r="AB6" i="3"/>
  <c r="E576" i="3"/>
  <c r="E384" i="3"/>
  <c r="E33" i="3"/>
  <c r="E568" i="3"/>
  <c r="E564" i="3"/>
  <c r="E161" i="3"/>
  <c r="AR6" i="3"/>
  <c r="E352" i="3"/>
  <c r="E230" i="3"/>
  <c r="I3" i="6"/>
  <c r="AO6" i="3"/>
  <c r="E447" i="3"/>
  <c r="E30" i="3"/>
  <c r="E233" i="3"/>
  <c r="AK6" i="3"/>
  <c r="E529" i="3"/>
  <c r="E125" i="3"/>
  <c r="M6" i="3"/>
  <c r="E432" i="3"/>
  <c r="E182" i="3"/>
  <c r="E64" i="3"/>
  <c r="E309" i="3"/>
  <c r="E269" i="3"/>
  <c r="AJ6" i="3"/>
  <c r="E579" i="3"/>
  <c r="E132" i="3"/>
  <c r="E65" i="3"/>
  <c r="E82" i="3"/>
  <c r="E89" i="3"/>
  <c r="E128" i="3"/>
  <c r="E509" i="3"/>
  <c r="E240" i="3"/>
  <c r="E237" i="3"/>
  <c r="E45" i="3"/>
  <c r="E518" i="3"/>
  <c r="E107" i="3"/>
  <c r="E349" i="3"/>
  <c r="E24" i="3"/>
  <c r="E246" i="3"/>
  <c r="K6" i="3"/>
  <c r="E254" i="3"/>
  <c r="E516" i="3"/>
  <c r="E145" i="3"/>
  <c r="E333" i="3"/>
  <c r="E548" i="3"/>
  <c r="E386" i="3"/>
  <c r="E391" i="3"/>
  <c r="E543" i="3"/>
  <c r="E507" i="3"/>
  <c r="E513" i="3"/>
  <c r="E512" i="3"/>
  <c r="E113" i="3"/>
  <c r="E521" i="3"/>
  <c r="E363" i="3"/>
  <c r="E580" i="3"/>
  <c r="E519" i="3"/>
  <c r="E524" i="3"/>
  <c r="E503" i="3"/>
  <c r="E499" i="3"/>
  <c r="E304" i="3"/>
  <c r="E531" i="3"/>
  <c r="E520" i="3"/>
  <c r="E515" i="3"/>
  <c r="E559" i="3"/>
  <c r="E310" i="3"/>
  <c r="E357" i="3"/>
  <c r="E296" i="3"/>
  <c r="E38" i="43"/>
  <c r="G38" i="43"/>
  <c r="I38" i="43" s="1"/>
  <c r="E448" i="3"/>
  <c r="E156" i="3"/>
  <c r="E487" i="3"/>
  <c r="E570" i="3"/>
  <c r="E64" i="39"/>
  <c r="E59" i="40"/>
  <c r="E62" i="39"/>
  <c r="E57" i="40"/>
  <c r="E307" i="3"/>
  <c r="E167" i="3"/>
  <c r="E433" i="3"/>
  <c r="S10" i="40"/>
  <c r="AA10" i="40"/>
  <c r="F58" i="33"/>
  <c r="N56" i="71"/>
  <c r="N55" i="71"/>
  <c r="G37" i="43"/>
  <c r="I37" i="43" s="1"/>
  <c r="E37" i="43"/>
  <c r="F29" i="35"/>
  <c r="H29" i="35"/>
  <c r="J29" i="35"/>
  <c r="C26" i="69"/>
  <c r="D22" i="69" s="1"/>
  <c r="C44" i="69"/>
  <c r="D41" i="69" s="1"/>
  <c r="G63" i="40"/>
  <c r="F65" i="40"/>
  <c r="G46" i="37"/>
  <c r="H46" i="37" s="1"/>
  <c r="G47" i="37"/>
  <c r="H47" i="37" s="1"/>
  <c r="E412" i="3"/>
  <c r="E351" i="3"/>
  <c r="E358" i="3"/>
  <c r="E65" i="39"/>
  <c r="E60" i="40"/>
  <c r="E366" i="3"/>
  <c r="T42" i="71"/>
  <c r="D42" i="71"/>
  <c r="E224" i="3"/>
  <c r="AB10" i="39"/>
  <c r="U10" i="39"/>
  <c r="Q52" i="15"/>
  <c r="F1" i="15"/>
  <c r="Q74" i="15"/>
  <c r="Q61" i="15"/>
  <c r="H59" i="34"/>
  <c r="I59" i="34" s="1"/>
  <c r="J59" i="34" s="1"/>
  <c r="K59" i="34" s="1"/>
  <c r="L59" i="34" s="1"/>
  <c r="M59" i="34" s="1"/>
  <c r="N59" i="34" s="1"/>
  <c r="O59" i="34" s="1"/>
  <c r="P59" i="34" s="1"/>
  <c r="Q59" i="34" s="1"/>
  <c r="R59" i="34" s="1"/>
  <c r="H7" i="34"/>
  <c r="E36" i="43"/>
  <c r="G36" i="43"/>
  <c r="I36" i="43" s="1"/>
  <c r="I37" i="34"/>
  <c r="J37" i="34" s="1"/>
  <c r="E37" i="34"/>
  <c r="F37" i="34" s="1"/>
  <c r="G37" i="34"/>
  <c r="H37" i="34" s="1"/>
  <c r="C53" i="15"/>
  <c r="C10" i="15"/>
  <c r="C5" i="15" s="1"/>
  <c r="E61" i="39"/>
  <c r="E56" i="40"/>
  <c r="T6" i="71"/>
  <c r="C5" i="71"/>
  <c r="D5" i="71" s="1"/>
  <c r="D6" i="71"/>
  <c r="U6" i="71" s="1"/>
  <c r="E492" i="3"/>
  <c r="E282" i="3"/>
  <c r="F7" i="34"/>
  <c r="W10" i="40"/>
  <c r="AC10" i="40"/>
  <c r="C49" i="15"/>
  <c r="I68" i="39"/>
  <c r="H70" i="39"/>
  <c r="E39" i="43"/>
  <c r="G39" i="43"/>
  <c r="I39" i="43" s="1"/>
  <c r="C23" i="68"/>
  <c r="C26" i="68"/>
  <c r="D22" i="68" s="1"/>
  <c r="C44" i="68"/>
  <c r="D41" i="68" s="1"/>
  <c r="E242" i="3"/>
  <c r="E127" i="3"/>
  <c r="E556" i="3"/>
  <c r="S6" i="71"/>
  <c r="B5" i="71"/>
  <c r="M20" i="43" s="1"/>
  <c r="W7" i="21"/>
  <c r="AC7" i="21"/>
  <c r="V48" i="21" s="1"/>
  <c r="I48" i="21" s="1"/>
  <c r="E396" i="3"/>
  <c r="E78" i="3"/>
  <c r="E34" i="43"/>
  <c r="G34" i="43"/>
  <c r="I34" i="43" s="1"/>
  <c r="E35" i="43"/>
  <c r="G35" i="43"/>
  <c r="I35" i="43" s="1"/>
  <c r="E483" i="3"/>
  <c r="R43" i="37"/>
  <c r="E42" i="37"/>
  <c r="E374" i="3"/>
  <c r="E329" i="3"/>
  <c r="E131" i="3"/>
  <c r="E204" i="3"/>
  <c r="I46" i="37"/>
  <c r="J46" i="37" s="1"/>
  <c r="I47" i="37"/>
  <c r="J47" i="37" s="1"/>
  <c r="E56" i="39"/>
  <c r="F27" i="6"/>
  <c r="F31" i="6" s="1"/>
  <c r="E51" i="40"/>
  <c r="E16" i="6"/>
  <c r="E429" i="3"/>
  <c r="E458" i="3"/>
  <c r="E118" i="3"/>
  <c r="E249" i="3"/>
  <c r="U10" i="40"/>
  <c r="AB10" i="40"/>
  <c r="C16" i="79"/>
  <c r="F41" i="67"/>
  <c r="C44" i="11" l="1"/>
  <c r="D41" i="11" s="1"/>
  <c r="F69" i="67"/>
  <c r="J29" i="67"/>
  <c r="C66" i="67"/>
  <c r="C48" i="15"/>
  <c r="C60" i="15" s="1"/>
  <c r="C27" i="43"/>
  <c r="C26" i="43"/>
  <c r="J26" i="15"/>
  <c r="J29" i="15" s="1"/>
  <c r="J24" i="15"/>
  <c r="C38" i="15"/>
  <c r="E66" i="39"/>
  <c r="E46" i="37"/>
  <c r="F46" i="37" s="1"/>
  <c r="E47" i="37"/>
  <c r="F47" i="37" s="1"/>
  <c r="AB37" i="34"/>
  <c r="U37" i="34"/>
  <c r="AA29" i="35"/>
  <c r="R38" i="35" s="1"/>
  <c r="S29" i="35"/>
  <c r="G58" i="33"/>
  <c r="C29" i="69"/>
  <c r="D27" i="69" s="1"/>
  <c r="C47" i="69"/>
  <c r="D45" i="69" s="1"/>
  <c r="C32" i="79"/>
  <c r="C33" i="79"/>
  <c r="C10" i="79"/>
  <c r="C5" i="79" s="1"/>
  <c r="Q73" i="79"/>
  <c r="Q60" i="79"/>
  <c r="AA37" i="34"/>
  <c r="S37" i="34"/>
  <c r="G65" i="40"/>
  <c r="H63" i="40"/>
  <c r="K46" i="36"/>
  <c r="L46" i="36" s="1"/>
  <c r="M46" i="36" s="1"/>
  <c r="N46" i="36" s="1"/>
  <c r="O46" i="36" s="1"/>
  <c r="J7" i="36"/>
  <c r="H7" i="36"/>
  <c r="F1" i="79"/>
  <c r="Q52" i="79"/>
  <c r="C42" i="37"/>
  <c r="C43" i="37"/>
  <c r="S7" i="34"/>
  <c r="AA7" i="34"/>
  <c r="R49" i="34" s="1"/>
  <c r="AC37" i="34"/>
  <c r="W37" i="34"/>
  <c r="H6" i="3"/>
  <c r="AY6" i="3"/>
  <c r="E3" i="6"/>
  <c r="L46" i="79"/>
  <c r="Q66" i="79"/>
  <c r="Q57" i="79"/>
  <c r="I52" i="21"/>
  <c r="J52" i="21" s="1"/>
  <c r="C47" i="68"/>
  <c r="D45" i="68" s="1"/>
  <c r="C29" i="68"/>
  <c r="D27" i="68" s="1"/>
  <c r="Q61" i="79"/>
  <c r="Q74" i="79"/>
  <c r="I70" i="39"/>
  <c r="J68" i="39"/>
  <c r="AC29" i="35"/>
  <c r="V38" i="35" s="1"/>
  <c r="I38" i="35" s="1"/>
  <c r="W29" i="35"/>
  <c r="R49" i="21"/>
  <c r="E48" i="21"/>
  <c r="B2" i="43"/>
  <c r="C47" i="11"/>
  <c r="D45" i="11" s="1"/>
  <c r="C29" i="11"/>
  <c r="D27" i="11" s="1"/>
  <c r="J18" i="79"/>
  <c r="J5" i="79"/>
  <c r="C49" i="79"/>
  <c r="C48" i="79" s="1"/>
  <c r="AB7" i="34"/>
  <c r="T49" i="34" s="1"/>
  <c r="G49" i="34" s="1"/>
  <c r="U7" i="34"/>
  <c r="AB29" i="35"/>
  <c r="T38" i="35" s="1"/>
  <c r="G38" i="35" s="1"/>
  <c r="U29" i="35"/>
  <c r="AC6" i="3"/>
  <c r="U7" i="21"/>
  <c r="AB7" i="21"/>
  <c r="T48" i="21" s="1"/>
  <c r="G48" i="21" s="1"/>
  <c r="K20" i="6"/>
  <c r="E30" i="6"/>
  <c r="E31" i="6" s="1"/>
  <c r="K24" i="6"/>
  <c r="M24" i="6" s="1"/>
  <c r="I24" i="6" s="1"/>
  <c r="S24" i="6" s="1"/>
  <c r="K25" i="6"/>
  <c r="M25" i="6" s="1"/>
  <c r="I25" i="6" s="1"/>
  <c r="S25" i="6" s="1"/>
  <c r="K19" i="6"/>
  <c r="K22" i="6"/>
  <c r="M22" i="6" s="1"/>
  <c r="I22" i="6" s="1"/>
  <c r="S22" i="6" s="1"/>
  <c r="K26" i="6"/>
  <c r="M26" i="6" s="1"/>
  <c r="I26" i="6" s="1"/>
  <c r="S26" i="6" s="1"/>
  <c r="K14" i="1"/>
  <c r="K21" i="6"/>
  <c r="M21" i="6" s="1"/>
  <c r="I21" i="6" s="1"/>
  <c r="S21" i="6" s="1"/>
  <c r="K23" i="6"/>
  <c r="M23" i="6" s="1"/>
  <c r="I23" i="6" s="1"/>
  <c r="S23" i="6" s="1"/>
  <c r="J7" i="34"/>
  <c r="C20" i="15"/>
  <c r="C23" i="15" s="1"/>
  <c r="AE7" i="1"/>
  <c r="E6" i="76"/>
  <c r="B6" i="76"/>
  <c r="C66" i="15" l="1"/>
  <c r="C26" i="15"/>
  <c r="C29" i="15" s="1"/>
  <c r="E2" i="76"/>
  <c r="B2" i="76"/>
  <c r="J7" i="33"/>
  <c r="E53" i="21"/>
  <c r="F53" i="21" s="1"/>
  <c r="E52" i="21"/>
  <c r="F52" i="21" s="1"/>
  <c r="L18" i="80"/>
  <c r="M18" i="80"/>
  <c r="B118" i="80" s="1"/>
  <c r="D3" i="21"/>
  <c r="M18" i="9"/>
  <c r="B118" i="9" s="1"/>
  <c r="D14" i="12"/>
  <c r="D3" i="33"/>
  <c r="C17" i="4"/>
  <c r="B4" i="52" s="1"/>
  <c r="B43" i="72" s="1"/>
  <c r="D3" i="37"/>
  <c r="D19" i="11"/>
  <c r="C19" i="11" s="1"/>
  <c r="L18" i="9"/>
  <c r="E6" i="6"/>
  <c r="D37" i="11"/>
  <c r="C37" i="11" s="1"/>
  <c r="C38" i="79"/>
  <c r="G43" i="35"/>
  <c r="H43" i="35" s="1"/>
  <c r="G42" i="35"/>
  <c r="H42" i="35" s="1"/>
  <c r="W7" i="36"/>
  <c r="AC7" i="36"/>
  <c r="V36" i="36" s="1"/>
  <c r="I36" i="36" s="1"/>
  <c r="S7" i="1"/>
  <c r="M20" i="6"/>
  <c r="I20" i="6" s="1"/>
  <c r="S20" i="6" s="1"/>
  <c r="I42" i="35"/>
  <c r="J42" i="35" s="1"/>
  <c r="I53" i="21"/>
  <c r="J53" i="21" s="1"/>
  <c r="AC7" i="34"/>
  <c r="V49" i="34" s="1"/>
  <c r="I49" i="34" s="1"/>
  <c r="G54" i="34" s="1"/>
  <c r="H54" i="34" s="1"/>
  <c r="W7" i="34"/>
  <c r="G53" i="34"/>
  <c r="H53" i="34" s="1"/>
  <c r="K68" i="39"/>
  <c r="J70" i="39"/>
  <c r="F7" i="36"/>
  <c r="D3" i="6"/>
  <c r="AY98" i="3"/>
  <c r="AY191" i="3"/>
  <c r="AY90" i="3"/>
  <c r="AY292" i="3"/>
  <c r="AY237" i="3"/>
  <c r="AY350" i="3"/>
  <c r="AY444" i="3"/>
  <c r="AY199" i="3"/>
  <c r="AY390" i="3"/>
  <c r="AY481" i="3"/>
  <c r="AY535" i="3"/>
  <c r="BO6" i="3"/>
  <c r="AY85" i="3"/>
  <c r="AY155" i="3"/>
  <c r="AY58" i="3"/>
  <c r="AY318" i="3"/>
  <c r="AY245" i="3"/>
  <c r="AY452" i="3"/>
  <c r="AY553" i="3"/>
  <c r="AY52" i="3"/>
  <c r="AY193" i="3"/>
  <c r="AY141" i="3"/>
  <c r="AY286" i="3"/>
  <c r="AY238" i="3"/>
  <c r="AY373" i="3"/>
  <c r="BB6" i="3"/>
  <c r="AY29" i="3"/>
  <c r="AY121" i="3"/>
  <c r="AY215" i="3"/>
  <c r="AY309" i="3"/>
  <c r="AY480" i="3"/>
  <c r="AY406" i="3"/>
  <c r="AY580" i="3"/>
  <c r="AY520" i="3"/>
  <c r="AY532" i="3"/>
  <c r="AY81" i="3"/>
  <c r="AY174" i="3"/>
  <c r="AY267" i="3"/>
  <c r="AY361" i="3"/>
  <c r="AY320" i="3"/>
  <c r="AY87" i="3"/>
  <c r="AY253" i="3"/>
  <c r="AY217" i="3"/>
  <c r="AY92" i="3"/>
  <c r="AY170" i="3"/>
  <c r="AY263" i="3"/>
  <c r="AY357" i="3"/>
  <c r="AY197" i="3"/>
  <c r="AY377" i="3"/>
  <c r="AY457" i="3"/>
  <c r="AY561" i="3"/>
  <c r="AY514" i="3"/>
  <c r="AY169" i="3"/>
  <c r="AY345" i="3"/>
  <c r="AY458" i="3"/>
  <c r="AY407" i="3"/>
  <c r="AY502" i="3"/>
  <c r="AY531" i="3"/>
  <c r="AY78" i="3"/>
  <c r="AY167" i="3"/>
  <c r="AY264" i="3"/>
  <c r="AY331" i="3"/>
  <c r="AY424" i="3"/>
  <c r="AY512" i="3"/>
  <c r="AY70" i="3"/>
  <c r="AY159" i="3"/>
  <c r="AY256" i="3"/>
  <c r="AY323" i="3"/>
  <c r="AY207" i="3"/>
  <c r="AY366" i="3"/>
  <c r="AY310" i="3"/>
  <c r="AY76" i="3"/>
  <c r="AY165" i="3"/>
  <c r="AY262" i="3"/>
  <c r="BH6" i="3"/>
  <c r="AY145" i="3"/>
  <c r="AY333" i="3"/>
  <c r="AY430" i="3"/>
  <c r="AY571" i="3"/>
  <c r="AY101" i="3"/>
  <c r="AY287" i="3"/>
  <c r="AY344" i="3"/>
  <c r="AY434" i="3"/>
  <c r="AY505" i="3"/>
  <c r="AY515" i="3"/>
  <c r="BP6" i="3"/>
  <c r="AY62" i="3"/>
  <c r="AY151" i="3"/>
  <c r="AY248" i="3"/>
  <c r="AY315" i="3"/>
  <c r="AY408" i="3"/>
  <c r="AY568" i="3"/>
  <c r="AY54" i="3"/>
  <c r="AY143" i="3"/>
  <c r="AY240" i="3"/>
  <c r="AY307" i="3"/>
  <c r="AY400" i="3"/>
  <c r="BT6" i="3"/>
  <c r="AY498" i="3"/>
  <c r="AY50" i="3"/>
  <c r="AY139" i="3"/>
  <c r="AY183" i="3"/>
  <c r="AY204" i="3"/>
  <c r="AY209" i="3"/>
  <c r="AY489" i="3"/>
  <c r="AY497" i="3"/>
  <c r="AY229" i="3"/>
  <c r="AY343" i="3"/>
  <c r="AY436" i="3"/>
  <c r="AY573" i="3"/>
  <c r="AY105" i="3"/>
  <c r="AY66" i="3"/>
  <c r="AY188" i="3"/>
  <c r="AY225" i="3"/>
  <c r="AY409" i="3"/>
  <c r="AY358" i="3"/>
  <c r="BK6" i="3"/>
  <c r="AY53" i="3"/>
  <c r="AY25" i="3"/>
  <c r="AY146" i="3"/>
  <c r="AY117" i="3"/>
  <c r="AY239" i="3"/>
  <c r="AY211" i="3"/>
  <c r="BS6" i="3"/>
  <c r="AY57" i="3"/>
  <c r="AY150" i="3"/>
  <c r="AY243" i="3"/>
  <c r="AY356" i="3"/>
  <c r="AY308" i="3"/>
  <c r="AY454" i="3"/>
  <c r="AY403" i="3"/>
  <c r="BN6" i="3"/>
  <c r="AY559" i="3"/>
  <c r="AY577" i="3"/>
  <c r="AY32" i="3"/>
  <c r="AY122" i="3"/>
  <c r="AY218" i="3"/>
  <c r="AY321" i="3"/>
  <c r="AY492" i="3"/>
  <c r="AY95" i="3"/>
  <c r="AY460" i="3"/>
  <c r="AY401" i="3"/>
  <c r="AY28" i="3"/>
  <c r="AY118" i="3"/>
  <c r="AY214" i="3"/>
  <c r="AY104" i="3"/>
  <c r="AY290" i="3"/>
  <c r="AY332" i="3"/>
  <c r="AY427" i="3"/>
  <c r="AY510" i="3"/>
  <c r="AY80" i="3"/>
  <c r="AY266" i="3"/>
  <c r="AY487" i="3"/>
  <c r="AY410" i="3"/>
  <c r="AY499" i="3"/>
  <c r="AY542" i="3"/>
  <c r="AY99" i="3"/>
  <c r="AY192" i="3"/>
  <c r="AY285" i="3"/>
  <c r="AY378" i="3"/>
  <c r="AY469" i="3"/>
  <c r="AY558" i="3"/>
  <c r="AY91" i="3"/>
  <c r="AY184" i="3"/>
  <c r="AY277" i="3"/>
  <c r="AY391" i="3"/>
  <c r="AY490" i="3"/>
  <c r="AY281" i="3"/>
  <c r="AY26" i="3"/>
  <c r="AY533" i="3"/>
  <c r="AY190" i="3"/>
  <c r="AY283" i="3"/>
  <c r="AY397" i="3"/>
  <c r="AY56" i="3"/>
  <c r="AY242" i="3"/>
  <c r="AY475" i="3"/>
  <c r="BQ6" i="3"/>
  <c r="AY501" i="3"/>
  <c r="AY194" i="3"/>
  <c r="AY380" i="3"/>
  <c r="AY468" i="3"/>
  <c r="AY431" i="3"/>
  <c r="AY564" i="3"/>
  <c r="AY530" i="3"/>
  <c r="AY110" i="3"/>
  <c r="AY203" i="3"/>
  <c r="AY296" i="3"/>
  <c r="AY383" i="3"/>
  <c r="AY482" i="3"/>
  <c r="AY13" i="3"/>
  <c r="AY102" i="3"/>
  <c r="AY195" i="3"/>
  <c r="AY288" i="3"/>
  <c r="AY375" i="3"/>
  <c r="AY474" i="3"/>
  <c r="AY15" i="3"/>
  <c r="AY550" i="3"/>
  <c r="BD6" i="3"/>
  <c r="AY82" i="3"/>
  <c r="AY289" i="3"/>
  <c r="AY75" i="3"/>
  <c r="AY363" i="3"/>
  <c r="AY425" i="3"/>
  <c r="AY212" i="3"/>
  <c r="AY447" i="3"/>
  <c r="AY540" i="3"/>
  <c r="AY83" i="3"/>
  <c r="AY276" i="3"/>
  <c r="AY428" i="3"/>
  <c r="AY465" i="3"/>
  <c r="AY77" i="3"/>
  <c r="AY182" i="3"/>
  <c r="AY134" i="3"/>
  <c r="AY254" i="3"/>
  <c r="AY368" i="3"/>
  <c r="AY40" i="3"/>
  <c r="AY275" i="3"/>
  <c r="AY325" i="3"/>
  <c r="AY449" i="3"/>
  <c r="AY525" i="3"/>
  <c r="AY552" i="3"/>
  <c r="AY112" i="3"/>
  <c r="AY153" i="3"/>
  <c r="AY385" i="3"/>
  <c r="AY479" i="3"/>
  <c r="AY111" i="3"/>
  <c r="AY463" i="3"/>
  <c r="AY201" i="3"/>
  <c r="AY246" i="3"/>
  <c r="AY24" i="3"/>
  <c r="AY317" i="3"/>
  <c r="BM6" i="3"/>
  <c r="AY96" i="3"/>
  <c r="AY369" i="3"/>
  <c r="AY426" i="3"/>
  <c r="AY524" i="3"/>
  <c r="BA6" i="3"/>
  <c r="AY156" i="3"/>
  <c r="AY221" i="3"/>
  <c r="AY456" i="3"/>
  <c r="AY587" i="3"/>
  <c r="AY148" i="3"/>
  <c r="AY213" i="3"/>
  <c r="AY51" i="3"/>
  <c r="AY441" i="3"/>
  <c r="AY61" i="3"/>
  <c r="AY125" i="3"/>
  <c r="AY360" i="3"/>
  <c r="AY259" i="3"/>
  <c r="AY462" i="3"/>
  <c r="BG6" i="3"/>
  <c r="AY137" i="3"/>
  <c r="AY160" i="3"/>
  <c r="AY123" i="3"/>
  <c r="AY387" i="3"/>
  <c r="AY526" i="3"/>
  <c r="AY355" i="3"/>
  <c r="AY557" i="3"/>
  <c r="AY100" i="3"/>
  <c r="AY131" i="3"/>
  <c r="AY106" i="3"/>
  <c r="AY513" i="3"/>
  <c r="AY36" i="3"/>
  <c r="AY157" i="3"/>
  <c r="AY270" i="3"/>
  <c r="AY507" i="3"/>
  <c r="AY181" i="3"/>
  <c r="AY393" i="3"/>
  <c r="AY467" i="3"/>
  <c r="AY503" i="3"/>
  <c r="AY543" i="3"/>
  <c r="AY64" i="3"/>
  <c r="AY235" i="3"/>
  <c r="AY336" i="3"/>
  <c r="AY152" i="3"/>
  <c r="AY544" i="3"/>
  <c r="AY149" i="3"/>
  <c r="AY554" i="3"/>
  <c r="AY210" i="3"/>
  <c r="AY581" i="3"/>
  <c r="AY37" i="3"/>
  <c r="AY328" i="3"/>
  <c r="AY579" i="3"/>
  <c r="AY570" i="3"/>
  <c r="AY187" i="3"/>
  <c r="AY376" i="3"/>
  <c r="AY405" i="3"/>
  <c r="AY38" i="3"/>
  <c r="AY241" i="3"/>
  <c r="AY459" i="3"/>
  <c r="AY260" i="3"/>
  <c r="AY33" i="3"/>
  <c r="AY230" i="3"/>
  <c r="AY166" i="3"/>
  <c r="AY472" i="3"/>
  <c r="AY494" i="3"/>
  <c r="AY234" i="3"/>
  <c r="AY450" i="3"/>
  <c r="AY538" i="3"/>
  <c r="AY548" i="3"/>
  <c r="AY19" i="3"/>
  <c r="AY233" i="3"/>
  <c r="AY485" i="3"/>
  <c r="AY528" i="3"/>
  <c r="AY200" i="3"/>
  <c r="AY272" i="3"/>
  <c r="AY477" i="3"/>
  <c r="AY583" i="3"/>
  <c r="AY429" i="3"/>
  <c r="AY171" i="3"/>
  <c r="AY261" i="3"/>
  <c r="AY319" i="3"/>
  <c r="AY43" i="3"/>
  <c r="AY311" i="3"/>
  <c r="AY562" i="3"/>
  <c r="AY69" i="3"/>
  <c r="AY297" i="3"/>
  <c r="AY180" i="3"/>
  <c r="AY569" i="3"/>
  <c r="AY20" i="3"/>
  <c r="AY126" i="3"/>
  <c r="AY222" i="3"/>
  <c r="BI6" i="3"/>
  <c r="AY161" i="3"/>
  <c r="AY370" i="3"/>
  <c r="AY464" i="3"/>
  <c r="AY516" i="3"/>
  <c r="AY508" i="3"/>
  <c r="AY21" i="3"/>
  <c r="AY250" i="3"/>
  <c r="AY304" i="3"/>
  <c r="AY382" i="3"/>
  <c r="BE6" i="3"/>
  <c r="AY299" i="3"/>
  <c r="BJ6" i="3"/>
  <c r="AY349" i="3"/>
  <c r="BF6" i="3"/>
  <c r="AY189" i="3"/>
  <c r="AY484" i="3"/>
  <c r="AY506" i="3"/>
  <c r="AY578" i="3"/>
  <c r="AY135" i="3"/>
  <c r="AY362" i="3"/>
  <c r="AY517" i="3"/>
  <c r="AY27" i="3"/>
  <c r="AY224" i="3"/>
  <c r="AY124" i="3"/>
  <c r="AY372" i="3"/>
  <c r="AY185" i="3"/>
  <c r="AY219" i="3"/>
  <c r="AY295" i="3"/>
  <c r="AY398" i="3"/>
  <c r="AY582" i="3"/>
  <c r="AY364" i="3"/>
  <c r="AY418" i="3"/>
  <c r="AY522" i="3"/>
  <c r="AY563" i="3"/>
  <c r="AY172" i="3"/>
  <c r="AY216" i="3"/>
  <c r="AY451" i="3"/>
  <c r="AY576" i="3"/>
  <c r="AY164" i="3"/>
  <c r="AY208" i="3"/>
  <c r="AY443" i="3"/>
  <c r="AY567" i="3"/>
  <c r="AY511" i="3"/>
  <c r="AY196" i="3"/>
  <c r="AY163" i="3"/>
  <c r="AY220" i="3"/>
  <c r="AY412" i="3"/>
  <c r="AY379" i="3"/>
  <c r="AY417" i="3"/>
  <c r="AY89" i="3"/>
  <c r="AY59" i="3"/>
  <c r="AY470" i="3"/>
  <c r="AY433" i="3"/>
  <c r="AY68" i="3"/>
  <c r="AY173" i="3"/>
  <c r="AY255" i="3"/>
  <c r="AY365" i="3"/>
  <c r="AY186" i="3"/>
  <c r="AY226" i="3"/>
  <c r="AY483" i="3"/>
  <c r="AY419" i="3"/>
  <c r="AY518" i="3"/>
  <c r="AY49" i="3"/>
  <c r="AY298" i="3"/>
  <c r="AY305" i="3"/>
  <c r="AY144" i="3"/>
  <c r="AY327" i="3"/>
  <c r="AY138" i="3"/>
  <c r="AY381" i="3"/>
  <c r="AY274" i="3"/>
  <c r="AY414" i="3"/>
  <c r="AY519" i="3"/>
  <c r="AY313" i="3"/>
  <c r="AY423" i="3"/>
  <c r="BR6" i="3"/>
  <c r="AY35" i="3"/>
  <c r="AY232" i="3"/>
  <c r="AY437" i="3"/>
  <c r="AY55" i="3"/>
  <c r="AY273" i="3"/>
  <c r="AY306" i="3"/>
  <c r="AY473" i="3"/>
  <c r="AY44" i="3"/>
  <c r="AY247" i="3"/>
  <c r="AY202" i="3"/>
  <c r="AY316" i="3"/>
  <c r="AY495" i="3"/>
  <c r="AY251" i="3"/>
  <c r="AY445" i="3"/>
  <c r="AY17" i="3"/>
  <c r="AY545" i="3"/>
  <c r="AY30" i="3"/>
  <c r="AY265" i="3"/>
  <c r="AY330" i="3"/>
  <c r="AY547" i="3"/>
  <c r="AY22" i="3"/>
  <c r="AY257" i="3"/>
  <c r="AY322" i="3"/>
  <c r="AY566" i="3"/>
  <c r="AY448" i="3"/>
  <c r="AY18" i="3"/>
  <c r="AY252" i="3"/>
  <c r="AY244" i="3"/>
  <c r="AY555" i="3"/>
  <c r="AY335" i="3"/>
  <c r="AY84" i="3"/>
  <c r="AY271" i="3"/>
  <c r="AY72" i="3"/>
  <c r="AY324" i="3"/>
  <c r="AY527" i="3"/>
  <c r="AY113" i="3"/>
  <c r="AY34" i="3"/>
  <c r="AY206" i="3"/>
  <c r="AY114" i="3"/>
  <c r="AY584" i="3"/>
  <c r="AY439" i="3"/>
  <c r="AY46" i="3"/>
  <c r="AY466" i="3"/>
  <c r="AY119" i="3"/>
  <c r="AY236" i="3"/>
  <c r="AY278" i="3"/>
  <c r="AY348" i="3"/>
  <c r="AY158" i="3"/>
  <c r="AY399" i="3"/>
  <c r="AY47" i="3"/>
  <c r="AY347" i="3"/>
  <c r="AY39" i="3"/>
  <c r="AY339" i="3"/>
  <c r="AY504" i="3"/>
  <c r="AY74" i="3"/>
  <c r="AY478" i="3"/>
  <c r="AY176" i="3"/>
  <c r="AY178" i="3"/>
  <c r="AY384" i="3"/>
  <c r="AY422" i="3"/>
  <c r="AY496" i="3"/>
  <c r="AY529" i="3"/>
  <c r="AY231" i="3"/>
  <c r="AY282" i="3"/>
  <c r="AY280" i="3"/>
  <c r="BL6" i="3"/>
  <c r="AY549" i="3"/>
  <c r="AY585" i="3"/>
  <c r="AY537" i="3"/>
  <c r="AY421" i="3"/>
  <c r="AY413" i="3"/>
  <c r="AY574" i="3"/>
  <c r="AY93" i="3"/>
  <c r="AY476" i="3"/>
  <c r="AY453" i="3"/>
  <c r="AY42" i="3"/>
  <c r="AY402" i="3"/>
  <c r="AY416" i="3"/>
  <c r="AY132" i="3"/>
  <c r="AY334" i="3"/>
  <c r="AY326" i="3"/>
  <c r="AY23" i="3"/>
  <c r="AY228" i="3"/>
  <c r="AY198" i="3"/>
  <c r="AY227" i="3"/>
  <c r="AY130" i="3"/>
  <c r="AY438" i="3"/>
  <c r="AY556" i="3"/>
  <c r="AY396" i="3"/>
  <c r="AY303" i="3"/>
  <c r="AY294" i="3"/>
  <c r="AY491" i="3"/>
  <c r="AY129" i="3"/>
  <c r="AY14" i="3"/>
  <c r="AY127" i="3"/>
  <c r="AY560" i="3"/>
  <c r="AY367" i="3"/>
  <c r="AY420" i="3"/>
  <c r="AY374" i="3"/>
  <c r="AY411" i="3"/>
  <c r="AY329" i="3"/>
  <c r="AY575" i="3"/>
  <c r="AY140" i="3"/>
  <c r="AY440" i="3"/>
  <c r="AY175" i="3"/>
  <c r="AY432" i="3"/>
  <c r="AY586" i="3"/>
  <c r="AY486" i="3"/>
  <c r="AY395" i="3"/>
  <c r="AY279" i="3"/>
  <c r="AY352" i="3"/>
  <c r="AY488" i="3"/>
  <c r="AY565" i="3"/>
  <c r="AY354" i="3"/>
  <c r="AY109" i="3"/>
  <c r="AY312" i="3"/>
  <c r="AY120" i="3"/>
  <c r="AY136" i="3"/>
  <c r="AY103" i="3"/>
  <c r="AY268" i="3"/>
  <c r="AY341" i="3"/>
  <c r="AY45" i="3"/>
  <c r="AY94" i="3"/>
  <c r="AY154" i="3"/>
  <c r="AY493" i="3"/>
  <c r="AY386" i="3"/>
  <c r="AY31" i="3"/>
  <c r="AY455" i="3"/>
  <c r="AY404" i="3"/>
  <c r="AY115" i="3"/>
  <c r="AY342" i="3"/>
  <c r="AY162" i="3"/>
  <c r="AY389" i="3"/>
  <c r="AY258" i="3"/>
  <c r="AY435" i="3"/>
  <c r="AY523" i="3"/>
  <c r="AY337" i="3"/>
  <c r="AY300" i="3"/>
  <c r="AY392" i="3"/>
  <c r="AY446" i="3"/>
  <c r="AY223" i="3"/>
  <c r="AY509" i="3"/>
  <c r="AY249" i="3"/>
  <c r="AY86" i="3"/>
  <c r="AY338" i="3"/>
  <c r="AY97" i="3"/>
  <c r="AY73" i="3"/>
  <c r="AY534" i="3"/>
  <c r="AY471" i="3"/>
  <c r="AY551" i="3"/>
  <c r="AY301" i="3"/>
  <c r="AY500" i="3"/>
  <c r="AY293" i="3"/>
  <c r="AY521" i="3"/>
  <c r="AY147" i="3"/>
  <c r="AY541" i="3"/>
  <c r="AY572" i="3"/>
  <c r="AY41" i="3"/>
  <c r="AY346" i="3"/>
  <c r="AY388" i="3"/>
  <c r="AY394" i="3"/>
  <c r="AY67" i="3"/>
  <c r="AY284" i="3"/>
  <c r="AY269" i="3"/>
  <c r="AY539" i="3"/>
  <c r="AY371" i="3"/>
  <c r="AY108" i="3"/>
  <c r="AY302" i="3"/>
  <c r="AY88" i="3"/>
  <c r="AY340" i="3"/>
  <c r="AY536" i="3"/>
  <c r="AY142" i="3"/>
  <c r="AY461" i="3"/>
  <c r="AY60" i="3"/>
  <c r="AY177" i="3"/>
  <c r="AY16" i="3"/>
  <c r="AY442" i="3"/>
  <c r="AY63" i="3"/>
  <c r="AY314" i="3"/>
  <c r="AY128" i="3"/>
  <c r="AY168" i="3"/>
  <c r="AY133" i="3"/>
  <c r="AY353" i="3"/>
  <c r="AY48" i="3"/>
  <c r="AY415" i="3"/>
  <c r="AY79" i="3"/>
  <c r="AY359" i="3"/>
  <c r="AY71" i="3"/>
  <c r="AY351" i="3"/>
  <c r="BC6" i="3"/>
  <c r="AY116" i="3"/>
  <c r="AY291" i="3"/>
  <c r="AY205" i="3"/>
  <c r="AY546" i="3"/>
  <c r="AY179" i="3"/>
  <c r="AY65" i="3"/>
  <c r="AY107" i="3"/>
  <c r="B2" i="37"/>
  <c r="B3" i="37" s="1"/>
  <c r="E6" i="3"/>
  <c r="R39" i="35"/>
  <c r="E38" i="35"/>
  <c r="G52" i="21"/>
  <c r="H52" i="21" s="1"/>
  <c r="G53" i="21"/>
  <c r="H53" i="21" s="1"/>
  <c r="S6" i="1"/>
  <c r="K27" i="6"/>
  <c r="M19" i="6"/>
  <c r="C66" i="79"/>
  <c r="C60" i="79"/>
  <c r="B3" i="43"/>
  <c r="E49" i="34"/>
  <c r="I63" i="40"/>
  <c r="H65" i="40"/>
  <c r="J26" i="79"/>
  <c r="J24" i="79"/>
  <c r="C49" i="21"/>
  <c r="B2" i="21" s="1"/>
  <c r="B3" i="21" s="1"/>
  <c r="C48" i="21"/>
  <c r="U7" i="36"/>
  <c r="AB7" i="36"/>
  <c r="T36" i="36" s="1"/>
  <c r="G36" i="36" s="1"/>
  <c r="H58" i="33"/>
  <c r="I58" i="33" s="1"/>
  <c r="J58" i="33" s="1"/>
  <c r="K58" i="33" s="1"/>
  <c r="L58" i="33" s="1"/>
  <c r="M58" i="33" s="1"/>
  <c r="N58" i="33" s="1"/>
  <c r="O58" i="33" s="1"/>
  <c r="H7" i="33" s="1"/>
  <c r="F7" i="33"/>
  <c r="M14" i="1"/>
  <c r="K16" i="1"/>
  <c r="C34" i="69"/>
  <c r="C17" i="79"/>
  <c r="C14" i="79"/>
  <c r="C14" i="67"/>
  <c r="F41" i="79"/>
  <c r="C17" i="67"/>
  <c r="R50" i="34" l="1"/>
  <c r="C49" i="34" s="1"/>
  <c r="F69" i="79"/>
  <c r="J29" i="79"/>
  <c r="C13" i="15"/>
  <c r="C56" i="15" s="1"/>
  <c r="C65" i="15" s="1"/>
  <c r="J59" i="15"/>
  <c r="J60" i="15" s="1"/>
  <c r="Q48" i="15" s="1"/>
  <c r="C57" i="15"/>
  <c r="C61" i="15" s="1"/>
  <c r="C59" i="15" s="1"/>
  <c r="C33" i="15"/>
  <c r="C31" i="15" s="1"/>
  <c r="C36" i="15"/>
  <c r="Q49" i="15"/>
  <c r="J14" i="15"/>
  <c r="J22" i="15" s="1"/>
  <c r="J19" i="15"/>
  <c r="J17" i="15" s="1"/>
  <c r="B3" i="76"/>
  <c r="C15" i="79"/>
  <c r="C18" i="79"/>
  <c r="C15" i="67"/>
  <c r="C18" i="67"/>
  <c r="S7" i="33"/>
  <c r="AA7" i="33"/>
  <c r="R48" i="33" s="1"/>
  <c r="E53" i="34"/>
  <c r="F53" i="34" s="1"/>
  <c r="E54" i="34"/>
  <c r="F54" i="34" s="1"/>
  <c r="I19" i="6"/>
  <c r="M27" i="6"/>
  <c r="E43" i="35"/>
  <c r="F43" i="35" s="1"/>
  <c r="E42" i="35"/>
  <c r="F42" i="35" s="1"/>
  <c r="M19" i="80"/>
  <c r="C118" i="80" s="1"/>
  <c r="L19" i="80"/>
  <c r="D5" i="6"/>
  <c r="D24" i="6"/>
  <c r="R24" i="6" s="1"/>
  <c r="H26" i="6"/>
  <c r="H20" i="6"/>
  <c r="H23" i="6"/>
  <c r="D8" i="6"/>
  <c r="D29" i="6"/>
  <c r="M19" i="9"/>
  <c r="C118" i="9" s="1"/>
  <c r="C14" i="74" s="1"/>
  <c r="B2" i="74" s="1"/>
  <c r="D13" i="6"/>
  <c r="D15" i="6"/>
  <c r="H21" i="6"/>
  <c r="L19" i="9"/>
  <c r="H24" i="6"/>
  <c r="D11" i="6"/>
  <c r="D25" i="6"/>
  <c r="R25" i="6" s="1"/>
  <c r="D19" i="6"/>
  <c r="D26" i="6"/>
  <c r="D10" i="6"/>
  <c r="D9" i="6"/>
  <c r="D6" i="6"/>
  <c r="H19" i="6"/>
  <c r="D28" i="6"/>
  <c r="D30" i="6" s="1"/>
  <c r="D23" i="6"/>
  <c r="R23" i="6" s="1"/>
  <c r="C18" i="4"/>
  <c r="D21" i="6"/>
  <c r="R21" i="6" s="1"/>
  <c r="H25" i="6"/>
  <c r="E61" i="40"/>
  <c r="H22" i="6"/>
  <c r="D20" i="6"/>
  <c r="D14" i="6"/>
  <c r="D12" i="6"/>
  <c r="D22" i="6"/>
  <c r="R22" i="6" s="1"/>
  <c r="T7" i="1"/>
  <c r="AR7" i="1"/>
  <c r="E7" i="70"/>
  <c r="AQ7" i="1"/>
  <c r="T16" i="1"/>
  <c r="M16" i="1"/>
  <c r="U7" i="33"/>
  <c r="AB7" i="33"/>
  <c r="T48" i="33" s="1"/>
  <c r="G48" i="33" s="1"/>
  <c r="C50" i="34"/>
  <c r="C39" i="35"/>
  <c r="B2" i="35" s="1"/>
  <c r="C38" i="35"/>
  <c r="S7" i="36"/>
  <c r="AA7" i="36"/>
  <c r="R36" i="36" s="1"/>
  <c r="I54" i="34"/>
  <c r="J54" i="34" s="1"/>
  <c r="I53" i="34"/>
  <c r="J53" i="34" s="1"/>
  <c r="I40" i="36"/>
  <c r="J40" i="36" s="1"/>
  <c r="G41" i="36"/>
  <c r="H41" i="36" s="1"/>
  <c r="G40" i="36"/>
  <c r="H40" i="36" s="1"/>
  <c r="E6" i="70"/>
  <c r="E2" i="70" s="1"/>
  <c r="S16" i="1"/>
  <c r="AQ6" i="1"/>
  <c r="T6" i="1"/>
  <c r="AR6" i="1"/>
  <c r="AC7" i="33"/>
  <c r="V48" i="33" s="1"/>
  <c r="I48" i="33" s="1"/>
  <c r="W7" i="33"/>
  <c r="C35" i="69"/>
  <c r="C38" i="69"/>
  <c r="K70" i="39"/>
  <c r="L68" i="39"/>
  <c r="I43" i="35"/>
  <c r="J43" i="35" s="1"/>
  <c r="D10" i="11"/>
  <c r="C10" i="11" s="1"/>
  <c r="D10" i="69"/>
  <c r="D20" i="12"/>
  <c r="C20" i="12" s="1"/>
  <c r="C18" i="12" s="1"/>
  <c r="D10" i="68"/>
  <c r="J63" i="40"/>
  <c r="I65" i="40"/>
  <c r="C20" i="11"/>
  <c r="C25" i="11" s="1"/>
  <c r="C24" i="11"/>
  <c r="D17" i="12"/>
  <c r="C17" i="12" s="1"/>
  <c r="C14" i="12"/>
  <c r="C16" i="12" s="1"/>
  <c r="C19" i="80"/>
  <c r="Q70" i="15" l="1"/>
  <c r="J13" i="15"/>
  <c r="J23" i="15" s="1"/>
  <c r="C28" i="11"/>
  <c r="C27" i="11" s="1"/>
  <c r="C64" i="15"/>
  <c r="C58" i="15" s="1"/>
  <c r="C67" i="15" s="1"/>
  <c r="C68" i="15" s="1"/>
  <c r="L46" i="15"/>
  <c r="C75" i="15"/>
  <c r="C37" i="15"/>
  <c r="C30" i="15" s="1"/>
  <c r="C39" i="15" s="1"/>
  <c r="C40" i="15" s="1"/>
  <c r="J16" i="15"/>
  <c r="J25" i="15" s="1"/>
  <c r="C21" i="12"/>
  <c r="C22" i="12" s="1"/>
  <c r="C30" i="12" s="1"/>
  <c r="C28" i="12" s="1"/>
  <c r="C22" i="11"/>
  <c r="C31" i="11" s="1"/>
  <c r="C19" i="67"/>
  <c r="C20" i="67" s="1"/>
  <c r="C26" i="67" s="1"/>
  <c r="C19" i="79"/>
  <c r="C102" i="80"/>
  <c r="C21" i="80"/>
  <c r="D7" i="74"/>
  <c r="D8" i="74"/>
  <c r="M68" i="39"/>
  <c r="L70" i="39"/>
  <c r="A10" i="51"/>
  <c r="B9" i="72" s="1"/>
  <c r="A7" i="51"/>
  <c r="B7" i="72" s="1"/>
  <c r="C4" i="52"/>
  <c r="B45" i="72" s="1"/>
  <c r="I27" i="6"/>
  <c r="S19" i="6"/>
  <c r="S27" i="6" s="1"/>
  <c r="C10" i="68"/>
  <c r="D19" i="68"/>
  <c r="I53" i="33"/>
  <c r="J53" i="33" s="1"/>
  <c r="I52" i="33"/>
  <c r="J52" i="33" s="1"/>
  <c r="B3" i="35"/>
  <c r="R20" i="6"/>
  <c r="R7" i="1" s="1"/>
  <c r="R26" i="6"/>
  <c r="D16" i="6"/>
  <c r="L16" i="1"/>
  <c r="C34" i="11"/>
  <c r="N16" i="1"/>
  <c r="C34" i="68"/>
  <c r="D27" i="6"/>
  <c r="D31" i="6" s="1"/>
  <c r="R19" i="6"/>
  <c r="C10" i="69"/>
  <c r="C8" i="69" s="1"/>
  <c r="C5" i="69" s="1"/>
  <c r="D19" i="69"/>
  <c r="B2" i="34"/>
  <c r="B3" i="34"/>
  <c r="H27" i="6"/>
  <c r="E48" i="33"/>
  <c r="R49" i="33"/>
  <c r="J65" i="40"/>
  <c r="K63" i="40"/>
  <c r="E36" i="36"/>
  <c r="R37" i="36"/>
  <c r="G52" i="33"/>
  <c r="H52" i="33" s="1"/>
  <c r="G53" i="33"/>
  <c r="H53" i="33" s="1"/>
  <c r="C20" i="9"/>
  <c r="C20" i="80"/>
  <c r="M21" i="79"/>
  <c r="F35" i="79"/>
  <c r="C19" i="9"/>
  <c r="C80" i="15" l="1"/>
  <c r="C79" i="15" s="1"/>
  <c r="Q69" i="15"/>
  <c r="Q68" i="15" s="1"/>
  <c r="C20" i="79"/>
  <c r="C23" i="79" s="1"/>
  <c r="C23" i="67"/>
  <c r="C29" i="67" s="1"/>
  <c r="Q49" i="67" s="1"/>
  <c r="C102" i="9"/>
  <c r="C21" i="9"/>
  <c r="F63" i="79"/>
  <c r="C62" i="79" s="1"/>
  <c r="C34" i="79"/>
  <c r="C31" i="79" s="1"/>
  <c r="J20" i="79"/>
  <c r="C103" i="80"/>
  <c r="C103" i="9"/>
  <c r="C36" i="36"/>
  <c r="C37" i="36"/>
  <c r="B2" i="36" s="1"/>
  <c r="B3" i="36" s="1"/>
  <c r="I6" i="6"/>
  <c r="I5" i="6"/>
  <c r="C19" i="69"/>
  <c r="C24" i="69" s="1"/>
  <c r="D37" i="69"/>
  <c r="C37" i="69" s="1"/>
  <c r="C33" i="69" s="1"/>
  <c r="C38" i="11"/>
  <c r="C35" i="11"/>
  <c r="C71" i="15"/>
  <c r="C46" i="15"/>
  <c r="F50" i="11"/>
  <c r="F50" i="69"/>
  <c r="F50" i="68"/>
  <c r="D37" i="68"/>
  <c r="C37" i="68" s="1"/>
  <c r="C19" i="68"/>
  <c r="M70" i="39"/>
  <c r="N68" i="39"/>
  <c r="C48" i="33"/>
  <c r="C49" i="33"/>
  <c r="B2" i="33" s="1"/>
  <c r="B3" i="33" s="1"/>
  <c r="C23" i="69"/>
  <c r="C27" i="12"/>
  <c r="C25" i="12" s="1"/>
  <c r="C32" i="12" s="1"/>
  <c r="B2" i="12" s="1"/>
  <c r="B3" i="12" s="1"/>
  <c r="E41" i="36"/>
  <c r="F41" i="36" s="1"/>
  <c r="E40" i="36"/>
  <c r="F40" i="36" s="1"/>
  <c r="I41" i="36"/>
  <c r="J41" i="36" s="1"/>
  <c r="L63" i="40"/>
  <c r="K65" i="40"/>
  <c r="E52" i="33"/>
  <c r="F52" i="33" s="1"/>
  <c r="E53" i="33"/>
  <c r="F53" i="33" s="1"/>
  <c r="R6" i="1"/>
  <c r="R27" i="6"/>
  <c r="C38" i="68"/>
  <c r="C35" i="68"/>
  <c r="C43" i="15"/>
  <c r="Q47" i="15"/>
  <c r="Q53" i="15" s="1"/>
  <c r="Q56" i="15"/>
  <c r="B2" i="15"/>
  <c r="B3" i="15" s="1"/>
  <c r="Q65" i="15"/>
  <c r="C83" i="15"/>
  <c r="C82" i="15" s="1"/>
  <c r="F35" i="67"/>
  <c r="L51" i="15"/>
  <c r="M21" i="67"/>
  <c r="Q67" i="15" l="1"/>
  <c r="L57" i="15"/>
  <c r="L60" i="15" s="1"/>
  <c r="Q66" i="15" s="1"/>
  <c r="Q75" i="15" s="1"/>
  <c r="C13" i="67"/>
  <c r="Q70" i="67" s="1"/>
  <c r="C57" i="67"/>
  <c r="C61" i="67" s="1"/>
  <c r="J19" i="67"/>
  <c r="C36" i="67"/>
  <c r="C33" i="68"/>
  <c r="C42" i="68" s="1"/>
  <c r="C20" i="69"/>
  <c r="C25" i="69" s="1"/>
  <c r="C22" i="69" s="1"/>
  <c r="J14" i="67"/>
  <c r="J13" i="67" s="1"/>
  <c r="J23" i="67" s="1"/>
  <c r="C33" i="11"/>
  <c r="C42" i="11" s="1"/>
  <c r="C26" i="79"/>
  <c r="C29" i="79" s="1"/>
  <c r="J20" i="67"/>
  <c r="F63" i="67"/>
  <c r="C62" i="67" s="1"/>
  <c r="C34" i="67"/>
  <c r="C31" i="67" s="1"/>
  <c r="Q57" i="15"/>
  <c r="Q62" i="15" s="1"/>
  <c r="C24" i="68"/>
  <c r="C20" i="68"/>
  <c r="C25" i="68" s="1"/>
  <c r="R16" i="1"/>
  <c r="O68" i="39"/>
  <c r="O70" i="39" s="1"/>
  <c r="N70" i="39"/>
  <c r="C42" i="69"/>
  <c r="C39" i="69"/>
  <c r="C43" i="69" s="1"/>
  <c r="M63" i="40"/>
  <c r="L65" i="40"/>
  <c r="C39" i="11" l="1"/>
  <c r="C43" i="11" s="1"/>
  <c r="C41" i="11" s="1"/>
  <c r="C37" i="67"/>
  <c r="C30" i="67" s="1"/>
  <c r="C39" i="67" s="1"/>
  <c r="C40" i="67" s="1"/>
  <c r="C75" i="67"/>
  <c r="C56" i="67"/>
  <c r="C65" i="67" s="1"/>
  <c r="C64" i="67"/>
  <c r="J22" i="67"/>
  <c r="C22" i="68"/>
  <c r="C28" i="69"/>
  <c r="C27" i="69" s="1"/>
  <c r="C31" i="69" s="1"/>
  <c r="C28" i="68"/>
  <c r="C27" i="68" s="1"/>
  <c r="J17" i="67"/>
  <c r="C46" i="69"/>
  <c r="C45" i="69" s="1"/>
  <c r="C57" i="79"/>
  <c r="C36" i="79"/>
  <c r="J14" i="79"/>
  <c r="J19" i="79"/>
  <c r="J17" i="79" s="1"/>
  <c r="Q49" i="79"/>
  <c r="C13" i="79"/>
  <c r="C39" i="68"/>
  <c r="C43" i="68" s="1"/>
  <c r="C41" i="68" s="1"/>
  <c r="C41" i="69"/>
  <c r="C59" i="67"/>
  <c r="N63" i="40"/>
  <c r="M65" i="40"/>
  <c r="J7" i="39"/>
  <c r="H7" i="39"/>
  <c r="F7" i="39"/>
  <c r="L51" i="67"/>
  <c r="C46" i="11" l="1"/>
  <c r="C45" i="11" s="1"/>
  <c r="C58" i="67"/>
  <c r="C67" i="67" s="1"/>
  <c r="C68" i="67" s="1"/>
  <c r="C45" i="67" s="1"/>
  <c r="C46" i="67" s="1"/>
  <c r="J16" i="67"/>
  <c r="J25" i="67" s="1"/>
  <c r="C49" i="69"/>
  <c r="C51" i="69" s="1"/>
  <c r="C52" i="69" s="1"/>
  <c r="B2" i="69" s="1"/>
  <c r="B3" i="69" s="1"/>
  <c r="C31" i="68"/>
  <c r="C80" i="67"/>
  <c r="C79" i="67" s="1"/>
  <c r="Q69" i="67"/>
  <c r="Q68" i="67" s="1"/>
  <c r="C49" i="11"/>
  <c r="C51" i="11" s="1"/>
  <c r="C52" i="11" s="1"/>
  <c r="B2" i="11" s="1"/>
  <c r="B3" i="11" s="1"/>
  <c r="C64" i="79"/>
  <c r="C61" i="79"/>
  <c r="C59" i="79" s="1"/>
  <c r="C56" i="79"/>
  <c r="C65" i="79" s="1"/>
  <c r="C75" i="79"/>
  <c r="Q70" i="79"/>
  <c r="C37" i="79"/>
  <c r="C30" i="79" s="1"/>
  <c r="C39" i="79" s="1"/>
  <c r="J13" i="79"/>
  <c r="J23" i="79" s="1"/>
  <c r="J22" i="79"/>
  <c r="C46" i="68"/>
  <c r="C45" i="68" s="1"/>
  <c r="C49" i="68" s="1"/>
  <c r="C51" i="68" s="1"/>
  <c r="Q67" i="67"/>
  <c r="S7" i="39"/>
  <c r="AA7" i="39"/>
  <c r="R47" i="39" s="1"/>
  <c r="O63" i="40"/>
  <c r="O65" i="40" s="1"/>
  <c r="N65" i="40"/>
  <c r="U7" i="39"/>
  <c r="AB7" i="39"/>
  <c r="T47" i="39" s="1"/>
  <c r="G47" i="39" s="1"/>
  <c r="Q56" i="67"/>
  <c r="Q62" i="67" s="1"/>
  <c r="Q47" i="67"/>
  <c r="Q53" i="67" s="1"/>
  <c r="Q65" i="67"/>
  <c r="Q75" i="67" s="1"/>
  <c r="D2" i="67"/>
  <c r="C43" i="67"/>
  <c r="C83" i="67"/>
  <c r="C82" i="67" s="1"/>
  <c r="W7" i="39"/>
  <c r="AC7" i="39"/>
  <c r="V47" i="39" s="1"/>
  <c r="I47" i="39" s="1"/>
  <c r="L51" i="79"/>
  <c r="C71" i="67" l="1"/>
  <c r="C57" i="69"/>
  <c r="C56" i="69" s="1"/>
  <c r="C52" i="68"/>
  <c r="B2" i="68" s="1"/>
  <c r="B3" i="68" s="1"/>
  <c r="J16" i="79"/>
  <c r="J25" i="79" s="1"/>
  <c r="Q67" i="79"/>
  <c r="C58" i="79"/>
  <c r="C67" i="79" s="1"/>
  <c r="C68" i="79" s="1"/>
  <c r="C40" i="79"/>
  <c r="Q69" i="79"/>
  <c r="Q68" i="79" s="1"/>
  <c r="C56" i="11"/>
  <c r="C57" i="11" s="1"/>
  <c r="C80" i="79"/>
  <c r="C79" i="79" s="1"/>
  <c r="F7" i="40"/>
  <c r="H7" i="40"/>
  <c r="J7" i="40"/>
  <c r="G52" i="39"/>
  <c r="H52" i="39" s="1"/>
  <c r="G51" i="39"/>
  <c r="H51" i="39" s="1"/>
  <c r="E47" i="39"/>
  <c r="R48" i="39"/>
  <c r="I51" i="39"/>
  <c r="J51" i="39" s="1"/>
  <c r="B2" i="67"/>
  <c r="B3" i="67"/>
  <c r="D20" i="9"/>
  <c r="AO6" i="1"/>
  <c r="D19" i="9"/>
  <c r="C57" i="68" l="1"/>
  <c r="C56" i="68" s="1"/>
  <c r="Q56" i="79"/>
  <c r="Q62" i="79" s="1"/>
  <c r="C83" i="79"/>
  <c r="C82" i="79" s="1"/>
  <c r="Q47" i="79"/>
  <c r="Q53" i="79" s="1"/>
  <c r="C43" i="79"/>
  <c r="D2" i="79"/>
  <c r="Q65" i="79"/>
  <c r="Q75" i="79" s="1"/>
  <c r="C45" i="79"/>
  <c r="C46" i="79" s="1"/>
  <c r="C71" i="79"/>
  <c r="D103" i="9"/>
  <c r="G20" i="9"/>
  <c r="B6" i="70"/>
  <c r="D102" i="9"/>
  <c r="D21" i="9"/>
  <c r="G19" i="9"/>
  <c r="D22" i="9"/>
  <c r="C47" i="39"/>
  <c r="C48" i="39"/>
  <c r="W7" i="40"/>
  <c r="AC7" i="40"/>
  <c r="V42" i="40" s="1"/>
  <c r="I42" i="40" s="1"/>
  <c r="E52" i="39"/>
  <c r="F52" i="39" s="1"/>
  <c r="E51" i="39"/>
  <c r="F51" i="39" s="1"/>
  <c r="I52" i="39"/>
  <c r="J52" i="39" s="1"/>
  <c r="U7" i="40"/>
  <c r="AB7" i="40"/>
  <c r="T42" i="40" s="1"/>
  <c r="G42" i="40" s="1"/>
  <c r="AA7" i="40"/>
  <c r="R42" i="40" s="1"/>
  <c r="S7" i="40"/>
  <c r="B3" i="79" l="1"/>
  <c r="B2" i="79"/>
  <c r="E42" i="40"/>
  <c r="R43" i="40"/>
  <c r="I46" i="40"/>
  <c r="J46" i="40" s="1"/>
  <c r="G47" i="40"/>
  <c r="H47" i="40" s="1"/>
  <c r="G46" i="40"/>
  <c r="H46" i="40" s="1"/>
  <c r="G21" i="9"/>
  <c r="C32" i="9"/>
  <c r="B59" i="39"/>
  <c r="F59" i="39" s="1"/>
  <c r="B57" i="39"/>
  <c r="F57" i="39" s="1"/>
  <c r="B65" i="39"/>
  <c r="F65" i="39" s="1"/>
  <c r="B60" i="39"/>
  <c r="F60" i="39" s="1"/>
  <c r="B61" i="39"/>
  <c r="F61" i="39" s="1"/>
  <c r="B62" i="39"/>
  <c r="F62" i="39" s="1"/>
  <c r="B56" i="39"/>
  <c r="F56" i="39" s="1"/>
  <c r="F66" i="39" s="1"/>
  <c r="B2" i="39" s="1"/>
  <c r="B3" i="39" s="1"/>
  <c r="B64" i="39"/>
  <c r="F64" i="39" s="1"/>
  <c r="B58" i="39"/>
  <c r="F58" i="39" s="1"/>
  <c r="B63" i="39"/>
  <c r="F63" i="39" s="1"/>
  <c r="D20" i="80"/>
  <c r="AO7" i="1"/>
  <c r="D19" i="80"/>
  <c r="B7" i="70" l="1"/>
  <c r="B2" i="70" s="1"/>
  <c r="B3" i="70" s="1"/>
  <c r="D21" i="80"/>
  <c r="D22" i="80"/>
  <c r="G19" i="80"/>
  <c r="D102" i="80"/>
  <c r="G20" i="80"/>
  <c r="D103" i="80"/>
  <c r="H118" i="9"/>
  <c r="C35" i="9"/>
  <c r="F118" i="9" s="1"/>
  <c r="C42" i="40"/>
  <c r="C43" i="40"/>
  <c r="E47" i="40"/>
  <c r="F47" i="40" s="1"/>
  <c r="E46" i="40"/>
  <c r="F46" i="40" s="1"/>
  <c r="I47" i="40"/>
  <c r="J47" i="40" s="1"/>
  <c r="C34" i="9" l="1"/>
  <c r="D118" i="9" s="1"/>
  <c r="D119" i="9" s="1"/>
  <c r="D5" i="52" s="1"/>
  <c r="B49" i="72" s="1"/>
  <c r="C32" i="80"/>
  <c r="G21" i="80"/>
  <c r="F4" i="52"/>
  <c r="B51" i="72" s="1"/>
  <c r="G118" i="9"/>
  <c r="G4" i="52" s="1"/>
  <c r="B52" i="72" s="1"/>
  <c r="F119" i="9"/>
  <c r="F5" i="52" s="1"/>
  <c r="B53" i="72" s="1"/>
  <c r="B55" i="40"/>
  <c r="F55" i="40" s="1"/>
  <c r="B60" i="40"/>
  <c r="F60" i="40" s="1"/>
  <c r="B58" i="40"/>
  <c r="F58" i="40" s="1"/>
  <c r="B57" i="40"/>
  <c r="F57" i="40" s="1"/>
  <c r="B59" i="40"/>
  <c r="F59" i="40" s="1"/>
  <c r="B52" i="40"/>
  <c r="F52" i="40" s="1"/>
  <c r="B51" i="40"/>
  <c r="F51" i="40" s="1"/>
  <c r="B54" i="40"/>
  <c r="F54" i="40" s="1"/>
  <c r="B53" i="40"/>
  <c r="F53" i="40" s="1"/>
  <c r="F61" i="40"/>
  <c r="B2" i="40" s="1"/>
  <c r="B3" i="40" s="1"/>
  <c r="B56" i="40"/>
  <c r="F56" i="40" s="1"/>
  <c r="I118" i="9"/>
  <c r="C104" i="9"/>
  <c r="H119" i="9"/>
  <c r="H5" i="52" s="1"/>
  <c r="H4" i="52"/>
  <c r="D14" i="74"/>
  <c r="H101" i="9"/>
  <c r="D4" i="52" l="1"/>
  <c r="B47" i="72" s="1"/>
  <c r="H118" i="80"/>
  <c r="C35" i="80"/>
  <c r="H107" i="9"/>
  <c r="D45" i="9"/>
  <c r="M48" i="9"/>
  <c r="D5" i="53"/>
  <c r="I4" i="52"/>
  <c r="H102" i="9"/>
  <c r="D7" i="53" s="1"/>
  <c r="B21" i="72" s="1"/>
  <c r="C105" i="9"/>
  <c r="E118" i="9"/>
  <c r="E4" i="52" s="1"/>
  <c r="B48" i="72" s="1"/>
  <c r="E14" i="74"/>
  <c r="F14" i="74"/>
  <c r="F118" i="80" l="1"/>
  <c r="C34" i="80"/>
  <c r="D118" i="80" s="1"/>
  <c r="D119" i="80" s="1"/>
  <c r="H101" i="80"/>
  <c r="H119" i="80"/>
  <c r="C104" i="80"/>
  <c r="D15" i="74" s="1"/>
  <c r="I118" i="80"/>
  <c r="B20" i="72"/>
  <c r="D6" i="53"/>
  <c r="B22" i="72" s="1"/>
  <c r="D52" i="9"/>
  <c r="C64" i="9"/>
  <c r="C63" i="9" s="1"/>
  <c r="C67" i="9" s="1"/>
  <c r="C68" i="9" s="1"/>
  <c r="D54" i="9" s="1"/>
  <c r="D53" i="9"/>
  <c r="D55" i="9"/>
  <c r="M53" i="9" s="1"/>
  <c r="C85" i="9"/>
  <c r="C93" i="9"/>
  <c r="C86" i="9" s="1"/>
  <c r="C78" i="9"/>
  <c r="C73" i="9" s="1"/>
  <c r="C72" i="9"/>
  <c r="M49" i="9"/>
  <c r="D122" i="9"/>
  <c r="D13" i="53"/>
  <c r="H108" i="9"/>
  <c r="D15" i="53" s="1"/>
  <c r="B31" i="72" s="1"/>
  <c r="E15" i="74" l="1"/>
  <c r="F15" i="74"/>
  <c r="G15" i="74"/>
  <c r="D45" i="80"/>
  <c r="M48" i="80"/>
  <c r="H107" i="80"/>
  <c r="F119" i="80"/>
  <c r="G118" i="80"/>
  <c r="E118" i="80" s="1"/>
  <c r="C79" i="9"/>
  <c r="C80" i="9" s="1"/>
  <c r="E80" i="9" s="1"/>
  <c r="E81" i="9" s="1"/>
  <c r="H102" i="80"/>
  <c r="C105" i="80"/>
  <c r="C95" i="9"/>
  <c r="D14" i="53"/>
  <c r="B32" i="72" s="1"/>
  <c r="B30" i="72"/>
  <c r="L64" i="9"/>
  <c r="M64" i="9" s="1"/>
  <c r="L66" i="9"/>
  <c r="M66" i="9" s="1"/>
  <c r="L68" i="9"/>
  <c r="M68" i="9" s="1"/>
  <c r="L67" i="9"/>
  <c r="M67" i="9" s="1"/>
  <c r="L65" i="9"/>
  <c r="M65" i="9" s="1"/>
  <c r="L63" i="9"/>
  <c r="M63" i="9" s="1"/>
  <c r="G14" i="74"/>
  <c r="D8" i="52"/>
  <c r="D123" i="9"/>
  <c r="D9" i="52" s="1"/>
  <c r="M69" i="9" l="1"/>
  <c r="N69" i="9" s="1"/>
  <c r="C81" i="9"/>
  <c r="C93" i="80"/>
  <c r="C86" i="80" s="1"/>
  <c r="D53" i="80"/>
  <c r="C72" i="80"/>
  <c r="C85" i="80"/>
  <c r="C78" i="80"/>
  <c r="C73" i="80" s="1"/>
  <c r="C64" i="80"/>
  <c r="C63" i="80" s="1"/>
  <c r="C67" i="80" s="1"/>
  <c r="C68" i="80" s="1"/>
  <c r="D54" i="80" s="1"/>
  <c r="D55" i="80"/>
  <c r="M53" i="80" s="1"/>
  <c r="D52" i="80"/>
  <c r="M49" i="80"/>
  <c r="D122" i="80"/>
  <c r="D123" i="80" s="1"/>
  <c r="H108" i="80"/>
  <c r="C96" i="9"/>
  <c r="E96" i="9" s="1"/>
  <c r="E97" i="9" s="1"/>
  <c r="L64" i="80" l="1"/>
  <c r="M64" i="80" s="1"/>
  <c r="L66" i="80"/>
  <c r="M66" i="80" s="1"/>
  <c r="L67" i="80"/>
  <c r="M67" i="80" s="1"/>
  <c r="L65" i="80"/>
  <c r="M65" i="80" s="1"/>
  <c r="L68" i="80"/>
  <c r="M68" i="80" s="1"/>
  <c r="L63" i="80"/>
  <c r="M63" i="80" s="1"/>
  <c r="C95" i="80"/>
  <c r="C79" i="80"/>
  <c r="C97" i="9"/>
  <c r="D58" i="9" s="1"/>
  <c r="D56" i="9" s="1"/>
  <c r="M54" i="9" s="1"/>
  <c r="N57" i="9" s="1"/>
  <c r="C80" i="80" l="1"/>
  <c r="E80" i="80" s="1"/>
  <c r="E81" i="80" s="1"/>
  <c r="C96" i="80"/>
  <c r="E96" i="80" s="1"/>
  <c r="E97" i="80" s="1"/>
  <c r="M69" i="80"/>
  <c r="N69" i="80" s="1"/>
  <c r="P57" i="9"/>
  <c r="N58" i="9"/>
  <c r="N59" i="9"/>
  <c r="C81" i="80" l="1"/>
  <c r="C97" i="80"/>
  <c r="D58" i="80" s="1"/>
  <c r="D56" i="80" s="1"/>
  <c r="M54" i="80" s="1"/>
  <c r="N57" i="80" s="1"/>
  <c r="N61" i="9"/>
  <c r="N60" i="9"/>
  <c r="N58" i="80" l="1"/>
  <c r="P57" i="80"/>
  <c r="N59" i="80"/>
  <c r="N60" i="80" l="1"/>
  <c r="N61" i="80"/>
  <c r="B6" i="74" l="1"/>
  <c r="C6" i="74" l="1"/>
  <c r="D6" i="74"/>
  <c r="E16" i="74"/>
  <c r="F16"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<sst xmlns="http://schemas.openxmlformats.org/spreadsheetml/2006/main" count="8116" uniqueCount="3121">
  <si>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</si>
  <si>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</si>
  <si>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</si>
  <si>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</si>
  <si>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</si>
  <si>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</si>
  <si>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</si>
  <si>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</si>
  <si>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</si>
  <si>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</si>
  <si>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</si>
  <si>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</si>
  <si>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</si>
  <si>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</si>
  <si>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</si>
  <si>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</si>
  <si>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</si>
  <si>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</si>
  <si>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</si>
  <si>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</si>
  <si>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</si>
  <si>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</si>
  <si>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</si>
  <si>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</si>
  <si>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</si>
  <si>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</si>
  <si>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</si>
  <si>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</si>
  <si>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</si>
  <si>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</si>
  <si>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</si>
  <si>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</si>
  <si>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</si>
  <si>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</si>
  <si>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</si>
  <si>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</si>
  <si>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</si>
  <si>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</si>
  <si>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</si>
  <si>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</si>
  <si>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</si>
  <si>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</si>
  <si>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</si>
  <si>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</si>
  <si>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</si>
  <si>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</si>
  <si>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</si>
  <si>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</si>
  <si>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</si>
  <si>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</si>
  <si>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</si>
  <si>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</si>
  <si>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</si>
  <si>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</si>
  <si>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</si>
  <si>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</si>
  <si>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</si>
  <si>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</si>
  <si>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</si>
  <si>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</si>
  <si>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</si>
  <si>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</si>
  <si>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</si>
  <si>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</si>
  <si>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</si>
  <si>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</si>
  <si>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</si>
  <si>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</si>
  <si>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</si>
  <si>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</si>
  <si>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</si>
  <si>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</si>
  <si>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</si>
  <si>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</si>
  <si>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</si>
  <si>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</si>
  <si>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</si>
  <si>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</si>
  <si>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</si>
  <si>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</si>
  <si>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</si>
  <si>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</si>
  <si>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</si>
  <si>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</si>
  <si>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</si>
  <si>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</si>
  <si>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</si>
  <si>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</si>
  <si>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</si>
  <si>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</si>
  <si>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</si>
  <si>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</si>
  <si>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</si>
  <si>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</si>
  <si>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</si>
  <si>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</si>
  <si>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</si>
  <si>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</si>
  <si>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</si>
  <si>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</si>
  <si>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</si>
  <si>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</si>
  <si>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</si>
  <si>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</si>
  <si>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</si>
  <si>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</si>
  <si>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</si>
  <si>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</si>
  <si>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</si>
  <si>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</si>
  <si>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</si>
  <si>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</si>
  <si>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</si>
  <si>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</si>
  <si>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</si>
  <si>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</si>
  <si>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</si>
  <si>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</si>
  <si>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</si>
  <si>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</si>
  <si>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</si>
  <si>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</si>
  <si>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</si>
  <si>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</si>
  <si>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</si>
  <si>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</si>
  <si>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</si>
  <si>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</si>
  <si>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</si>
  <si>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</si>
  <si>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</si>
  <si>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</si>
  <si>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</si>
  <si>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</si>
  <si>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</si>
  <si>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</si>
  <si>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</si>
  <si>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</si>
  <si>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</si>
  <si>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</si>
  <si>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</si>
  <si>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</si>
  <si>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</si>
  <si>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</si>
  <si>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</si>
  <si>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</si>
  <si>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</si>
  <si>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</si>
  <si>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</si>
  <si>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</si>
  <si>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</si>
  <si>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</si>
  <si>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</si>
  <si>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</si>
  <si>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</si>
  <si>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</si>
  <si>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</si>
  <si>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</si>
  <si>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</si>
  <si>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</si>
  <si>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</si>
  <si>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</si>
  <si>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</si>
  <si>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</si>
  <si>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</si>
  <si>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</si>
  <si>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</si>
  <si>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</si>
  <si>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</si>
  <si>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</si>
  <si>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</si>
  <si>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</si>
  <si>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</si>
  <si>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</si>
  <si>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</si>
  <si>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</si>
  <si>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</si>
  <si>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</si>
  <si>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</si>
  <si>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</si>
  <si>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</si>
  <si>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</si>
  <si>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</si>
  <si>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</si>
  <si>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</si>
  <si>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</si>
  <si>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</si>
  <si>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</si>
  <si>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</si>
  <si>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</si>
  <si>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</si>
  <si>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</si>
  <si>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</si>
  <si>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</si>
  <si>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</si>
  <si>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</si>
  <si>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</si>
  <si>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</si>
  <si>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</si>
  <si>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</si>
  <si>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</si>
  <si>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</si>
  <si>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</si>
  <si>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</si>
  <si>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</si>
  <si>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</si>
  <si>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</si>
  <si>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</si>
  <si>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</si>
  <si>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</si>
  <si>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</si>
  <si>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</si>
  <si>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</si>
  <si>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</si>
  <si>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</si>
  <si>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</si>
  <si>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</si>
  <si>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</si>
  <si>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</si>
  <si>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</si>
  <si>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</si>
  <si>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</si>
  <si>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</si>
  <si>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</si>
  <si>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</si>
  <si>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</si>
  <si>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</si>
  <si>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</si>
  <si>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</si>
  <si>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</si>
  <si>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</si>
  <si>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</si>
  <si>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</si>
  <si>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</si>
  <si>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</si>
  <si>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</si>
  <si>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</si>
  <si>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</si>
  <si>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</si>
  <si>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</si>
  <si>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</si>
  <si>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</si>
  <si>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</si>
  <si>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</si>
  <si>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</si>
  <si>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</si>
  <si>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</si>
  <si>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</si>
  <si>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</si>
  <si>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</si>
  <si>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</si>
  <si>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</si>
  <si>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</si>
  <si>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</si>
  <si>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</si>
  <si>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</si>
  <si>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</si>
  <si>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</si>
  <si>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</si>
  <si>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</si>
  <si>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</si>
  <si>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</si>
  <si>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</si>
  <si>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</si>
  <si>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</si>
  <si>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</si>
  <si>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</si>
  <si>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</si>
  <si>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</si>
  <si>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</si>
  <si>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</si>
  <si>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</si>
  <si>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</si>
  <si>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</si>
  <si>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</si>
  <si>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</si>
  <si>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</si>
  <si>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</si>
  <si>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</si>
  <si>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</si>
  <si>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</si>
  <si>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</si>
  <si>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</si>
  <si>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</si>
  <si>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</si>
  <si>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</si>
  <si>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</si>
  <si>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</si>
  <si>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</si>
  <si>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</si>
  <si>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</si>
  <si>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</si>
  <si>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</si>
  <si>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</si>
  <si>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</si>
  <si>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</si>
  <si>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</si>
  <si>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</si>
  <si>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</si>
  <si>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</si>
  <si>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</si>
  <si>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</si>
  <si>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</si>
  <si>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</si>
  <si>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</si>
  <si>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</si>
  <si>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</si>
  <si>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</si>
  <si>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</si>
  <si>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</si>
  <si>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</si>
  <si>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</si>
  <si>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</si>
  <si>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</si>
  <si>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</si>
  <si>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</si>
  <si>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</si>
  <si>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</si>
  <si>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</si>
  <si>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</si>
  <si>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</si>
  <si>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</si>
  <si>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</si>
  <si>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</si>
  <si>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</si>
  <si>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</si>
  <si>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</si>
  <si>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</si>
  <si>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</si>
  <si>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</si>
  <si>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</si>
  <si>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</si>
  <si>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</si>
  <si>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</si>
  <si>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</si>
  <si>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</si>
  <si>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</si>
  <si>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</si>
  <si>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</si>
  <si>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</si>
  <si>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</si>
  <si>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</si>
  <si>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</si>
  <si>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</si>
  <si>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</si>
  <si>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</si>
  <si>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</si>
  <si>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</si>
  <si>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</si>
  <si>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</si>
  <si>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</si>
  <si>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</si>
  <si>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</si>
  <si>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</si>
  <si>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</si>
  <si>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</si>
  <si>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</si>
  <si>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</si>
  <si>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</si>
  <si>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</si>
  <si>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</si>
  <si>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</si>
  <si>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</si>
  <si>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</si>
  <si>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</si>
  <si>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</si>
  <si>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</si>
  <si>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</si>
  <si>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</si>
  <si>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</si>
  <si>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</si>
  <si>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</si>
  <si>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</si>
  <si>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</si>
  <si>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</si>
  <si>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</si>
  <si>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</si>
  <si>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</si>
  <si>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</si>
  <si>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</si>
  <si>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</si>
  <si>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</si>
  <si>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</si>
  <si>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</si>
  <si>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</si>
  <si>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</si>
  <si>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</si>
  <si>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</si>
  <si>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</si>
  <si>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</si>
  <si>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</si>
  <si>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</si>
  <si>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</si>
  <si>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</si>
  <si>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</si>
  <si>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</si>
  <si>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</si>
  <si>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</si>
  <si>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</si>
  <si>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</si>
  <si>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</si>
  <si>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</si>
  <si>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</si>
  <si>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</si>
  <si>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</si>
  <si>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</si>
  <si>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</si>
  <si>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</si>
  <si>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</si>
  <si>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</si>
  <si>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</si>
  <si>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</si>
  <si>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</si>
  <si>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</si>
  <si>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</si>
  <si>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</si>
  <si>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</si>
  <si>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</si>
  <si>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</si>
  <si>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</si>
  <si>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</si>
  <si>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</si>
  <si>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</si>
  <si>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</si>
  <si>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</si>
  <si>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</si>
  <si>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</si>
  <si>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</si>
  <si>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</si>
  <si>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</si>
  <si>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</si>
  <si>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</si>
  <si>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</si>
  <si>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</si>
  <si>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</si>
  <si>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</si>
  <si>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</si>
  <si>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</si>
  <si>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</si>
  <si>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</si>
  <si>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</si>
  <si>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</si>
  <si>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</si>
  <si>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</si>
  <si>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</si>
  <si>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</si>
  <si>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</si>
  <si>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</si>
  <si>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</si>
  <si>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</si>
  <si>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</si>
  <si>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</si>
  <si>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</si>
  <si>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</si>
  <si>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</si>
  <si>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</si>
  <si>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</si>
  <si>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</si>
  <si>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</si>
  <si>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</si>
  <si>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</si>
  <si>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</si>
  <si>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</si>
  <si>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</si>
  <si>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</si>
  <si>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</si>
  <si>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</si>
  <si>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</si>
  <si>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</si>
  <si>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</si>
  <si>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</si>
  <si>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</si>
  <si>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</si>
  <si>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</si>
  <si>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</si>
  <si>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</si>
  <si>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</si>
  <si>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</si>
  <si>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</si>
  <si>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</si>
  <si>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</si>
  <si>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</si>
  <si>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</si>
  <si>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</si>
  <si>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</si>
  <si>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</si>
  <si>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</si>
  <si>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</si>
  <si>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</si>
  <si>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</si>
  <si>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</si>
  <si>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</si>
  <si>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</si>
  <si>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</si>
  <si>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</si>
  <si>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</si>
  <si>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</si>
  <si>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</si>
  <si>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</si>
  <si>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</si>
  <si>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</si>
  <si>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</si>
  <si>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</si>
  <si>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</si>
  <si>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</si>
  <si>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</si>
  <si>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</si>
  <si>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</si>
  <si>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</si>
  <si>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</si>
  <si>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</si>
  <si>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</si>
  <si>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</si>
  <si>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</si>
  <si>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</si>
  <si>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</si>
  <si>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</si>
  <si>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</si>
  <si>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</si>
  <si>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</si>
  <si>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</si>
  <si>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</si>
  <si>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</si>
  <si>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</si>
  <si>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</si>
  <si>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</si>
  <si>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</si>
  <si>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</si>
  <si>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</si>
  <si>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</si>
  <si>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</si>
  <si>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</si>
  <si>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</si>
  <si>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</si>
  <si>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</si>
  <si>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</si>
  <si>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</si>
  <si>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</si>
  <si>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</si>
  <si>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</si>
  <si>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</si>
  <si>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</si>
  <si>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</si>
  <si>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</si>
  <si>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</si>
  <si>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</si>
  <si>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</si>
  <si>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</si>
  <si>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</si>
  <si>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</si>
  <si>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</si>
  <si>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</si>
  <si>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</si>
  <si>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</si>
  <si>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</si>
  <si>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</si>
  <si>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</si>
  <si>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</si>
  <si>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</si>
  <si>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</si>
  <si>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</si>
  <si>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</si>
  <si>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</si>
  <si>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</si>
  <si>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</si>
  <si>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</si>
  <si>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</si>
  <si>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</si>
  <si>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</si>
  <si>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</si>
  <si>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</si>
  <si>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</si>
  <si>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</si>
  <si>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</si>
  <si>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</si>
  <si>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</si>
  <si>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</si>
  <si>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</si>
  <si>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</si>
  <si>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</si>
  <si>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</si>
  <si>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</si>
  <si>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</si>
  <si>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</si>
  <si>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</si>
  <si>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</si>
  <si>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</si>
  <si>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</si>
  <si>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</si>
  <si>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</si>
  <si>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</si>
  <si>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</si>
  <si>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</si>
  <si>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</si>
  <si>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</si>
  <si>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</si>
  <si>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</si>
  <si>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</si>
  <si>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</si>
  <si>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</si>
  <si>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</si>
  <si>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</si>
  <si>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</si>
  <si>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</si>
  <si>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</si>
  <si>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</si>
  <si>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</si>
  <si>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</si>
  <si>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</si>
  <si>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</si>
  <si>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</si>
  <si>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</si>
  <si>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</si>
  <si>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</si>
  <si>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</si>
  <si>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</si>
  <si>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</si>
  <si>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</si>
  <si>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</si>
  <si>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</si>
  <si>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</si>
  <si>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</si>
  <si>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</si>
  <si>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</si>
  <si>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</si>
  <si>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</si>
  <si>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</si>
  <si>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</si>
  <si>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</si>
  <si>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</si>
  <si>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</si>
  <si>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</si>
  <si>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</si>
  <si>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</si>
  <si>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</si>
  <si>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</si>
  <si>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</si>
  <si>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</si>
  <si>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</si>
  <si>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</si>
  <si>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</si>
  <si>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</si>
  <si>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</si>
  <si>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</si>
  <si>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</si>
  <si>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</si>
  <si>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</si>
  <si>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</si>
  <si>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</si>
  <si>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</si>
  <si>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</si>
  <si>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</si>
  <si>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</si>
  <si>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</si>
  <si>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</si>
  <si>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</si>
  <si>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</si>
  <si>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</si>
  <si>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</si>
  <si>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</si>
  <si>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</si>
  <si>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</si>
  <si>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</si>
  <si>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</si>
  <si>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</si>
  <si>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</si>
  <si>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</si>
  <si>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</si>
  <si>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</si>
  <si>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</si>
  <si>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</si>
  <si>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</si>
  <si>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</si>
  <si>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</si>
  <si>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</si>
  <si>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</si>
  <si>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</si>
  <si>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</si>
  <si>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</si>
  <si>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</si>
  <si>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</si>
  <si>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</si>
  <si>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</si>
  <si>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</si>
  <si>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</si>
  <si>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</si>
  <si>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</si>
  <si>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</si>
  <si>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</si>
  <si>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</si>
  <si>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</si>
  <si>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</si>
  <si>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</si>
  <si>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</si>
  <si>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</si>
  <si>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</si>
  <si>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</si>
  <si>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</si>
  <si>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</si>
  <si>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</si>
  <si>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</si>
  <si>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</si>
  <si>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</si>
  <si>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</si>
  <si>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</si>
  <si>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</si>
  <si>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</si>
  <si>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</si>
  <si>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</si>
  <si>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</si>
  <si>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</si>
  <si>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</si>
  <si>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</si>
  <si>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</si>
  <si>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</si>
  <si>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</si>
  <si>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</si>
  <si>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</si>
  <si>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</si>
  <si>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</si>
  <si>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</si>
  <si>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</si>
  <si>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</si>
  <si>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</si>
  <si>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</si>
  <si>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</si>
  <si>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</si>
  <si>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</si>
  <si>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</si>
  <si>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</si>
  <si>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</si>
  <si>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</si>
  <si>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</si>
  <si>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</si>
  <si>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</si>
  <si>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</si>
  <si>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</si>
  <si>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</si>
  <si>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</si>
  <si>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</si>
  <si>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</si>
  <si>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</si>
  <si>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</si>
  <si>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</si>
  <si>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</si>
  <si>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</si>
  <si>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</si>
  <si>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</si>
  <si>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</si>
  <si>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</si>
  <si>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</si>
  <si>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</si>
  <si>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</si>
  <si>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</si>
  <si>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</si>
  <si>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</si>
  <si>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</si>
  <si>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</si>
  <si>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</si>
  <si>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</si>
  <si>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</si>
  <si>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</si>
  <si>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</si>
  <si>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</si>
  <si>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</si>
  <si>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</si>
  <si>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</si>
  <si>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</si>
  <si>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</si>
  <si>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</si>
  <si>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</si>
  <si>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</si>
  <si>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</si>
  <si>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</si>
  <si>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</si>
  <si>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</si>
  <si>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</si>
  <si>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</si>
  <si>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</si>
  <si>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</si>
  <si>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</si>
  <si>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</si>
  <si>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</si>
  <si>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</si>
  <si>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</si>
  <si>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</si>
  <si>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</si>
  <si>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</si>
  <si>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</si>
  <si>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</si>
  <si>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</si>
  <si>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</si>
  <si>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</si>
  <si>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</si>
  <si>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</si>
  <si>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</si>
  <si>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</si>
  <si>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</si>
  <si>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</si>
  <si>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</si>
  <si>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</si>
  <si>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</si>
  <si>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</si>
  <si>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</si>
  <si>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</si>
  <si>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</si>
  <si>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</si>
  <si>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</si>
  <si>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</si>
  <si>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</si>
  <si>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</si>
  <si>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</si>
  <si>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</si>
  <si>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</si>
  <si>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</si>
  <si>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</si>
  <si>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</si>
  <si>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</si>
  <si>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</si>
  <si>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</si>
  <si>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</si>
  <si>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</si>
  <si>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</si>
  <si>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</si>
  <si>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</si>
  <si>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</si>
  <si>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</si>
  <si>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</si>
  <si>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</si>
  <si>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</si>
  <si>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</si>
  <si>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</si>
  <si>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</si>
  <si>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</si>
  <si>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</si>
  <si>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</si>
  <si>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</si>
  <si>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</si>
  <si>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</si>
  <si>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</si>
  <si>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</si>
  <si>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</si>
  <si>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</si>
  <si>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</si>
  <si>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</si>
  <si>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</si>
  <si>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</si>
  <si>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</si>
  <si>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</si>
  <si>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</si>
  <si>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</si>
  <si>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</si>
  <si>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</si>
  <si>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</si>
  <si>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</si>
  <si>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</si>
  <si>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</si>
  <si>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</si>
  <si>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</si>
  <si>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</si>
  <si>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</si>
  <si>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</si>
  <si>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</si>
  <si>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</si>
  <si>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</si>
  <si>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</si>
  <si>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</si>
  <si>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</si>
  <si>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</si>
  <si>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</si>
  <si>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</si>
  <si>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</si>
  <si>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</si>
  <si>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</si>
  <si>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</si>
  <si>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</si>
  <si>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</si>
  <si>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</si>
  <si>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</si>
  <si>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</si>
  <si>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</si>
  <si>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</si>
  <si>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</si>
  <si>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</si>
  <si>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</si>
  <si>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</si>
  <si>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</si>
  <si>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</si>
  <si>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</si>
  <si>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</si>
  <si>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</si>
  <si>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</si>
  <si>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</si>
  <si>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</si>
  <si>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</si>
  <si>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</si>
  <si>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</si>
  <si>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</si>
  <si>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</si>
  <si>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</si>
  <si>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</si>
  <si>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</si>
  <si>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</si>
  <si>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</si>
  <si>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</si>
  <si>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</si>
  <si>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</si>
  <si>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</si>
  <si>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</si>
  <si>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</si>
  <si>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</si>
  <si>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</si>
  <si>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</si>
  <si>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</si>
  <si>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</si>
  <si>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</si>
  <si>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</si>
  <si>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</si>
  <si>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</si>
  <si>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</si>
  <si>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</si>
  <si>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</si>
  <si>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</si>
  <si>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</si>
  <si>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</si>
  <si>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</si>
  <si>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</si>
  <si>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</si>
  <si>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</si>
  <si>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</si>
  <si>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</si>
  <si>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</si>
  <si>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</si>
  <si>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</si>
  <si>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</si>
  <si>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</si>
  <si>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</si>
  <si>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</si>
  <si>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</si>
  <si>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</si>
  <si>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</si>
  <si>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</si>
  <si>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</si>
  <si>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</si>
  <si>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</si>
  <si>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</si>
  <si>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</si>
  <si>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</si>
  <si>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</si>
  <si>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</si>
  <si>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</si>
  <si>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</si>
  <si>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</si>
  <si>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</si>
  <si>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</si>
  <si>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</si>
  <si>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</si>
  <si>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</si>
  <si>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</si>
  <si>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</si>
  <si>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</si>
  <si>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</si>
  <si>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</si>
  <si>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</si>
  <si>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</si>
  <si>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</si>
  <si>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</si>
  <si>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</si>
  <si>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</si>
  <si>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</si>
  <si>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</si>
  <si>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</si>
  <si>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</si>
  <si>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</si>
  <si>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</si>
  <si>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</si>
  <si>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</si>
  <si>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</si>
  <si>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</si>
  <si>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</si>
  <si>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</si>
  <si>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</si>
  <si>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</si>
  <si>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</si>
  <si>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</si>
  <si>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</si>
  <si>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</si>
  <si>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</si>
  <si>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</si>
  <si>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</si>
  <si>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</si>
  <si>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</si>
  <si>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</si>
  <si>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</si>
  <si>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</si>
  <si>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</si>
  <si>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</si>
  <si>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</si>
  <si>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</si>
  <si>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</si>
  <si>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</si>
  <si>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</si>
  <si>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</si>
  <si>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</si>
  <si>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</si>
  <si>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</si>
  <si>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</si>
  <si>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</si>
  <si>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</si>
  <si>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</si>
  <si>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</si>
  <si>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</si>
  <si>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</si>
  <si>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</si>
  <si>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</si>
  <si>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</si>
  <si>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</si>
  <si>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</si>
  <si>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</si>
  <si>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</si>
  <si>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</si>
  <si>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</si>
  <si>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</si>
  <si>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</si>
  <si>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</si>
  <si>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</si>
  <si>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</si>
  <si>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</si>
  <si>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</si>
  <si>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</si>
  <si>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</si>
  <si>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</si>
  <si>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</si>
  <si>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</si>
  <si>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</si>
  <si>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</si>
  <si>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</si>
  <si>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</si>
  <si>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</si>
  <si>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</si>
  <si>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</si>
  <si>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</si>
  <si>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</si>
  <si>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</si>
  <si>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</si>
  <si>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</si>
  <si>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</si>
  <si>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</si>
  <si>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</si>
  <si>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</si>
  <si>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</si>
  <si>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</si>
  <si>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</si>
  <si>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</si>
  <si>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</si>
  <si>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</si>
  <si>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</si>
  <si>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</si>
  <si>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</si>
  <si>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</si>
  <si>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</si>
  <si>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</si>
  <si>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</si>
  <si>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</si>
  <si>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</si>
  <si>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</si>
  <si>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</si>
  <si>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</si>
  <si>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</si>
  <si>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</si>
  <si>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</si>
  <si>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</si>
  <si>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</si>
  <si>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</si>
  <si>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</si>
  <si>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</si>
  <si>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</si>
  <si>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</si>
  <si>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</si>
  <si>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</si>
  <si>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</si>
  <si>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</si>
  <si>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</si>
  <si>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</si>
  <si>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</si>
  <si>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</si>
  <si>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</si>
  <si>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</si>
  <si>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</si>
  <si>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</si>
  <si>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</si>
  <si>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</si>
  <si>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</si>
  <si>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</si>
  <si>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</si>
  <si>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</si>
  <si>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</si>
  <si>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</si>
  <si>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</si>
  <si>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</si>
  <si>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</si>
  <si>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</si>
  <si>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</si>
  <si>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</si>
  <si>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</si>
  <si>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</si>
  <si>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</si>
  <si>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</si>
  <si>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</si>
  <si>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</si>
  <si>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</si>
  <si>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</si>
  <si>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</si>
  <si>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</si>
  <si>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</si>
  <si>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</si>
  <si>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</si>
  <si>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</si>
  <si>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</si>
  <si>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</si>
  <si>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</si>
  <si>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</si>
  <si>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</si>
  <si>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</si>
  <si>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</si>
  <si>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</si>
  <si>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</si>
  <si>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</si>
  <si>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</si>
  <si>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</si>
  <si>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</si>
  <si>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</si>
  <si>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</si>
  <si>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</si>
  <si>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</si>
  <si>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</si>
  <si>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</si>
  <si>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</si>
  <si>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</si>
  <si>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</si>
  <si>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</si>
  <si>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</si>
  <si>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</si>
  <si>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</si>
  <si>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</si>
  <si>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</si>
  <si>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</si>
  <si>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</si>
  <si>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</si>
  <si>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</si>
  <si>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</si>
  <si>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</si>
  <si>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</si>
  <si>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</si>
  <si>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</si>
  <si>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</si>
  <si>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</si>
  <si>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</si>
  <si>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</si>
  <si>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</si>
  <si>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</si>
  <si>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</si>
  <si>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</si>
  <si>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</si>
  <si>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</si>
  <si>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</si>
  <si>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</si>
  <si>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</si>
  <si>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</si>
  <si>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</si>
  <si>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</si>
  <si>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</si>
  <si>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</si>
  <si>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</si>
  <si>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</si>
  <si>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</si>
  <si>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</si>
  <si>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</si>
  <si>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</si>
  <si>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</si>
  <si>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</si>
  <si>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</si>
  <si>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</si>
  <si>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</si>
  <si>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</si>
  <si>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</si>
  <si>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</si>
  <si>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</si>
  <si>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</si>
  <si>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</si>
  <si>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</si>
  <si>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</si>
  <si>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</si>
  <si>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</si>
  <si>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</si>
  <si>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</si>
  <si>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</si>
  <si>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</si>
  <si>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</si>
  <si>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</si>
  <si>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</si>
  <si>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</si>
  <si>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</si>
  <si>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</si>
  <si>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</si>
  <si>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</si>
  <si>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</si>
  <si>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</si>
  <si>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</si>
  <si>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</si>
  <si>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</si>
  <si>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</si>
  <si>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</si>
  <si>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</si>
  <si>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</si>
  <si>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</si>
  <si>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</si>
  <si>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</si>
  <si>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</si>
  <si>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</si>
  <si>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</si>
  <si>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</si>
  <si>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</si>
  <si>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</si>
  <si>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</si>
  <si>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</si>
  <si>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</si>
  <si>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</si>
  <si>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</si>
  <si>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</si>
  <si>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</si>
  <si>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</si>
  <si>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</si>
  <si>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</si>
  <si>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</si>
  <si>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</si>
  <si>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</si>
  <si>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</si>
  <si>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</si>
  <si>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</si>
  <si>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</si>
  <si>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</si>
  <si>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</si>
  <si>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</si>
  <si>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</si>
  <si>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</si>
  <si>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</si>
  <si>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</si>
  <si>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</si>
  <si>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</si>
  <si>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</si>
  <si>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</si>
  <si>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</si>
  <si>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</si>
  <si>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</si>
  <si>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</si>
  <si>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</si>
  <si>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</si>
  <si>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</si>
  <si>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</si>
  <si>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</si>
  <si>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</si>
  <si>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</si>
  <si>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</si>
  <si>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</si>
  <si>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</si>
  <si>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</si>
  <si>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</si>
  <si>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</si>
  <si>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</si>
  <si>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</si>
  <si>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</si>
  <si>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</si>
  <si>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</si>
  <si>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</si>
  <si>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</si>
  <si>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</si>
  <si>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</si>
  <si>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</si>
  <si>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</si>
  <si>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</si>
  <si>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</si>
  <si>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</si>
  <si>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</si>
  <si>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</si>
  <si>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</si>
  <si>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</si>
  <si>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</si>
  <si>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</si>
  <si>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</si>
  <si>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</si>
  <si>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</si>
  <si>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</si>
  <si>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</si>
  <si>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</si>
  <si>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</si>
  <si>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</si>
  <si>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</si>
  <si>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</si>
  <si>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</si>
  <si>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</si>
  <si>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</si>
  <si>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</si>
  <si>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</si>
  <si>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</si>
  <si>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</si>
  <si>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</si>
  <si>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</si>
  <si>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</si>
  <si>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</si>
  <si>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</si>
  <si>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</si>
  <si>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</si>
  <si>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</si>
  <si>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</si>
  <si>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</si>
  <si>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</si>
  <si>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</si>
  <si>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</si>
  <si>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</si>
  <si>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</si>
  <si>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</si>
  <si>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</si>
  <si>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</si>
  <si>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</si>
  <si>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</si>
  <si>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</si>
  <si>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</si>
  <si>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</si>
  <si>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</si>
  <si>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</si>
  <si>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</si>
  <si>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</si>
  <si>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</si>
  <si>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</si>
  <si>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</si>
  <si>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</si>
  <si>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</si>
  <si>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</si>
  <si>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</si>
  <si>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</si>
  <si>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</si>
  <si>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</si>
  <si>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</si>
  <si>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</si>
  <si>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</si>
  <si>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</si>
  <si>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</si>
  <si>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</si>
  <si>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</si>
  <si>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</si>
  <si>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</si>
  <si>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</si>
  <si>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</si>
  <si>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</si>
  <si>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</si>
  <si>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</si>
  <si>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</si>
  <si>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</si>
  <si>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</si>
  <si>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</si>
  <si>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</si>
  <si>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</si>
  <si>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</si>
  <si>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</si>
  <si>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</si>
  <si>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</si>
  <si>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</si>
  <si>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</si>
  <si>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</si>
  <si>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</si>
  <si>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</si>
  <si>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</si>
  <si>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</si>
  <si>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</si>
  <si>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</si>
  <si>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</si>
  <si>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</si>
  <si>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</si>
  <si>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</si>
  <si>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</si>
  <si>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</si>
  <si>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</si>
  <si>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</si>
  <si>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</si>
  <si>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</si>
  <si>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</si>
  <si>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</si>
  <si>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</si>
  <si>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</si>
  <si>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</si>
  <si>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</si>
  <si>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</si>
  <si>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</si>
  <si>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</si>
  <si>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</si>
  <si>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</si>
  <si>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</si>
  <si>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</si>
  <si>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</si>
  <si>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</si>
  <si>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</si>
  <si>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</si>
  <si>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</si>
  <si>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</si>
  <si>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</si>
  <si>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</si>
  <si>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</si>
  <si>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</si>
  <si>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</si>
  <si>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</si>
  <si>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</si>
  <si>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</si>
  <si>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</si>
  <si>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</si>
  <si>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</si>
  <si>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</si>
  <si>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</si>
  <si>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</si>
  <si>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</si>
  <si>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</si>
  <si>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</si>
  <si>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</si>
  <si>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</si>
  <si>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</si>
  <si>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</si>
  <si>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</si>
  <si>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</si>
  <si>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</si>
  <si>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</si>
  <si>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</si>
  <si>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</si>
  <si>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</si>
  <si>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</si>
  <si>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</si>
  <si>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</si>
  <si>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</si>
  <si>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</si>
  <si>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</si>
  <si>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</si>
  <si>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</si>
  <si>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</si>
  <si>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</si>
  <si>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</si>
  <si>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</si>
  <si>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</si>
  <si>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</si>
  <si>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</si>
  <si>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</si>
  <si>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</si>
  <si>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</si>
  <si>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</si>
  <si>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</si>
  <si>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</si>
  <si>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</si>
  <si>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</si>
  <si>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</si>
  <si>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</si>
  <si>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</si>
  <si>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</si>
  <si>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</si>
  <si>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</si>
  <si>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</si>
  <si>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</si>
  <si>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</si>
  <si>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</si>
  <si>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</si>
  <si>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</si>
  <si>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</si>
  <si>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</si>
  <si>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</si>
  <si>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</si>
  <si>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</si>
  <si>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</si>
  <si>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</si>
  <si>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</si>
  <si>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</si>
  <si>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</si>
  <si>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</si>
  <si>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</si>
  <si>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</si>
  <si>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</si>
  <si>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</si>
  <si>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</si>
  <si>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</si>
  <si>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</si>
  <si>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</si>
  <si>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</si>
  <si>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</si>
  <si>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</si>
  <si>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</si>
  <si>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</si>
  <si>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</si>
  <si>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</si>
  <si>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</si>
  <si>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</si>
  <si>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</si>
  <si>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</si>
  <si>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</si>
  <si>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</si>
  <si>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</si>
  <si>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</si>
  <si>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</si>
  <si>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</si>
  <si>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</si>
  <si>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</si>
  <si>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</si>
  <si>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</si>
  <si>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</si>
  <si>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</si>
  <si>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</si>
  <si>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</si>
  <si>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</si>
  <si>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</si>
  <si>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</si>
  <si>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</si>
  <si>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</si>
  <si>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</si>
  <si>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</si>
  <si>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</si>
  <si>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</si>
  <si>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</si>
  <si>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</si>
  <si>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</si>
  <si>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</si>
  <si>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</si>
  <si>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</si>
  <si>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</si>
  <si>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</si>
  <si>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</si>
  <si>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</si>
  <si>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</si>
  <si>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</si>
  <si>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</si>
  <si>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</si>
  <si>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</si>
  <si>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</si>
  <si>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</si>
  <si>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</si>
  <si>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</si>
  <si>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</si>
  <si>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</si>
  <si>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</si>
  <si>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</si>
  <si>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</si>
  <si>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</si>
  <si>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</si>
  <si>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</si>
  <si>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</si>
  <si>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</si>
  <si>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</si>
  <si>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</si>
  <si>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</si>
  <si>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</si>
  <si>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</si>
  <si>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</si>
  <si>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</si>
  <si>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</si>
  <si>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</si>
  <si>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</si>
  <si>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</si>
  <si>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</si>
  <si>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</si>
  <si>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</si>
  <si>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</si>
  <si>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</si>
  <si>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</si>
  <si>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</si>
  <si>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</si>
  <si>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</si>
  <si>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</si>
  <si>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</si>
  <si>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</si>
  <si>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</si>
  <si>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</si>
  <si>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</si>
  <si>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</si>
  <si>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</si>
  <si>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</si>
  <si>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</si>
  <si>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</si>
  <si>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</si>
  <si>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</si>
  <si>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</si>
  <si>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</si>
  <si>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</si>
  <si>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</si>
  <si>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</si>
  <si>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</si>
  <si>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</si>
  <si>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</si>
  <si>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</si>
  <si>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</si>
  <si>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</si>
  <si>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</si>
  <si>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</si>
  <si>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</si>
  <si>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</si>
  <si>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</si>
  <si>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</si>
  <si>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</si>
  <si>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</si>
  <si>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</si>
  <si>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</si>
  <si>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</si>
  <si>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</si>
  <si>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</si>
  <si>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</si>
  <si>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</si>
  <si>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</si>
  <si>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</si>
  <si>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</si>
  <si>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</si>
  <si>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</si>
  <si>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</si>
  <si>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</si>
  <si>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</si>
  <si>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</si>
  <si>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</si>
  <si>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</si>
  <si>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</si>
  <si>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</si>
  <si>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</si>
  <si>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</si>
  <si>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</si>
  <si>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</si>
  <si>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</si>
  <si>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</si>
  <si>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</si>
  <si>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</si>
  <si>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</si>
  <si>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</si>
  <si>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</si>
  <si>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</si>
  <si>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</si>
  <si>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</si>
  <si>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</si>
  <si>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</si>
  <si>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</si>
  <si>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</si>
  <si>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</si>
  <si>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</si>
  <si>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</si>
  <si>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</si>
  <si>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</si>
  <si>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</si>
  <si>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</si>
  <si>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</si>
  <si>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</si>
  <si>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</si>
  <si>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</si>
  <si>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</si>
  <si>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</si>
  <si>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</si>
  <si>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</si>
  <si>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</si>
  <si>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</si>
  <si>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</si>
  <si>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</si>
  <si>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</si>
  <si>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</si>
  <si>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</si>
  <si>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</si>
  <si>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</si>
  <si>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</si>
  <si>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</si>
  <si>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</si>
  <si>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</si>
  <si>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</si>
  <si>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</si>
  <si>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</si>
  <si>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</si>
  <si>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</si>
  <si>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</si>
  <si>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</si>
  <si>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</si>
  <si>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</si>
  <si>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</si>
  <si>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</si>
  <si>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</si>
  <si>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</si>
  <si>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</si>
  <si>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</si>
  <si>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</si>
  <si>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</si>
  <si>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</si>
  <si>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</si>
  <si>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</si>
  <si>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</si>
  <si>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</si>
  <si>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</si>
  <si>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</si>
  <si>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</si>
  <si>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</si>
  <si>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</si>
  <si>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</si>
  <si>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</si>
  <si>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</si>
  <si>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</si>
  <si>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</si>
  <si>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</si>
  <si>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</si>
  <si>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</si>
  <si>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</si>
  <si>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</si>
  <si>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</si>
  <si>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</si>
  <si>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</si>
  <si>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</si>
  <si>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</si>
  <si>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</si>
  <si>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</si>
  <si>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</si>
  <si>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</si>
  <si>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</si>
  <si>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</si>
  <si>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</si>
  <si>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</si>
  <si>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</si>
  <si>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</si>
  <si>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</si>
  <si>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</si>
  <si>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</si>
  <si>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</si>
  <si>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</si>
  <si>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</si>
  <si>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</si>
  <si>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</si>
  <si>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</si>
  <si>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</si>
  <si>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</si>
  <si>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</si>
  <si>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</si>
  <si>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</si>
  <si>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</si>
  <si>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</si>
  <si>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</si>
  <si>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</si>
  <si>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</si>
  <si>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</si>
  <si>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</si>
  <si>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</si>
  <si>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</si>
  <si>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</si>
  <si>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</si>
  <si>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</si>
  <si>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</si>
  <si>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</si>
  <si>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</si>
  <si>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</si>
  <si>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</si>
  <si>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</si>
  <si>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</si>
  <si>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</si>
  <si>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</si>
  <si>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</si>
  <si>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</si>
  <si>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</si>
  <si>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</si>
  <si>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</si>
  <si>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</si>
  <si>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</si>
  <si>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</si>
  <si>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</si>
  <si>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</si>
  <si>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</si>
  <si>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</si>
  <si>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</si>
  <si>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</si>
  <si>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</si>
  <si>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</si>
  <si>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</si>
  <si>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</si>
  <si>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</si>
  <si>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</si>
  <si>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</si>
  <si>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</si>
  <si>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</si>
  <si>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</si>
  <si>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</si>
  <si>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</si>
  <si>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</si>
  <si>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</si>
  <si>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</si>
  <si>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</si>
  <si>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</si>
  <si>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</si>
  <si>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</si>
  <si>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</si>
  <si>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</si>
  <si>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</si>
  <si>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</si>
  <si>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</si>
  <si>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</si>
  <si>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</si>
  <si>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</si>
  <si>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</si>
  <si>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</si>
  <si>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</si>
  <si>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</si>
  <si>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</si>
  <si>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</si>
  <si>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</si>
  <si>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</si>
  <si>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</si>
  <si>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</si>
  <si>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</si>
  <si>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</si>
  <si>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</si>
  <si>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</si>
  <si>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</si>
  <si>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</si>
  <si>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</si>
  <si>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</si>
  <si>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</si>
  <si>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</si>
  <si>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</si>
  <si>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</si>
  <si>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</si>
  <si>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</si>
  <si>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</si>
  <si>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</si>
  <si>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</si>
  <si>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</si>
  <si>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</si>
  <si>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</si>
  <si>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</si>
  <si>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</si>
  <si>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</si>
  <si>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</si>
  <si>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</si>
  <si>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</si>
  <si>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</si>
  <si>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</si>
  <si>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</si>
  <si>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</si>
  <si>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</si>
  <si>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</si>
  <si>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</si>
  <si>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</si>
  <si>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</si>
  <si>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</si>
  <si>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</si>
  <si>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</si>
  <si>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</si>
  <si>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</si>
  <si>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</si>
  <si>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</si>
  <si>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</si>
  <si>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</si>
  <si>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</si>
  <si>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</si>
  <si>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</si>
  <si>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</si>
  <si>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</si>
  <si>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</si>
  <si>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</si>
  <si>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</si>
  <si>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</si>
  <si>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</si>
  <si>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</si>
  <si>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</si>
  <si>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</si>
  <si>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</si>
  <si>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</si>
  <si>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</si>
  <si>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</si>
  <si>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</si>
  <si>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</si>
  <si>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</si>
  <si>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</si>
  <si>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</si>
  <si>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</si>
  <si>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</si>
  <si>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</si>
  <si>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</si>
  <si>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</si>
  <si>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</si>
  <si>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</si>
  <si>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</si>
  <si>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</si>
  <si>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</si>
  <si>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</si>
  <si>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</si>
  <si>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</si>
  <si>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</si>
  <si>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</si>
  <si>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</si>
  <si>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</si>
  <si>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</si>
  <si>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</si>
  <si>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</si>
  <si>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</si>
  <si>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</si>
  <si>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</si>
  <si>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</si>
  <si>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</si>
  <si>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</si>
  <si>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</si>
  <si>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</si>
  <si>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</si>
  <si>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</si>
  <si>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</si>
  <si>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</si>
  <si>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</si>
  <si>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</si>
  <si>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</si>
  <si>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</si>
  <si>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</si>
  <si>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</si>
  <si>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</si>
  <si>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</si>
  <si>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</si>
  <si>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</si>
  <si>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</si>
  <si>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</si>
  <si>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</si>
  <si>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</si>
  <si>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</si>
  <si>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</si>
  <si>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</si>
  <si>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</si>
  <si>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</si>
  <si>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</si>
  <si>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</si>
  <si>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</si>
  <si>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</si>
  <si>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</si>
  <si>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</si>
  <si>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</si>
  <si>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</si>
  <si>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</si>
  <si>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</si>
  <si>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</si>
  <si>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</si>
  <si>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</si>
  <si>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</si>
  <si>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</si>
  <si>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</si>
  <si>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</si>
  <si>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</si>
  <si>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</si>
  <si>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</si>
  <si>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</si>
  <si>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</si>
  <si>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</si>
  <si>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</si>
  <si>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</si>
  <si>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</si>
  <si>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</si>
  <si>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</si>
  <si>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</si>
  <si>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</si>
  <si>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</si>
  <si>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</si>
  <si>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</si>
  <si>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</si>
  <si>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</si>
  <si>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</si>
  <si>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</si>
  <si>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</si>
  <si>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</si>
  <si>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</si>
  <si>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</si>
  <si>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</si>
  <si>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</si>
  <si>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</si>
  <si>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</si>
  <si>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</si>
  <si>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</si>
  <si>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</si>
  <si>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</si>
  <si>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</si>
  <si>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</si>
  <si>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</si>
  <si>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</si>
  <si>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</si>
  <si>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</si>
  <si>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</si>
  <si>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</si>
  <si>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</si>
  <si>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</si>
  <si>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</si>
  <si>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</si>
  <si>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</si>
  <si>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</si>
  <si>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</si>
  <si>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</si>
  <si>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</si>
  <si>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</si>
  <si>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</si>
  <si>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</si>
  <si>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</si>
  <si>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</si>
  <si>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</si>
  <si>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</si>
  <si>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</si>
  <si>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</si>
  <si>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</si>
  <si>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</si>
  <si>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</si>
  <si>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</si>
  <si>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</si>
  <si>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</si>
  <si>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</si>
  <si>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</si>
  <si>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</si>
  <si>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</si>
  <si>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</si>
  <si>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</si>
  <si>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</si>
  <si>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</si>
  <si>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</si>
  <si>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</si>
  <si>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</si>
  <si>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</si>
  <si>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</si>
  <si>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</si>
  <si>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</si>
  <si>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</si>
  <si>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</si>
  <si>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</si>
  <si>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</si>
  <si>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</si>
  <si>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</si>
  <si>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</si>
  <si>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</si>
  <si>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</si>
  <si>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</si>
  <si>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</si>
  <si>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</si>
  <si>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</si>
  <si>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</si>
  <si>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</si>
  <si>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</si>
  <si>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</si>
  <si>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</si>
  <si>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</si>
  <si>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</si>
  <si>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</si>
  <si>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</si>
  <si>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</si>
  <si>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</si>
  <si>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</si>
  <si>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</si>
  <si>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</si>
  <si>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</si>
  <si>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</si>
  <si>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</si>
  <si>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</si>
  <si>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</si>
  <si>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</si>
  <si>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</si>
  <si>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</si>
  <si>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</si>
  <si>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</si>
  <si>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</si>
  <si>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</si>
  <si>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</si>
  <si>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</si>
  <si>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</si>
  <si>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</si>
  <si>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</si>
  <si>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</si>
  <si>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</si>
  <si>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</si>
  <si>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</si>
  <si>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</si>
  <si>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</si>
  <si>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</si>
  <si>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</si>
  <si>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</si>
  <si>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</si>
  <si>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</si>
  <si>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</si>
  <si>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</si>
  <si>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</si>
  <si>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</si>
  <si>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</si>
  <si>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</si>
  <si>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</si>
  <si>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</si>
  <si>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</si>
  <si>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</si>
  <si>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</si>
  <si>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</si>
  <si>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</si>
  <si>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</si>
  <si>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</si>
  <si>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</si>
  <si>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</si>
  <si>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</si>
  <si>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</si>
  <si>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</si>
  <si>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</si>
  <si>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</si>
  <si>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</si>
  <si>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</si>
  <si>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</si>
  <si>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</si>
  <si>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</si>
  <si>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</si>
  <si>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</si>
  <si>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</si>
  <si>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</si>
  <si>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</si>
  <si>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</si>
  <si>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</si>
  <si>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</si>
  <si>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</si>
  <si>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</si>
  <si>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</si>
  <si>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</si>
  <si>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</si>
  <si>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</si>
  <si>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</si>
  <si>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</si>
  <si>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</si>
  <si>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</si>
  <si>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</si>
  <si>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</si>
  <si>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</si>
  <si>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</si>
  <si>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</si>
  <si>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</si>
  <si>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</si>
  <si>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</si>
  <si>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</si>
  <si>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</si>
  <si>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</si>
  <si>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</si>
  <si>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</si>
  <si>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</si>
  <si>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</si>
  <si>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</si>
  <si>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</si>
  <si>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</si>
  <si>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</si>
  <si>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</si>
  <si>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</si>
  <si>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</si>
  <si>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</si>
  <si>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</si>
  <si>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</si>
  <si>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</si>
  <si>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</si>
  <si>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</si>
  <si>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</si>
  <si>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</si>
  <si>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</si>
  <si>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</si>
  <si>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</si>
  <si>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</si>
  <si>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</si>
  <si>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</si>
  <si>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</si>
  <si>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</si>
  <si>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</si>
  <si>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</si>
  <si>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</si>
  <si>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</si>
  <si>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</si>
  <si>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</si>
  <si>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</si>
  <si>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</si>
  <si>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</si>
  <si>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</si>
  <si>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</si>
  <si>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</si>
  <si>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</si>
  <si>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</si>
  <si>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</si>
  <si>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</si>
  <si>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</si>
  <si>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</si>
  <si>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</si>
  <si>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</si>
  <si>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</si>
  <si>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</si>
  <si>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</si>
  <si>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</si>
  <si>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</si>
  <si>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</si>
  <si>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</si>
  <si>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</si>
  <si>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</si>
  <si>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</si>
  <si>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</si>
  <si>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</si>
  <si>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</si>
  <si>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</si>
  <si>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</si>
  <si>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</si>
  <si>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</si>
  <si>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</si>
  <si>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</si>
  <si>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</si>
  <si>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</si>
  <si>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</si>
  <si>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</si>
  <si>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</si>
  <si>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</si>
  <si>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</si>
  <si>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</si>
  <si>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</si>
  <si>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</si>
  <si>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</si>
  <si>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</si>
  <si>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</si>
  <si>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</si>
  <si>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</si>
  <si>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</si>
  <si>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</si>
  <si>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</si>
  <si>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</si>
  <si>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</si>
  <si>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</si>
  <si>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</si>
  <si>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</si>
  <si>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</si>
  <si>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</si>
  <si>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</si>
  <si>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</si>
  <si>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</si>
  <si>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</si>
  <si>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</si>
  <si>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</si>
  <si>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</si>
  <si>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</si>
  <si>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</si>
  <si>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</si>
  <si>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</si>
  <si>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</si>
  <si>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</si>
  <si>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</si>
  <si>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</si>
  <si>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</si>
  <si>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</si>
  <si>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</si>
  <si>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</si>
  <si>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</si>
  <si>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</si>
  <si>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</si>
  <si>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</si>
  <si>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</si>
  <si>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</si>
  <si>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</si>
  <si>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</si>
  <si>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</si>
  <si>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</si>
  <si>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</si>
  <si>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</si>
  <si>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</si>
  <si>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</si>
  <si>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</si>
  <si>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</si>
  <si>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</si>
  <si>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</si>
  <si>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</si>
  <si>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</si>
  <si>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</si>
  <si>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</si>
  <si>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</si>
  <si>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</si>
  <si>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</si>
  <si>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</si>
  <si>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</si>
  <si>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</si>
  <si>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</si>
  <si>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</si>
  <si>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</si>
  <si>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</si>
  <si>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</si>
  <si>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</si>
  <si>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</si>
  <si>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</si>
  <si>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</si>
  <si>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</si>
  <si>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</si>
  <si>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</si>
  <si>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</si>
  <si>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</si>
  <si>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</si>
  <si>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</si>
  <si>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</si>
  <si>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</si>
  <si>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</si>
  <si>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</si>
  <si>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</si>
  <si>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</si>
  <si>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</si>
  <si>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</si>
  <si>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</si>
  <si>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</si>
  <si>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</si>
  <si>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</si>
  <si>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</si>
  <si>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</si>
  <si>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</si>
  <si>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</si>
  <si>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</si>
  <si>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</si>
  <si>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</si>
  <si>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</si>
  <si>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</si>
  <si>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</si>
  <si>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</si>
  <si>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</si>
  <si>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</si>
  <si>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</si>
  <si>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</si>
  <si>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</si>
  <si>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</si>
  <si>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</si>
  <si>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</si>
  <si>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</si>
  <si>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</si>
  <si>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</si>
  <si>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</si>
  <si>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</si>
  <si>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</si>
  <si>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</si>
  <si>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</si>
  <si>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</si>
  <si>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</si>
  <si>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</si>
  <si>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</si>
  <si>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</si>
  <si>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</si>
  <si>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</si>
  <si>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</si>
  <si>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</si>
  <si>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</si>
  <si>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</si>
  <si>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</si>
  <si>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</si>
  <si>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</si>
  <si>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</si>
  <si>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</si>
  <si>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</si>
  <si>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</si>
  <si>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</si>
  <si>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</si>
  <si>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</si>
  <si>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</si>
  <si>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</si>
  <si>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</si>
  <si>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</si>
  <si>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</si>
  <si>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</si>
  <si>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</si>
  <si>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</si>
  <si>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</si>
  <si>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</si>
  <si>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</si>
  <si>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</si>
  <si>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</si>
  <si>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</si>
  <si>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</si>
  <si>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</si>
  <si>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</si>
  <si>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</si>
  <si>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</si>
  <si>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</si>
  <si>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</si>
  <si>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</si>
  <si>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</si>
  <si>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</si>
  <si>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</si>
  <si>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</si>
  <si>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</si>
  <si>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</si>
  <si>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</si>
  <si>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</si>
  <si>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</si>
  <si>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</si>
  <si>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</si>
  <si>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</si>
  <si>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</si>
  <si>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</si>
  <si>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</si>
  <si>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</si>
  <si>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</si>
  <si>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</si>
  <si>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</si>
  <si>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</si>
  <si>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</si>
  <si>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</si>
  <si>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</si>
  <si>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</si>
  <si>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</si>
  <si>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</si>
  <si>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</si>
  <si>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</si>
  <si>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</si>
  <si>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</si>
  <si>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</si>
  <si>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</si>
  <si>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</si>
  <si>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</si>
  <si>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</si>
  <si>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</si>
  <si>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</si>
  <si>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</si>
  <si>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</si>
  <si>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</si>
  <si>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</si>
  <si>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</si>
  <si>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</si>
  <si>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</si>
  <si>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</si>
  <si>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</si>
  <si>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</si>
  <si>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</si>
  <si>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</si>
  <si>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</si>
  <si>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</si>
  <si>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</si>
  <si>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</si>
  <si>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</si>
  <si>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</si>
  <si>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</si>
  <si>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</si>
  <si>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</si>
  <si>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</si>
  <si>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</si>
  <si>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</si>
  <si>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</si>
  <si>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</si>
  <si>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</si>
  <si>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</si>
  <si>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</si>
  <si>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</si>
  <si>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</si>
  <si>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</si>
  <si>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</si>
  <si>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</si>
  <si>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</si>
  <si>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</si>
  <si>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</si>
  <si>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</si>
  <si>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</si>
  <si>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</si>
  <si>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</si>
  <si>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</si>
  <si>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</si>
  <si>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</si>
  <si>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</si>
  <si>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</si>
  <si>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</si>
  <si>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</si>
  <si>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</si>
  <si>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</si>
  <si>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</si>
  <si>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</si>
  <si>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</si>
  <si>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</si>
  <si>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</si>
  <si>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</si>
  <si>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</si>
  <si>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</si>
  <si>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</si>
  <si>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</si>
  <si>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</si>
  <si>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</si>
  <si>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</si>
  <si>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</si>
  <si>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</si>
  <si>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</si>
  <si>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</si>
  <si>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</si>
  <si>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</si>
  <si>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</si>
  <si>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</si>
  <si>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</si>
  <si>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</si>
  <si>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</si>
  <si>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</si>
  <si>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</si>
  <si>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</si>
  <si>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</si>
  <si>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</si>
  <si>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</si>
  <si>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</si>
  <si>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</si>
  <si>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</si>
  <si>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</si>
  <si>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</si>
  <si>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</si>
  <si>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</si>
  <si>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</si>
  <si>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</si>
  <si>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</si>
  <si>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</si>
  <si>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</si>
  <si>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</si>
  <si>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</si>
  <si>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</si>
  <si>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</si>
  <si>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</si>
  <si>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</si>
  <si>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</si>
  <si>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</si>
  <si>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</si>
  <si>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</si>
  <si>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</si>
  <si>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</si>
  <si>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</si>
  <si>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</si>
  <si>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</si>
  <si>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</si>
  <si>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</si>
  <si>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</si>
  <si>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</si>
  <si>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</si>
  <si>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</si>
  <si>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</si>
  <si>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</si>
  <si>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</si>
  <si>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</si>
  <si>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</si>
  <si>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</si>
  <si>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</si>
  <si>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</si>
  <si>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</si>
  <si>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</si>
  <si>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</si>
  <si>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</si>
  <si>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</si>
  <si>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</si>
  <si>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</si>
  <si>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</si>
  <si>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</si>
  <si>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</si>
  <si>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</si>
  <si>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</si>
  <si>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</si>
  <si>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</si>
  <si>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</si>
  <si>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</si>
  <si>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</si>
  <si>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</si>
  <si>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</si>
  <si>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</si>
  <si>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</si>
  <si>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</si>
  <si>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</si>
  <si>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</si>
  <si>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</si>
  <si>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</si>
  <si>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</si>
  <si>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</si>
  <si>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</si>
  <si>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</si>
  <si>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</si>
  <si>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</si>
  <si>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</si>
  <si>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</si>
  <si>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</si>
  <si>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</si>
  <si>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</si>
  <si>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</si>
  <si>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</si>
  <si>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</si>
  <si>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</si>
  <si>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</si>
  <si>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</si>
  <si>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</si>
  <si>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</si>
  <si>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</si>
  <si>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</si>
  <si>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</si>
  <si>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</si>
  <si>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</si>
  <si>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</si>
  <si>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</si>
  <si>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</si>
  <si>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</si>
  <si>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</si>
  <si>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</si>
  <si>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</si>
  <si>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</si>
  <si>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</si>
  <si>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</si>
  <si>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</si>
  <si>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</si>
  <si>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</si>
  <si>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</si>
  <si>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</si>
  <si>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</si>
  <si>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</si>
  <si>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</si>
  <si>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</si>
  <si>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</si>
  <si>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</si>
  <si>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</si>
  <si>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</si>
  <si>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</si>
  <si>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</si>
  <si>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</si>
  <si>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</si>
  <si>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</si>
  <si>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</si>
  <si>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</si>
  <si>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</si>
  <si>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</si>
  <si>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</si>
  <si>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</si>
  <si>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</si>
  <si>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</si>
  <si>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</si>
  <si>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</si>
  <si>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</si>
  <si>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</si>
  <si>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</si>
  <si>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</si>
  <si>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</si>
  <si>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</si>
  <si>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</si>
  <si>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</si>
  <si>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</si>
  <si>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</si>
  <si>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</si>
  <si>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</si>
  <si>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</si>
  <si>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</si>
  <si>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</si>
  <si>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</si>
  <si>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</si>
  <si>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</si>
  <si>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</si>
  <si>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</si>
  <si>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</si>
  <si>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</si>
  <si>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</si>
  <si>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</si>
  <si>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</si>
  <si>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</si>
  <si>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</si>
  <si>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</si>
  <si>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</si>
  <si>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</si>
  <si>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</si>
  <si>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</si>
  <si>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</si>
  <si>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</si>
  <si>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</si>
  <si>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</si>
  <si>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</si>
  <si>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</si>
  <si>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</si>
  <si>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</si>
  <si>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</si>
  <si>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</si>
  <si>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</si>
  <si>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</si>
  <si>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</si>
  <si>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</si>
  <si>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</si>
  <si>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</si>
  <si>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</si>
  <si>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</si>
  <si>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</si>
  <si>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</si>
  <si>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</si>
  <si>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</si>
  <si>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</si>
  <si>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</si>
  <si>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</si>
  <si>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</si>
  <si>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</si>
  <si>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</si>
  <si>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</si>
  <si>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</si>
  <si>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</si>
  <si>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</si>
  <si>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</si>
  <si>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</si>
  <si>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</si>
  <si>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</si>
  <si>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</si>
  <si>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</si>
  <si>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</si>
  <si>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</si>
  <si>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</si>
  <si>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</si>
  <si>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</si>
  <si>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</si>
  <si>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</si>
  <si>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</si>
  <si>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</si>
  <si>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</si>
  <si>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</si>
  <si>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</si>
  <si>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</si>
  <si>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</si>
  <si>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</si>
  <si>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</si>
  <si>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</si>
  <si>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</si>
  <si>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</si>
  <si>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</si>
  <si>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</si>
  <si>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</si>
  <si>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</si>
  <si>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</si>
  <si>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</si>
  <si>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</si>
  <si>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</si>
  <si>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</si>
  <si>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</si>
  <si>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</si>
  <si>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</si>
  <si>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</si>
  <si>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</si>
  <si>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</si>
  <si>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</si>
  <si>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</si>
  <si>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</si>
  <si>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</si>
  <si>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</si>
  <si>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</si>
  <si>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</si>
  <si>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</si>
  <si>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</si>
  <si>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</si>
  <si>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</si>
  <si>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</si>
  <si>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</si>
  <si>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</si>
  <si>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</si>
  <si>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</si>
  <si>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</si>
  <si>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</si>
  <si>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</si>
  <si>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</si>
  <si>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</si>
  <si>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</si>
  <si>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</si>
  <si>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</si>
  <si>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</si>
  <si>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</si>
  <si>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</si>
  <si>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</si>
  <si>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</si>
  <si>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</si>
  <si>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</si>
  <si>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</si>
  <si>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</si>
  <si>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</si>
  <si>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</si>
  <si>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</si>
  <si>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</si>
  <si>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</si>
  <si>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</si>
  <si>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</si>
  <si>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</si>
  <si>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</si>
  <si>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</si>
  <si>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</si>
  <si>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</si>
  <si>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</si>
  <si>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</si>
  <si>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</si>
  <si>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</si>
  <si>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</si>
  <si>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</si>
  <si>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</si>
  <si>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</si>
  <si>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</si>
  <si>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</si>
  <si>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</si>
  <si>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</si>
  <si>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</si>
  <si>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</si>
  <si>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</si>
  <si>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</si>
  <si>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</si>
  <si>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</si>
  <si>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</si>
  <si>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</si>
  <si>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</si>
  <si>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</si>
  <si>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</si>
  <si>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</si>
  <si>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</si>
  <si>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</si>
  <si>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</si>
  <si>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</si>
  <si>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</si>
  <si>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</si>
  <si>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</si>
  <si>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</si>
  <si>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</si>
  <si>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</si>
  <si>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</si>
  <si>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</si>
  <si>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</si>
  <si>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</si>
  <si>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</si>
  <si>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</si>
  <si>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</si>
  <si>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</si>
  <si>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</si>
  <si>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</si>
  <si>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</si>
  <si>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</si>
  <si>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</si>
  <si>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</si>
  <si>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</si>
  <si>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</si>
  <si>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</si>
  <si>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</si>
  <si>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</si>
  <si>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</si>
  <si>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</si>
  <si>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</si>
  <si>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</si>
  <si>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</si>
  <si>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</si>
  <si>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</si>
  <si>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</si>
  <si>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</si>
  <si>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</si>
  <si>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</si>
  <si>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</si>
  <si>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</si>
  <si>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</si>
  <si>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</si>
  <si>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</si>
  <si>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</si>
  <si>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</si>
  <si>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</si>
  <si>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</si>
  <si>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</si>
  <si>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</si>
  <si>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</si>
  <si>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</si>
  <si>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</si>
  <si>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</si>
  <si>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</si>
  <si>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</si>
  <si>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</si>
  <si>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</si>
  <si>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</si>
  <si>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</si>
  <si>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</si>
  <si>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</si>
  <si>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</si>
  <si>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</si>
  <si>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</si>
  <si>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</si>
  <si>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</si>
  <si>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</si>
  <si>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</si>
  <si>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</si>
  <si>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</si>
  <si>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</si>
  <si>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</si>
  <si>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</si>
  <si>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</si>
  <si>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</si>
  <si>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</si>
  <si>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</si>
  <si>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</si>
  <si>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</si>
  <si>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</si>
  <si>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</si>
  <si>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</si>
  <si>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</si>
  <si>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</si>
  <si>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</si>
  <si>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</si>
  <si>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</si>
  <si>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</si>
  <si>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</si>
  <si>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</si>
  <si>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</si>
  <si>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</si>
  <si>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</si>
  <si>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</si>
  <si>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</si>
  <si>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</si>
  <si>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</si>
  <si>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</si>
  <si>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</si>
  <si>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</si>
  <si>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</si>
  <si>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</si>
  <si>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</si>
  <si>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</si>
  <si>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</si>
  <si>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</si>
  <si>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</si>
  <si>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</si>
  <si>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</si>
  <si>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</si>
  <si>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</si>
  <si>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</si>
  <si>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</si>
  <si>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</si>
  <si>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</si>
  <si>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</si>
  <si>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</si>
  <si>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</si>
  <si>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</si>
  <si>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</si>
  <si>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</si>
  <si>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</si>
  <si>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</si>
  <si>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</si>
  <si>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</si>
  <si>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</si>
  <si>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</si>
  <si>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</si>
  <si>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</si>
  <si>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</si>
  <si>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</si>
  <si>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</si>
  <si>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</si>
  <si>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</si>
  <si>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</si>
  <si>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</si>
  <si>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</si>
  <si>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</si>
  <si>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</si>
  <si>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</si>
  <si>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</si>
  <si>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</si>
  <si>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</si>
  <si>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</si>
  <si>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</si>
  <si>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</si>
  <si>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</si>
  <si>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</si>
  <si>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</si>
  <si>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</si>
  <si>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</si>
  <si>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</si>
  <si>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</si>
  <si>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</si>
  <si>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</si>
  <si>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</si>
  <si>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</si>
  <si>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</si>
  <si>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</si>
  <si>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</si>
  <si>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</si>
  <si>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</si>
  <si>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</si>
  <si>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</si>
  <si>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</si>
  <si>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</si>
  <si>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</si>
  <si>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</si>
  <si>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</si>
  <si>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</si>
  <si>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</si>
  <si>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</si>
  <si>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</si>
  <si>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</si>
  <si>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</si>
  <si>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</si>
  <si>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</si>
  <si>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</si>
  <si>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</si>
  <si>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</si>
  <si>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</si>
  <si>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</si>
  <si>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</si>
  <si>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</si>
  <si>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</si>
  <si>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</si>
  <si>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</si>
  <si>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</si>
  <si>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</si>
  <si>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</si>
  <si>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</si>
  <si>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</si>
  <si>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</si>
  <si>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</si>
  <si>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</si>
  <si>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</si>
  <si>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</si>
  <si>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</si>
  <si>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</si>
  <si>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</si>
  <si>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</si>
  <si>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</si>
  <si>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</si>
  <si>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</si>
  <si>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</si>
  <si>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</si>
  <si>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</si>
  <si>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</si>
  <si>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</si>
  <si>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</si>
  <si>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</si>
  <si>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</si>
  <si>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</si>
  <si>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</si>
  <si>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</si>
  <si>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</si>
  <si>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</si>
  <si>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</si>
  <si>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</si>
  <si>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</si>
  <si>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</si>
  <si>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</si>
  <si>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</si>
  <si>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</si>
  <si>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</si>
  <si>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</si>
  <si>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</si>
  <si>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</si>
  <si>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</si>
  <si>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</si>
  <si>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</si>
  <si>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</si>
  <si>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</si>
  <si>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</si>
  <si>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</si>
  <si>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</si>
  <si>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</si>
  <si>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</si>
  <si>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</si>
  <si>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</si>
  <si>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</si>
  <si>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</si>
  <si>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</si>
  <si>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</si>
  <si>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</si>
  <si>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</si>
  <si>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</si>
  <si>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</si>
  <si>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</si>
  <si>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</si>
  <si>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</si>
  <si>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</si>
  <si>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</si>
  <si>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</si>
  <si>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</si>
  <si>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</si>
  <si>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</si>
  <si>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</si>
  <si>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</si>
  <si>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</si>
  <si>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</si>
  <si>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</si>
  <si>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</si>
  <si>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</si>
  <si>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</si>
  <si>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</si>
  <si>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</si>
  <si>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</si>
  <si>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</si>
  <si>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</si>
  <si>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</si>
  <si>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北京市</t>
  </si>
  <si>
    <t>企业</t>
  </si>
  <si>
    <t>出让</t>
  </si>
  <si>
    <t>房地产抵押价值</t>
  </si>
  <si>
    <t>抵押</t>
  </si>
  <si>
    <r>
      <t>11</t>
    </r>
    <r>
      <rPr>
        <sz val="10"/>
        <color indexed="8"/>
        <rFont val="宋体"/>
        <family val="3"/>
        <charset val="134"/>
      </rPr>
      <t>号</t>
    </r>
    <r>
      <rPr>
        <sz val="10"/>
        <color indexed="8"/>
        <rFont val="Arial"/>
        <family val="2"/>
      </rPr>
      <t>2</t>
    </r>
    <r>
      <rPr>
        <sz val="10"/>
        <color indexed="8"/>
        <rFont val="宋体"/>
        <family val="3"/>
        <charset val="134"/>
      </rPr>
      <t>号楼</t>
    </r>
    <phoneticPr fontId="3" type="noConversion"/>
  </si>
  <si>
    <t>是</t>
  </si>
  <si>
    <t>地上</t>
  </si>
  <si>
    <t>地下</t>
  </si>
  <si>
    <t>车库</t>
  </si>
  <si>
    <t>办公</t>
    <phoneticPr fontId="7" type="noConversion"/>
  </si>
  <si>
    <t>车位</t>
  </si>
  <si>
    <t>车位</t>
    <phoneticPr fontId="7" type="noConversion"/>
  </si>
  <si>
    <t>成新度</t>
  </si>
  <si>
    <t>比较法-办公</t>
  </si>
  <si>
    <t>收益法 (元)</t>
  </si>
  <si>
    <t>押一</t>
  </si>
  <si>
    <t>按租金收入计税</t>
  </si>
  <si>
    <t>钢混</t>
  </si>
  <si>
    <t>非生产用房</t>
  </si>
  <si>
    <t>售价</t>
  </si>
  <si>
    <t>正常</t>
  </si>
  <si>
    <t>收益法 (元) (车位)</t>
  </si>
  <si>
    <t>收益法 (元) (车位)</t>
    <phoneticPr fontId="16" type="noConversion"/>
  </si>
  <si>
    <t>比较法-车位</t>
  </si>
  <si>
    <t>现房</t>
  </si>
  <si>
    <t>万柳亿城中心C座</t>
    <phoneticPr fontId="3" type="noConversion"/>
  </si>
  <si>
    <t>甲级</t>
    <phoneticPr fontId="32" type="noConversion"/>
  </si>
  <si>
    <t>乙级</t>
    <phoneticPr fontId="32" type="noConversion"/>
  </si>
  <si>
    <t>专业</t>
  </si>
  <si>
    <t>专业</t>
    <phoneticPr fontId="32" type="noConversion"/>
  </si>
  <si>
    <t>七通</t>
  </si>
  <si>
    <t>七通</t>
    <phoneticPr fontId="32" type="noConversion"/>
  </si>
  <si>
    <t>六通</t>
    <phoneticPr fontId="32" type="noConversion"/>
  </si>
  <si>
    <t>标准</t>
    <phoneticPr fontId="32" type="noConversion"/>
  </si>
  <si>
    <t>0-100</t>
    <phoneticPr fontId="32" type="noConversion"/>
  </si>
  <si>
    <t>100-300</t>
    <phoneticPr fontId="32" type="noConversion"/>
  </si>
  <si>
    <t>300-500</t>
    <phoneticPr fontId="32" type="noConversion"/>
  </si>
  <si>
    <t>500-1000</t>
    <phoneticPr fontId="32" type="noConversion"/>
  </si>
  <si>
    <t>精装</t>
  </si>
  <si>
    <t>精装</t>
    <phoneticPr fontId="32" type="noConversion"/>
  </si>
  <si>
    <t>普通</t>
  </si>
  <si>
    <t>普通</t>
    <phoneticPr fontId="32" type="noConversion"/>
  </si>
  <si>
    <t>毛坯</t>
    <phoneticPr fontId="32" type="noConversion"/>
  </si>
  <si>
    <t>高层</t>
  </si>
  <si>
    <t>高层</t>
    <phoneticPr fontId="32" type="noConversion"/>
  </si>
  <si>
    <t>高区</t>
    <phoneticPr fontId="32" type="noConversion"/>
  </si>
  <si>
    <t>中区</t>
  </si>
  <si>
    <t>中区</t>
    <phoneticPr fontId="32" type="noConversion"/>
  </si>
  <si>
    <t>低区</t>
  </si>
  <si>
    <t>低区</t>
    <phoneticPr fontId="32" type="noConversion"/>
  </si>
  <si>
    <t>较好</t>
  </si>
  <si>
    <t>钢混</t>
    <phoneticPr fontId="32" type="noConversion"/>
  </si>
  <si>
    <t>精装</t>
    <phoneticPr fontId="32" type="noConversion"/>
  </si>
  <si>
    <t>无</t>
    <phoneticPr fontId="32" type="noConversion"/>
  </si>
  <si>
    <t>有</t>
    <phoneticPr fontId="32" type="noConversion"/>
  </si>
  <si>
    <t>元/车位</t>
  </si>
  <si>
    <t>车位</t>
    <phoneticPr fontId="143" type="noConversion"/>
  </si>
  <si>
    <t>住宅</t>
    <phoneticPr fontId="32" type="noConversion"/>
  </si>
  <si>
    <t>办公</t>
    <phoneticPr fontId="32" type="noConversion"/>
  </si>
  <si>
    <t>自定义</t>
  </si>
  <si>
    <t>住宅</t>
  </si>
  <si>
    <t>住宅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</si>
</sst>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181" fontId="55" fillId="9"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93782</xdr:colOff>
      <xdr:row>34</xdr:row>
      <xdr:rowOff>94510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52382" cy="5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437067</xdr:colOff>
      <xdr:row>45</xdr:row>
      <xdr:rowOff>122846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666667" cy="7838096"/>
        </a:xfrm>
        <a:prstGeom prst="rect">
          <a:avLst/>
        </a:prstGeom>
      </xdr:spPr>
    </xdr:pic>
    <xdr:clientData/>
  </xdr:twoCellAnchor>
  <xdr:twoCellAnchor editAs="oneCell">
    <xdr:from>
      <xdr:col>0</xdr:col>
      <xdr:colOff>0</xdr:colOff>
      <xdr:row>48</xdr:row>
      <xdr:rowOff>0</xdr:rowOff>
    </xdr:from>
    <xdr:to>
      <xdr:col>15</xdr:col>
      <xdr:colOff>320860</xdr:colOff>
      <xdr:row>67</xdr:row>
      <xdr:rowOff>160335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8778240"/>
          <a:ext cx="9464860" cy="36350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估价对象为北京市房地产，为所有。根据《国有土地使用证》[]，估价对象（分摊）出让国有建设用地使用权面积为0平方米，建筑面积为1724.67平方米。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估价对象为北京市房地产,属开发建设的，该项目尚在开发建设中。根据《国有土地使用证》[]，估价对象（分摊）出让国有建设用地使用权面积为0平方米，规划建筑面积为1724.67平方米。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2020年7月8日（评估专业人员实地查勘之日）</v>
      </c>
    </row>
    <row r="13" spans="1:2" s="1592" customFormat="1">
      <c r="A13" s="1590" t="s">
        <v>1222</v>
      </c>
      <c r="B13" s="1591" t="str">
        <f>'预评函-1'!A18</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5123</v>
      </c>
    </row>
    <row r="21" spans="1:2" s="1592" customFormat="1">
      <c r="A21" s="1590" t="s">
        <v>1230</v>
      </c>
      <c r="B21" s="1591">
        <f ca="1">'预评函-2'!D7</f>
        <v>29704</v>
      </c>
    </row>
    <row r="22" spans="1:2" s="1592" customFormat="1">
      <c r="A22" s="1590" t="s">
        <v>1231</v>
      </c>
      <c r="B22" s="1591" t="str">
        <f ca="1">'预评函-2'!D6</f>
        <v>伍仟壹佰贰拾叁万元整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5123</v>
      </c>
    </row>
    <row r="31" spans="1:2" s="1592" customFormat="1">
      <c r="A31" s="1590" t="s">
        <v>1269</v>
      </c>
      <c r="B31" s="1591">
        <f ca="1">'预评函-2'!D15</f>
        <v>29704</v>
      </c>
    </row>
    <row r="32" spans="1:2" s="1592" customFormat="1">
      <c r="A32" s="1590" t="s">
        <v>1236</v>
      </c>
      <c r="B32" s="1591" t="str">
        <f ca="1">'预评函-2'!D14</f>
        <v>伍仟壹佰贰拾叁万元整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1724.67</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3081</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7"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12" t="s">
        <v>860</v>
      </c>
      <c r="C54" s="2009" t="s">
        <v>1276</v>
      </c>
    </row>
    <row r="55" spans="1:4">
      <c r="A55" s="3037"/>
      <c r="B55" s="2012" t="s">
        <v>861</v>
      </c>
      <c r="C55" s="2009" t="s">
        <v>1277</v>
      </c>
    </row>
    <row r="56" spans="1:4">
      <c r="A56" s="3037"/>
      <c r="B56" s="2012" t="s">
        <v>862</v>
      </c>
      <c r="C56" s="2009" t="s">
        <v>1281</v>
      </c>
    </row>
    <row r="57" spans="1:4">
      <c r="A57" s="3037"/>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38" t="str">
        <f>IF(B10="北京市","北京市",C10)&amp;F10&amp;IF(结果表!G1="在建","出让国有建设用地使用权及在建建筑物",IF(结果表!G1="土地","出让国有建设用地使用权",))&amp;B9&amp;"预评估"</f>
        <v>北京市房地产抵押价值预评估</v>
      </c>
      <c r="C1" s="3039"/>
      <c r="D1" s="3039"/>
      <c r="E1" s="3039"/>
      <c r="F1" s="3039"/>
      <c r="G1" s="3039"/>
      <c r="H1" s="3039"/>
      <c r="I1" s="3040"/>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026">
        <v>44020</v>
      </c>
      <c r="C3" s="2027" t="s">
        <v>1773</v>
      </c>
      <c r="D3" s="2026">
        <v>44020</v>
      </c>
      <c r="E3" s="2016"/>
      <c r="F3" s="2016"/>
      <c r="G3" s="2016"/>
      <c r="H3" s="2016"/>
      <c r="I3" s="2016"/>
      <c r="J3" s="2016"/>
      <c r="K3" s="2017"/>
      <c r="L3" s="2018"/>
      <c r="M3" s="2018"/>
      <c r="N3" s="2019"/>
      <c r="O3" s="2020"/>
      <c r="P3" s="2019"/>
      <c r="Q3" s="2019"/>
      <c r="R3" s="2019"/>
      <c r="S3" s="2021"/>
    </row>
    <row r="4" spans="1:19" ht="18" customHeight="1" thickBot="1">
      <c r="A4" s="2028" t="s">
        <v>1774</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3062</v>
      </c>
      <c r="C8" s="2046"/>
      <c r="D8" s="3041" t="s">
        <v>1779</v>
      </c>
      <c r="E8" s="2047" t="s">
        <v>3061</v>
      </c>
      <c r="F8" s="2048"/>
      <c r="G8" s="2016"/>
      <c r="H8" s="2016"/>
      <c r="I8" s="2016"/>
      <c r="J8" s="2032"/>
      <c r="K8" s="2033"/>
      <c r="L8" s="2018"/>
      <c r="M8" s="2018"/>
      <c r="N8" s="2019"/>
      <c r="O8" s="2020"/>
      <c r="P8" s="2019"/>
      <c r="Q8" s="2019"/>
      <c r="R8" s="2019"/>
    </row>
    <row r="9" spans="1:19" ht="18" customHeight="1" thickBot="1">
      <c r="A9" s="2030" t="s">
        <v>1780</v>
      </c>
      <c r="B9" s="2049" t="s">
        <v>3061</v>
      </c>
      <c r="C9" s="2050"/>
      <c r="D9" s="3042"/>
      <c r="E9" s="2049"/>
      <c r="F9" s="2051"/>
      <c r="G9" s="2052"/>
      <c r="H9" s="2052"/>
      <c r="I9" s="2052"/>
      <c r="J9" s="2032"/>
      <c r="K9" s="2044"/>
      <c r="L9" s="2018"/>
      <c r="M9" s="2018"/>
      <c r="N9" s="2019"/>
      <c r="O9" s="2020"/>
      <c r="P9" s="2019"/>
      <c r="Q9" s="2019"/>
      <c r="R9" s="2019"/>
    </row>
    <row r="10" spans="1:19" ht="18" customHeight="1" thickTop="1">
      <c r="A10" s="2053" t="s">
        <v>1781</v>
      </c>
      <c r="B10" s="2054" t="s">
        <v>3058</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3059</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3060</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55924</v>
      </c>
      <c r="G13" s="2070">
        <v>55924</v>
      </c>
      <c r="H13" s="2070"/>
      <c r="I13" s="1047"/>
      <c r="J13" s="2032"/>
      <c r="K13" s="2044"/>
      <c r="L13" s="2018"/>
      <c r="M13" s="2018"/>
      <c r="N13" s="2019"/>
      <c r="O13" s="2020"/>
      <c r="P13" s="2019"/>
      <c r="Q13" s="2019"/>
      <c r="R13" s="2019"/>
    </row>
    <row r="14" spans="1:19" ht="18" customHeight="1">
      <c r="A14" s="2067"/>
      <c r="B14" s="2068"/>
      <c r="C14" s="2069" t="s">
        <v>1793</v>
      </c>
      <c r="D14" s="1050"/>
      <c r="E14" s="1050"/>
      <c r="F14" s="1050">
        <v>50</v>
      </c>
      <c r="G14" s="1050">
        <v>50</v>
      </c>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t="str">
        <f>IF(B12="出让",IF(E13="","",ROUNDDOWN(MIN((E13-$D$3)/365,E14),2)),E14)</f>
        <v/>
      </c>
      <c r="F15" s="1049">
        <f>IF(B12="出让",IF(F13="","",ROUNDDOWN(MIN((F13-$D$3)/365,F14),2)),F14)</f>
        <v>32.61</v>
      </c>
      <c r="G15" s="1049">
        <f>IF(B12="出让",IF(G13="","",ROUNDDOWN(MIN((G13-$D$3)/365,G14),2)),G14)</f>
        <v>32.61</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48"/>
      <c r="C16" s="3049"/>
      <c r="D16" s="3050"/>
      <c r="E16" s="2076" t="s">
        <v>1796</v>
      </c>
      <c r="F16" s="3051"/>
      <c r="G16" s="3052"/>
      <c r="H16" s="3052"/>
      <c r="I16" s="3053"/>
      <c r="J16" s="2019"/>
      <c r="K16" s="2073"/>
      <c r="L16" s="2074"/>
      <c r="M16" s="2074"/>
      <c r="N16" s="2075"/>
      <c r="O16" s="2074"/>
      <c r="P16" s="2075"/>
      <c r="Q16" s="2019"/>
      <c r="R16" s="2019"/>
    </row>
    <row r="17" spans="1:22" ht="18" customHeight="1">
      <c r="A17" s="2077" t="s">
        <v>1797</v>
      </c>
      <c r="B17" s="2025" t="s">
        <v>1798</v>
      </c>
      <c r="C17" s="1054">
        <f>'数据-汇总表'!E3</f>
        <v>1724.67</v>
      </c>
      <c r="D17" s="2078" t="s">
        <v>1799</v>
      </c>
      <c r="E17" s="3054" t="s">
        <v>1800</v>
      </c>
      <c r="F17" s="3055"/>
      <c r="G17" s="3055"/>
      <c r="H17" s="3055"/>
      <c r="I17" s="3056"/>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4">
        <f>'数据-汇总表'!D3</f>
        <v>0</v>
      </c>
      <c r="D18" s="2081" t="s">
        <v>1799</v>
      </c>
      <c r="E18" s="3057" t="s">
        <v>1803</v>
      </c>
      <c r="F18" s="3058"/>
      <c r="G18" s="3058"/>
      <c r="H18" s="3058"/>
      <c r="I18" s="3059"/>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44" t="s">
        <v>1808</v>
      </c>
      <c r="C20" s="3045"/>
      <c r="D20" s="3046" t="s">
        <v>1809</v>
      </c>
      <c r="E20" s="3047"/>
      <c r="F20" s="2088" t="s">
        <v>1810</v>
      </c>
      <c r="G20" s="2032"/>
      <c r="H20" s="2032"/>
      <c r="I20" s="2032"/>
      <c r="J20" s="2032"/>
      <c r="K20" s="304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61"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61"/>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61"/>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62"/>
      <c r="B30" s="2025" t="s">
        <v>1827</v>
      </c>
      <c r="C30" s="3063"/>
      <c r="D30" s="3064"/>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65"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66"/>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66"/>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60" t="s">
        <v>1837</v>
      </c>
      <c r="T34" s="2125" t="str">
        <f>NUMBERSTRING(7-K34,1)&amp;"通"</f>
        <v>七通</v>
      </c>
      <c r="U34" s="2019"/>
      <c r="V34" s="2019"/>
    </row>
    <row r="35" spans="1:22" ht="18" customHeight="1">
      <c r="A35" s="2126"/>
      <c r="B35" s="3067" t="s">
        <v>1838</v>
      </c>
      <c r="C35" s="3067"/>
      <c r="D35" s="3067"/>
      <c r="E35" s="3067"/>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0"/>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1724.67</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1724.67</v>
      </c>
      <c r="H5" s="16">
        <f t="shared" ref="H5:AT5" si="0">SUM(H13:H656)</f>
        <v>1724.67</v>
      </c>
      <c r="I5" s="16">
        <f t="shared" si="0"/>
        <v>1272.47</v>
      </c>
      <c r="J5" s="16">
        <f t="shared" si="0"/>
        <v>0</v>
      </c>
      <c r="K5" s="16">
        <f t="shared" si="0"/>
        <v>452.2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1724.67</v>
      </c>
      <c r="BA5" s="18">
        <f t="shared" si="1"/>
        <v>1724.67</v>
      </c>
      <c r="BB5" s="18">
        <f t="shared" si="1"/>
        <v>1272.47</v>
      </c>
      <c r="BC5" s="18">
        <f t="shared" si="1"/>
        <v>452.2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2" t="s">
        <v>1890</v>
      </c>
      <c r="AU8" s="2173" t="s">
        <v>1891</v>
      </c>
      <c r="AV8" s="1292"/>
      <c r="AW8" s="2156"/>
      <c r="AX8" s="1292"/>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2"/>
      <c r="H9" s="2181" t="s">
        <v>1894</v>
      </c>
      <c r="I9" s="2182" t="s">
        <v>3065</v>
      </c>
      <c r="J9" s="981"/>
      <c r="K9" s="2182" t="s">
        <v>3066</v>
      </c>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09"/>
      <c r="BN9" s="2176"/>
      <c r="BO9" s="1809"/>
      <c r="BP9" s="1809"/>
      <c r="BQ9" s="1809"/>
      <c r="BR9" s="1809"/>
      <c r="BS9" s="1809"/>
      <c r="BT9" s="26"/>
    </row>
    <row r="10" spans="1:72" s="2180" customFormat="1" ht="12.75">
      <c r="A10" s="2173"/>
      <c r="B10" s="2173"/>
      <c r="C10" s="2173"/>
      <c r="D10" s="2173"/>
      <c r="E10" s="2173"/>
      <c r="F10" s="2173"/>
      <c r="G10" s="1292"/>
      <c r="H10" s="28"/>
      <c r="I10" s="2182" t="s">
        <v>27</v>
      </c>
      <c r="J10" s="981"/>
      <c r="K10" s="2188" t="s">
        <v>3067</v>
      </c>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2"/>
      <c r="AW11" s="2156"/>
      <c r="AX11" s="1292"/>
      <c r="AY11" s="28"/>
      <c r="AZ11" s="28"/>
      <c r="BA11" s="28"/>
      <c r="BB11" s="2178" t="str">
        <f>I10</f>
        <v>办公</v>
      </c>
      <c r="BC11" s="2178" t="str">
        <f>K10</f>
        <v>车库</v>
      </c>
      <c r="BD11" s="2178">
        <f>M10</f>
        <v>0</v>
      </c>
      <c r="BE11" s="2178">
        <f>O10</f>
        <v>0</v>
      </c>
      <c r="BF11" s="2178">
        <f>Q10</f>
        <v>0</v>
      </c>
      <c r="BG11" s="2178">
        <f>S10</f>
        <v>0</v>
      </c>
      <c r="BH11" s="2178">
        <f>U10</f>
        <v>0</v>
      </c>
      <c r="BI11" s="2178">
        <f>W10</f>
        <v>0</v>
      </c>
      <c r="BJ11" s="2178">
        <f>Y10</f>
        <v>0</v>
      </c>
      <c r="BK11" s="2178">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3063</v>
      </c>
      <c r="D13" s="2204" t="s">
        <v>3064</v>
      </c>
      <c r="E13" s="16">
        <f>IF($C$3="是",ROUND($A$3*G13/$B$3,2),ROUND($A$3*(G13-AT13)/$B$3,2))</f>
        <v>0</v>
      </c>
      <c r="F13" s="32"/>
      <c r="G13" s="33">
        <f>H13+AC13+AT13</f>
        <v>1724.67</v>
      </c>
      <c r="H13" s="20">
        <f>SUMIF(I$12:AB$12,"总值",I13:AB13)</f>
        <v>1724.67</v>
      </c>
      <c r="I13" s="2205">
        <v>1272.47</v>
      </c>
      <c r="J13" s="2205"/>
      <c r="K13" s="2205">
        <v>452.2</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11号2号楼</v>
      </c>
      <c r="AY13" s="1797">
        <f>ROUND($AY$6*AZ13/$AZ$5,2)</f>
        <v>0</v>
      </c>
      <c r="AZ13" s="16">
        <f>BA13+BL13</f>
        <v>1724.67</v>
      </c>
      <c r="BA13" s="16">
        <f>SUM(BB13:BK13)</f>
        <v>1724.67</v>
      </c>
      <c r="BB13" s="16">
        <f>IF($D13="是",I13-J13,0)</f>
        <v>1272.47</v>
      </c>
      <c r="BC13" s="16">
        <f>IF($D13="是",K13-L13,0)</f>
        <v>452.2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0" sqref="I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79" t="s">
        <v>1934</v>
      </c>
      <c r="B2" s="3079"/>
      <c r="C2" s="3079"/>
      <c r="D2" s="967" t="s">
        <v>1910</v>
      </c>
      <c r="E2" s="2218" t="s">
        <v>1911</v>
      </c>
      <c r="F2" s="1392"/>
      <c r="G2" s="2219"/>
      <c r="H2" s="2220"/>
      <c r="I2" s="2221" t="s">
        <v>1935</v>
      </c>
      <c r="J2" s="1392"/>
      <c r="K2" s="1392"/>
      <c r="L2" s="1392"/>
      <c r="M2" s="1392"/>
      <c r="N2" s="1427"/>
      <c r="O2" s="1392"/>
      <c r="P2" s="1392"/>
    </row>
    <row r="3" spans="1:16" ht="15.75" thickBot="1">
      <c r="A3" s="3080" t="s">
        <v>1908</v>
      </c>
      <c r="B3" s="3080"/>
      <c r="C3" s="3080"/>
      <c r="D3" s="46">
        <f>'数据-基础表'!AY6</f>
        <v>0</v>
      </c>
      <c r="E3" s="46">
        <f>'数据-基础表'!AZ5</f>
        <v>1724.67</v>
      </c>
      <c r="F3" s="1392"/>
      <c r="G3" s="1399"/>
      <c r="H3" s="1247" t="s">
        <v>1909</v>
      </c>
      <c r="I3" s="55" t="e">
        <f>ROUND('数据-基础表'!B3/'数据-基础表'!A3,2)</f>
        <v>#DIV/0!</v>
      </c>
      <c r="J3" s="1392"/>
      <c r="K3" s="1392"/>
      <c r="L3" s="1392"/>
      <c r="M3" s="1392"/>
      <c r="N3" s="1427"/>
      <c r="O3" s="1392"/>
      <c r="P3" s="1392"/>
    </row>
    <row r="4" spans="1:16" ht="15">
      <c r="A4" s="3081"/>
      <c r="B4" s="3082"/>
      <c r="C4" s="3083"/>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84" t="s">
        <v>1913</v>
      </c>
      <c r="C5" s="3084"/>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84" t="s">
        <v>1914</v>
      </c>
      <c r="C6" s="3084"/>
      <c r="D6" s="48">
        <f>ROUND($D$3*E6/$E$3,2)</f>
        <v>0</v>
      </c>
      <c r="E6" s="49">
        <f>E3-E5</f>
        <v>1724.67</v>
      </c>
      <c r="F6" s="1392"/>
      <c r="G6" s="2226" t="s">
        <v>1915</v>
      </c>
      <c r="H6" s="1399" t="s">
        <v>1916</v>
      </c>
      <c r="I6" s="939" t="e">
        <f>ROUND(F31/D31,2)</f>
        <v>#DIV/0!</v>
      </c>
      <c r="J6" s="1392"/>
      <c r="K6" s="1392"/>
      <c r="L6" s="1392"/>
      <c r="M6" s="1392"/>
      <c r="N6" s="1392"/>
      <c r="O6" s="1392"/>
      <c r="P6" s="1392"/>
    </row>
    <row r="7" spans="1:16" ht="15">
      <c r="A7" s="3076"/>
      <c r="B7" s="3077"/>
      <c r="C7" s="3078"/>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1272.47</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452.2</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1724.67</v>
      </c>
      <c r="F16" s="1392"/>
      <c r="G16" s="2228"/>
      <c r="H16" s="2231" t="s">
        <v>1938</v>
      </c>
      <c r="I16" s="2232"/>
      <c r="J16" s="1392"/>
      <c r="K16" s="3073" t="s">
        <v>1938</v>
      </c>
      <c r="L16" s="3074"/>
      <c r="M16" s="3074"/>
      <c r="N16" s="3074"/>
      <c r="O16" s="3074"/>
      <c r="P16" s="3075"/>
    </row>
    <row r="17" spans="1:19" ht="15">
      <c r="A17" s="2233" t="s">
        <v>1939</v>
      </c>
      <c r="B17" s="2234" t="s">
        <v>1940</v>
      </c>
      <c r="C17" s="2235" t="s">
        <v>1941</v>
      </c>
      <c r="D17" s="2236" t="s">
        <v>1929</v>
      </c>
      <c r="E17" s="2237" t="s">
        <v>1930</v>
      </c>
      <c r="F17" s="2238"/>
      <c r="G17" s="2239"/>
      <c r="H17" s="2240" t="s">
        <v>1942</v>
      </c>
      <c r="I17" s="2241" t="s">
        <v>1927</v>
      </c>
      <c r="J17" s="1392"/>
      <c r="K17" s="3070" t="s">
        <v>1943</v>
      </c>
      <c r="L17" s="3071"/>
      <c r="M17" s="3072"/>
      <c r="N17" s="3070" t="s">
        <v>1944</v>
      </c>
      <c r="O17" s="3071"/>
      <c r="P17" s="3072"/>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79" t="s">
        <v>3068</v>
      </c>
      <c r="D19" s="48">
        <f>ROUND($D$3*E19/$E$3,2)</f>
        <v>0</v>
      </c>
      <c r="E19" s="56">
        <f t="shared" ref="E19:E26" si="1">SUM(F19:G19)</f>
        <v>1272.47</v>
      </c>
      <c r="F19" s="57">
        <f>'数据-基础表'!I13</f>
        <v>1272.47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1272.47</v>
      </c>
    </row>
    <row r="20" spans="1:19">
      <c r="A20" s="2254"/>
      <c r="B20" s="50" t="s">
        <v>1956</v>
      </c>
      <c r="C20" s="2979" t="s">
        <v>3070</v>
      </c>
      <c r="D20" s="48">
        <f t="shared" ref="D20:D26" si="6">ROUND($D$3*E20/$E$3,2)</f>
        <v>0</v>
      </c>
      <c r="E20" s="56">
        <f t="shared" si="1"/>
        <v>452.2</v>
      </c>
      <c r="F20" s="57"/>
      <c r="G20" s="58">
        <f>'数据-基础表'!K13</f>
        <v>452.2</v>
      </c>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452.2</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1724.67</v>
      </c>
      <c r="F27" s="1393">
        <f>IF(SUM(F19:F26)=E8,SUM(F19:F26),"地上面积有误")</f>
        <v>1272.47</v>
      </c>
      <c r="G27" s="1395">
        <f>SUM(G19:G26)</f>
        <v>452.2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1724.67</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1724.67</v>
      </c>
      <c r="F31" s="730">
        <f>F27+F30</f>
        <v>1272.47</v>
      </c>
      <c r="G31" s="731">
        <f>G27+G30</f>
        <v>452.2</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32" activePane="bottomRight" state="frozen"/>
      <selection activeCell="C50" sqref="C50"/>
      <selection pane="topRight" activeCell="C50" sqref="C50"/>
      <selection pane="bottomLeft" activeCell="C50" sqref="C50"/>
      <selection pane="bottomRight" activeCell="A53" sqref="A53"/>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6">
        <f>项目基本情况!D3</f>
        <v>44020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3071</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办公</v>
      </c>
      <c r="B6" s="2298" t="str">
        <f>IF(A6=0,"","经营性")</f>
        <v>经营性</v>
      </c>
      <c r="C6" s="2299" t="s">
        <v>27</v>
      </c>
      <c r="D6" s="1051">
        <f>SUMIF(项目基本情况!D$12:I$12,C6,项目基本情况!D$14:I$14)</f>
        <v>50</v>
      </c>
      <c r="E6" s="1048">
        <f>IF(B6="","",SUMIF(项目基本情况!D$12:I$12,C6,项目基本情况!D$13:I$13))</f>
        <v>55924</v>
      </c>
      <c r="F6" s="72">
        <f>SUMIF(项目基本情况!D$12:I$12,C6,项目基本情况!D$15:I$15)</f>
        <v>32.61</v>
      </c>
      <c r="G6" s="73">
        <f>IF(ISERROR(ROUND(POWER(1+H6,D6-F6)*(POWER(1+H6,F6)-1)/(POWER(1+H6,D6)-1),3)),0,ROUND(POWER(1+H6,D6-F6)*(POWER(1+H6,F6)-1)/(POWER(1+H6,D6)-1),3))</f>
        <v>0.872</v>
      </c>
      <c r="H6" s="802">
        <v>0.05</v>
      </c>
      <c r="I6" s="802">
        <v>5.5E-2</v>
      </c>
      <c r="J6" s="74">
        <v>8.5000000000000006E-2</v>
      </c>
      <c r="K6" s="1251">
        <f>SUMIF('数据-汇总表'!C$19:C$33,A6,'数据-汇总表'!E$19:E$33)</f>
        <v>1272.47</v>
      </c>
      <c r="L6" s="2990">
        <v>4000</v>
      </c>
      <c r="M6" s="75">
        <f t="shared" ref="M6:M14" si="0">ROUND(K6*L6/10000,0)</f>
        <v>509</v>
      </c>
      <c r="N6" s="801">
        <f>ROUND((1-(2020-2004)/60),2)</f>
        <v>0.73</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6.5</v>
      </c>
      <c r="V6" s="79">
        <v>0.03</v>
      </c>
      <c r="W6" s="79">
        <v>0.1</v>
      </c>
      <c r="X6" s="1261"/>
      <c r="Y6" s="80">
        <f>N6</f>
        <v>0.73</v>
      </c>
      <c r="Z6" s="81"/>
      <c r="AA6" s="74"/>
      <c r="AB6" s="74"/>
      <c r="AC6" s="1261"/>
      <c r="AD6" s="82"/>
      <c r="AE6" s="1262">
        <f ca="1">IF(AN6="",0,SUMIF(INDIRECT("'"&amp;AN6&amp;"'"&amp;"!E:E"),$AE$5,INDIRECT("'"&amp;AN6&amp;"'"&amp;"!F:F")))</f>
        <v>32.61</v>
      </c>
      <c r="AF6" s="1795"/>
      <c r="AG6" s="147">
        <f>IF(AF6="",0,AE6-AF6)</f>
        <v>0</v>
      </c>
      <c r="AH6" s="83"/>
      <c r="AI6" s="85">
        <v>365</v>
      </c>
      <c r="AJ6" s="86"/>
      <c r="AK6" s="87">
        <v>1.4999999999999999E-2</v>
      </c>
      <c r="AL6" s="88">
        <v>1.5E-3</v>
      </c>
      <c r="AM6" s="89">
        <v>0.01</v>
      </c>
      <c r="AN6" s="2300" t="s">
        <v>3073</v>
      </c>
      <c r="AO6" s="55">
        <f ca="1">SUMIF(INDIRECT("'"&amp;AN6&amp;"'"&amp;"!A:A"),"总价",INDIRECT("'"&amp;AN6&amp;"'"&amp;"!B:B"))</f>
        <v>4586</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t="str">
        <f>'数据-汇总表'!C20</f>
        <v>车位</v>
      </c>
      <c r="B7" s="2298" t="str">
        <f t="shared" ref="B7:B13" si="1">IF(A7=0,"","经营性")</f>
        <v>经营性</v>
      </c>
      <c r="C7" s="2299" t="s">
        <v>3067</v>
      </c>
      <c r="D7" s="1051">
        <f>SUMIF(项目基本情况!D$12:I$12,C7,项目基本情况!D$14:I$14)</f>
        <v>50</v>
      </c>
      <c r="E7" s="1048">
        <f>IF(B7="","",SUMIF(项目基本情况!D$12:I$12,C7,项目基本情况!D$13:I$13))</f>
        <v>55924</v>
      </c>
      <c r="F7" s="72">
        <f>SUMIF(项目基本情况!D$12:I$12,C7,项目基本情况!D$15:I$15)</f>
        <v>32.61</v>
      </c>
      <c r="G7" s="73">
        <f t="shared" ref="G7:G11" si="2">IF(ISERROR(ROUND(POWER(1+H7,D7-F7)*(POWER(1+H7,F7)-1)/(POWER(1+H7,D7)-1),3)),0,ROUND(POWER(1+H7,D7-F7)*(POWER(1+H7,F7)-1)/(POWER(1+H7,D7)-1),3))</f>
        <v>0.85699999999999998</v>
      </c>
      <c r="H7" s="802">
        <v>4.4999999999999998E-2</v>
      </c>
      <c r="I7" s="802">
        <v>0.05</v>
      </c>
      <c r="J7" s="74">
        <v>8.5000000000000006E-2</v>
      </c>
      <c r="K7" s="1251">
        <f>SUMIF('数据-汇总表'!C$19:C$33,A7,'数据-汇总表'!E$19:E$33)</f>
        <v>452.2</v>
      </c>
      <c r="L7" s="2990">
        <v>3800</v>
      </c>
      <c r="M7" s="75">
        <f t="shared" si="0"/>
        <v>172</v>
      </c>
      <c r="N7" s="801">
        <f>N6</f>
        <v>0.73</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91">
        <v>1200</v>
      </c>
      <c r="V7" s="2992">
        <v>2.5000000000000001E-2</v>
      </c>
      <c r="W7" s="79">
        <v>0.1</v>
      </c>
      <c r="X7" s="1261"/>
      <c r="Y7" s="80">
        <f>Y6</f>
        <v>0.73</v>
      </c>
      <c r="Z7" s="81"/>
      <c r="AA7" s="74"/>
      <c r="AB7" s="74"/>
      <c r="AC7" s="1261"/>
      <c r="AD7" s="82"/>
      <c r="AE7" s="1262">
        <f t="shared" ref="AE7:AE13" ca="1" si="6">IF(AN7="",0,SUMIF(INDIRECT("'"&amp;AN7&amp;"'"&amp;"!E:E"),$AE$5,INDIRECT("'"&amp;AN7&amp;"'"&amp;"!F:F")))</f>
        <v>32.61</v>
      </c>
      <c r="AF7" s="1795"/>
      <c r="AG7" s="147">
        <f t="shared" ref="AG7:AG13" si="7">IF(AF7="",0,AE7-AF7)</f>
        <v>0</v>
      </c>
      <c r="AH7" s="83">
        <v>10</v>
      </c>
      <c r="AI7" s="85">
        <v>12</v>
      </c>
      <c r="AJ7" s="86"/>
      <c r="AK7" s="87">
        <v>1.4999999999999999E-2</v>
      </c>
      <c r="AL7" s="88">
        <v>1.5E-3</v>
      </c>
      <c r="AM7" s="89">
        <v>0.01</v>
      </c>
      <c r="AN7" s="2300" t="s">
        <v>3080</v>
      </c>
      <c r="AO7" s="55">
        <f t="shared" ref="AO7:AO13" ca="1" si="8">SUMIF(INDIRECT("'"&amp;AN7&amp;"'"&amp;"!A:A"),"总价",INDIRECT("'"&amp;AN7&amp;"'"&amp;"!B:B"))</f>
        <v>152</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hidden="1">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hidden="1">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hidden="1">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hidden="1">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hidden="1">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5"/>
      <c r="D16" s="2305"/>
      <c r="E16" s="97"/>
      <c r="F16" s="97"/>
      <c r="G16" s="98">
        <f>ROUND(SUMPRODUCT(G6:G13,K6:K13)/SUMPRODUCT((G6:G13&gt;0)*(K6:K13)),3)</f>
        <v>0.86799999999999999</v>
      </c>
      <c r="H16" s="99">
        <f>ROUND(SUMPRODUCT(H6:H13,K6:K13)/SUMPRODUCT((H6:H13&gt;0)*(K6:K13)),3)</f>
        <v>4.9000000000000002E-2</v>
      </c>
      <c r="I16" s="100"/>
      <c r="J16" s="100"/>
      <c r="K16" s="101">
        <f>SUM(K6:K15)</f>
        <v>1724.67</v>
      </c>
      <c r="L16" s="102">
        <f>ROUND(M16*10000/SUM(K6:K14),0)</f>
        <v>3949</v>
      </c>
      <c r="M16" s="102">
        <f>SUM(M6:M14)</f>
        <v>681</v>
      </c>
      <c r="N16" s="103">
        <f>ROUND(SUMPRODUCT(M6:M14,N6:N14)/M16,3)</f>
        <v>0.73</v>
      </c>
      <c r="O16" s="102">
        <f>SUM(O6:O14)</f>
        <v>0</v>
      </c>
      <c r="P16" s="102">
        <f>SUM(P6:P14)</f>
        <v>0</v>
      </c>
      <c r="Q16" s="104">
        <f>ROUND(SUMPRODUCT(Q6:Q13,K6:K13)/SUMPRODUCT((Q6:Q13&gt;0)*(K6:K13)),2)</f>
        <v>0.16</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v>160</v>
      </c>
      <c r="C27" s="1755" t="s">
        <v>2026</v>
      </c>
      <c r="D27" s="2314"/>
      <c r="E27" s="1427"/>
      <c r="F27" s="1427"/>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5" t="s">
        <v>2029</v>
      </c>
      <c r="D29" s="2314"/>
      <c r="E29" s="1427"/>
      <c r="F29" s="1427"/>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5"/>
      <c r="D31" s="2314"/>
      <c r="E31" s="1427"/>
      <c r="F31" s="1427"/>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4" t="s">
        <v>2039</v>
      </c>
      <c r="D35" s="2314"/>
      <c r="E35" s="1427"/>
      <c r="F35" s="1427"/>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0.02</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2.5000000000000001E-2</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300">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5.6000000000000001E-2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6.000000000000001E-3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8">
        <v>7.0000000000000007E-2</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v>0</v>
      </c>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1">
        <v>1.2E-2</v>
      </c>
      <c r="C50" s="1427"/>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7"/>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3">
        <f>SUMIF(A54:A63,B53,B54:B63)</f>
        <v>18</v>
      </c>
      <c r="C52" s="1427"/>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442</v>
      </c>
      <c r="C53" s="1427"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v>30</v>
      </c>
      <c r="C54" s="1427">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v>24</v>
      </c>
      <c r="C55" s="1427">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v>18</v>
      </c>
      <c r="C56" s="1427">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v>12</v>
      </c>
      <c r="C57" s="1427">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v>3</v>
      </c>
      <c r="C58" s="1427">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v>1.5</v>
      </c>
      <c r="C59" s="1427">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85" t="s">
        <v>2079</v>
      </c>
      <c r="B1" s="3086"/>
      <c r="C1" s="3086"/>
      <c r="D1" s="3086"/>
      <c r="E1" s="3086"/>
      <c r="F1" s="3086"/>
      <c r="G1" s="308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6" t="s">
        <v>2096</v>
      </c>
      <c r="C8" s="2366" t="s">
        <v>2097</v>
      </c>
      <c r="D8" s="2367"/>
      <c r="E8" s="2367"/>
      <c r="F8" s="1133"/>
      <c r="G8" s="1133"/>
      <c r="H8" s="2358"/>
      <c r="I8" s="2358"/>
      <c r="J8" s="2358"/>
      <c r="K8" s="2358"/>
      <c r="L8" s="2358"/>
      <c r="M8" s="2358"/>
      <c r="N8" s="2358"/>
      <c r="O8" s="2358"/>
      <c r="P8" s="2358"/>
      <c r="Q8" s="2358"/>
      <c r="R8" s="2358"/>
    </row>
    <row r="9" spans="1:29" ht="27">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9"/>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9"/>
      <c r="D19" s="2361"/>
      <c r="E19" s="2397"/>
      <c r="F19" s="1786"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6" t="s">
        <v>2112</v>
      </c>
      <c r="G20" s="136" t="str">
        <f>G6</f>
        <v>估价对象所在区域基础设施水平</v>
      </c>
    </row>
    <row r="21" spans="1:18" ht="28.5">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9"/>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F7" sqref="F7"/>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1724.67</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44020</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5492</v>
      </c>
      <c r="C5" s="2952">
        <f ca="1">ROUND(B5*10000/$B$1,0)</f>
        <v>31844</v>
      </c>
      <c r="D5" s="2952" t="e">
        <f ca="1">ROUND(B5*10000/$B$2,0)</f>
        <v>#DIV/0!</v>
      </c>
      <c r="E5" s="2949"/>
      <c r="F5" s="2950"/>
      <c r="G5" s="2950"/>
    </row>
    <row r="6" spans="1:10" ht="16.5">
      <c r="A6" s="2952" t="s">
        <v>1351</v>
      </c>
      <c r="B6" s="2952">
        <f ca="1">SUM(G14:G23)</f>
        <v>5492</v>
      </c>
      <c r="C6" s="2952">
        <f ca="1">ROUND(B6*10000/$B$1,0)</f>
        <v>31844</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7"/>
      <c r="C9" s="2949"/>
      <c r="D9" s="2949"/>
      <c r="E9" s="2949"/>
      <c r="F9" s="2950"/>
      <c r="G9" s="2950"/>
    </row>
    <row r="10" spans="1:10" ht="16.5">
      <c r="A10" s="2952" t="s">
        <v>1349</v>
      </c>
      <c r="B10" s="1737"/>
      <c r="C10" s="2949"/>
      <c r="D10" s="2949"/>
      <c r="E10" s="2949"/>
      <c r="F10" s="2950"/>
      <c r="G10" s="2950"/>
    </row>
    <row r="11" spans="1:10" ht="16.5">
      <c r="A11" s="2952" t="s">
        <v>1365</v>
      </c>
      <c r="B11" s="1737"/>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'数据-汇总表'!F19</f>
        <v>1272.47</v>
      </c>
      <c r="C14" s="2957">
        <f>结果表!C118</f>
        <v>0</v>
      </c>
      <c r="D14" s="2957">
        <f ca="1">结果表!H118</f>
        <v>5123</v>
      </c>
      <c r="E14" s="2955">
        <f ca="1">ROUND(D14*10000/B14,0)</f>
        <v>40260</v>
      </c>
      <c r="F14" s="2955" t="e">
        <f ca="1">ROUND(D14*10000/C14,0)</f>
        <v>#DIV/0!</v>
      </c>
      <c r="G14" s="2957">
        <f ca="1">结果表!D122</f>
        <v>5123</v>
      </c>
      <c r="H14" s="2957" t="str">
        <f>结果表!D124</f>
        <v>——</v>
      </c>
      <c r="I14" s="2957" t="str">
        <f>结果表!D126</f>
        <v>——</v>
      </c>
      <c r="J14" s="2950"/>
    </row>
    <row r="15" spans="1:10" ht="16.5">
      <c r="A15" s="2956" t="s">
        <v>1344</v>
      </c>
      <c r="B15" s="2957">
        <f>'数据-汇总表'!G20</f>
        <v>452.2</v>
      </c>
      <c r="C15" s="2957"/>
      <c r="D15" s="2957">
        <f ca="1">'结果表 (车位)'!C104</f>
        <v>369</v>
      </c>
      <c r="E15" s="2955">
        <f t="shared" ref="E15:E23" ca="1" si="0">ROUND(D15*10000/B15,0)</f>
        <v>8160</v>
      </c>
      <c r="F15" s="2955" t="e">
        <f t="shared" ref="F15:F23" ca="1" si="1">ROUND(D15*10000/C15,0)</f>
        <v>#DIV/0!</v>
      </c>
      <c r="G15" s="2957">
        <f ca="1">D15</f>
        <v>369</v>
      </c>
      <c r="H15" s="1739"/>
      <c r="I15" s="1738"/>
      <c r="J15" s="2950"/>
    </row>
    <row r="16" spans="1:10" ht="16.5">
      <c r="A16" s="2956" t="s">
        <v>1343</v>
      </c>
      <c r="B16" s="1738"/>
      <c r="C16" s="1738"/>
      <c r="D16" s="1738"/>
      <c r="E16" s="2955" t="e">
        <f t="shared" si="0"/>
        <v>#DIV/0!</v>
      </c>
      <c r="F16" s="2955" t="e">
        <f t="shared" si="1"/>
        <v>#DIV/0!</v>
      </c>
      <c r="G16" s="1739"/>
      <c r="H16" s="1739"/>
      <c r="I16" s="1738"/>
    </row>
    <row r="17" spans="1:9" ht="16.5">
      <c r="A17" s="2956" t="s">
        <v>1342</v>
      </c>
      <c r="B17" s="1738"/>
      <c r="C17" s="1738"/>
      <c r="D17" s="1738"/>
      <c r="E17" s="2955" t="e">
        <f t="shared" si="0"/>
        <v>#DIV/0!</v>
      </c>
      <c r="F17" s="2955" t="e">
        <f t="shared" si="1"/>
        <v>#DIV/0!</v>
      </c>
      <c r="G17" s="1739"/>
      <c r="H17" s="1739"/>
      <c r="I17" s="1738"/>
    </row>
    <row r="18" spans="1:9" ht="16.5">
      <c r="A18" s="2956" t="s">
        <v>1341</v>
      </c>
      <c r="B18" s="1738"/>
      <c r="C18" s="1738"/>
      <c r="D18" s="1738"/>
      <c r="E18" s="2955" t="e">
        <f t="shared" si="0"/>
        <v>#DIV/0!</v>
      </c>
      <c r="F18" s="2955" t="e">
        <f t="shared" si="1"/>
        <v>#DIV/0!</v>
      </c>
      <c r="G18" s="1738"/>
      <c r="H18" s="1738"/>
      <c r="I18" s="1738"/>
    </row>
    <row r="19" spans="1:9" ht="16.5">
      <c r="A19" s="2956" t="s">
        <v>1340</v>
      </c>
      <c r="B19" s="1738"/>
      <c r="C19" s="1738"/>
      <c r="D19" s="1738"/>
      <c r="E19" s="2955" t="e">
        <f t="shared" si="0"/>
        <v>#DIV/0!</v>
      </c>
      <c r="F19" s="2955" t="e">
        <f t="shared" si="1"/>
        <v>#DIV/0!</v>
      </c>
      <c r="G19" s="1738"/>
      <c r="H19" s="1738"/>
      <c r="I19" s="1738"/>
    </row>
    <row r="20" spans="1:9" ht="16.5">
      <c r="A20" s="2956" t="s">
        <v>1339</v>
      </c>
      <c r="B20" s="1738"/>
      <c r="C20" s="1738"/>
      <c r="D20" s="1738"/>
      <c r="E20" s="2955" t="e">
        <f t="shared" si="0"/>
        <v>#DIV/0!</v>
      </c>
      <c r="F20" s="2955" t="e">
        <f t="shared" si="1"/>
        <v>#DIV/0!</v>
      </c>
      <c r="G20" s="1738"/>
      <c r="H20" s="1738"/>
      <c r="I20" s="1738"/>
    </row>
    <row r="21" spans="1:9" ht="16.5">
      <c r="A21" s="2956" t="s">
        <v>1338</v>
      </c>
      <c r="B21" s="1738"/>
      <c r="C21" s="1738"/>
      <c r="D21" s="1738"/>
      <c r="E21" s="2955" t="e">
        <f t="shared" si="0"/>
        <v>#DIV/0!</v>
      </c>
      <c r="F21" s="2955" t="e">
        <f t="shared" si="1"/>
        <v>#DIV/0!</v>
      </c>
      <c r="G21" s="1738"/>
      <c r="H21" s="1738"/>
      <c r="I21" s="1738"/>
    </row>
    <row r="22" spans="1:9" ht="16.5">
      <c r="A22" s="2956" t="s">
        <v>1337</v>
      </c>
      <c r="B22" s="1738"/>
      <c r="C22" s="1738"/>
      <c r="D22" s="1738"/>
      <c r="E22" s="2955" t="e">
        <f t="shared" si="0"/>
        <v>#DIV/0!</v>
      </c>
      <c r="F22" s="2955" t="e">
        <f t="shared" si="1"/>
        <v>#DIV/0!</v>
      </c>
      <c r="G22" s="1738"/>
      <c r="H22" s="1738"/>
      <c r="I22" s="1738"/>
    </row>
    <row r="23" spans="1:9" ht="16.5">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17" sqref="H17"/>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3083</v>
      </c>
      <c r="H1" s="2412" t="str">
        <f>IF(G1="现房","——","估价对象范围")</f>
        <v>——</v>
      </c>
      <c r="I1" s="2413"/>
    </row>
    <row r="2" spans="1:12" ht="21.75" customHeight="1" thickBot="1">
      <c r="A2" s="3161" t="str">
        <f>项目基本情况!S2</f>
        <v>北京市房地产</v>
      </c>
      <c r="B2" s="3162"/>
      <c r="C2" s="3162"/>
      <c r="D2" s="3162"/>
      <c r="E2" s="3162"/>
      <c r="F2" s="3162"/>
      <c r="G2" s="3162"/>
      <c r="H2" s="3162"/>
      <c r="I2" s="3163"/>
    </row>
    <row r="3" spans="1:12" ht="12.75">
      <c r="A3" s="3164" t="s">
        <v>2119</v>
      </c>
      <c r="B3" s="3165"/>
      <c r="C3" s="3165"/>
      <c r="D3" s="3165"/>
      <c r="E3" s="3165"/>
      <c r="F3" s="3165"/>
      <c r="G3" s="3165"/>
      <c r="H3" s="3165"/>
      <c r="I3" s="3165"/>
    </row>
    <row r="4" spans="1:12" ht="14.25">
      <c r="A4" s="2416" t="s">
        <v>2120</v>
      </c>
      <c r="B4" s="2417" t="s">
        <v>2121</v>
      </c>
      <c r="C4" s="2418" t="s">
        <v>3072</v>
      </c>
      <c r="D4" s="2418" t="s">
        <v>3073</v>
      </c>
      <c r="E4" s="3145" t="s">
        <v>2122</v>
      </c>
      <c r="F4" s="3158"/>
      <c r="G4" s="3158"/>
      <c r="H4" s="3158"/>
      <c r="I4" s="3146"/>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36" t="s">
        <v>2123</v>
      </c>
      <c r="B5" s="3060">
        <v>25</v>
      </c>
      <c r="C5" s="3166"/>
      <c r="D5" s="3154"/>
      <c r="E5" s="140" t="s">
        <v>2124</v>
      </c>
      <c r="F5" s="2420"/>
      <c r="G5" s="2420"/>
      <c r="H5" s="2420"/>
      <c r="I5" s="1822"/>
    </row>
    <row r="6" spans="1:12" ht="12.75">
      <c r="A6" s="3136"/>
      <c r="B6" s="3060"/>
      <c r="C6" s="3168"/>
      <c r="D6" s="3154"/>
      <c r="E6" s="140" t="s">
        <v>2125</v>
      </c>
      <c r="F6" s="2420"/>
      <c r="G6" s="2420"/>
      <c r="H6" s="2420"/>
      <c r="I6" s="1822"/>
    </row>
    <row r="7" spans="1:12" ht="12.75">
      <c r="A7" s="3136"/>
      <c r="B7" s="3060"/>
      <c r="C7" s="3167"/>
      <c r="D7" s="3154"/>
      <c r="E7" s="140" t="s">
        <v>2126</v>
      </c>
      <c r="F7" s="2420"/>
      <c r="G7" s="2420"/>
      <c r="H7" s="2420"/>
      <c r="I7" s="1822"/>
    </row>
    <row r="8" spans="1:12" ht="12.75">
      <c r="A8" s="3136" t="s">
        <v>2127</v>
      </c>
      <c r="B8" s="3060">
        <v>15</v>
      </c>
      <c r="C8" s="3166"/>
      <c r="D8" s="3154"/>
      <c r="E8" s="140" t="s">
        <v>2128</v>
      </c>
      <c r="F8" s="2420"/>
      <c r="G8" s="2420"/>
      <c r="H8" s="2420"/>
      <c r="I8" s="1822"/>
    </row>
    <row r="9" spans="1:12" ht="12.75">
      <c r="A9" s="3136"/>
      <c r="B9" s="3060"/>
      <c r="C9" s="3167"/>
      <c r="D9" s="3154"/>
      <c r="E9" s="140" t="s">
        <v>2129</v>
      </c>
      <c r="F9" s="2420"/>
      <c r="G9" s="2420"/>
      <c r="H9" s="2420"/>
      <c r="I9" s="1822"/>
    </row>
    <row r="10" spans="1:12" ht="12.75">
      <c r="A10" s="3136" t="s">
        <v>2130</v>
      </c>
      <c r="B10" s="3060">
        <v>15</v>
      </c>
      <c r="C10" s="3166"/>
      <c r="D10" s="3154"/>
      <c r="E10" s="140" t="s">
        <v>2131</v>
      </c>
      <c r="F10" s="2420"/>
      <c r="G10" s="2420"/>
      <c r="H10" s="2420"/>
      <c r="I10" s="1822"/>
    </row>
    <row r="11" spans="1:12" ht="12.75">
      <c r="A11" s="3136"/>
      <c r="B11" s="3060"/>
      <c r="C11" s="3167"/>
      <c r="D11" s="3154"/>
      <c r="E11" s="140" t="s">
        <v>2132</v>
      </c>
      <c r="F11" s="2420"/>
      <c r="G11" s="2420"/>
      <c r="H11" s="2420"/>
      <c r="I11" s="1822"/>
    </row>
    <row r="12" spans="1:12" ht="12.75">
      <c r="A12" s="3136" t="s">
        <v>2133</v>
      </c>
      <c r="B12" s="3060">
        <v>15</v>
      </c>
      <c r="C12" s="3166"/>
      <c r="D12" s="3154"/>
      <c r="E12" s="140" t="s">
        <v>2134</v>
      </c>
      <c r="F12" s="2420"/>
      <c r="G12" s="2420"/>
      <c r="H12" s="2420"/>
      <c r="I12" s="1822"/>
    </row>
    <row r="13" spans="1:12" ht="12.75">
      <c r="A13" s="3136"/>
      <c r="B13" s="3060"/>
      <c r="C13" s="3167"/>
      <c r="D13" s="3154"/>
      <c r="E13" s="140" t="s">
        <v>2135</v>
      </c>
      <c r="F13" s="2420"/>
      <c r="G13" s="2420"/>
      <c r="H13" s="2420"/>
      <c r="I13" s="1822"/>
    </row>
    <row r="14" spans="1:12" ht="12.75">
      <c r="A14" s="3136" t="s">
        <v>2136</v>
      </c>
      <c r="B14" s="3060">
        <v>30</v>
      </c>
      <c r="C14" s="3166">
        <v>5</v>
      </c>
      <c r="D14" s="3154">
        <v>5</v>
      </c>
      <c r="E14" s="140" t="s">
        <v>2137</v>
      </c>
      <c r="F14" s="2420"/>
      <c r="G14" s="2420"/>
      <c r="H14" s="2420"/>
      <c r="I14" s="1822"/>
    </row>
    <row r="15" spans="1:12" ht="12.75">
      <c r="A15" s="3136"/>
      <c r="B15" s="3060"/>
      <c r="C15" s="3168"/>
      <c r="D15" s="3154"/>
      <c r="E15" s="140" t="s">
        <v>2138</v>
      </c>
      <c r="F15" s="2420"/>
      <c r="G15" s="2420"/>
      <c r="H15" s="2420"/>
      <c r="I15" s="1822"/>
    </row>
    <row r="16" spans="1:12" ht="12.75">
      <c r="A16" s="3136"/>
      <c r="B16" s="3060"/>
      <c r="C16" s="3167"/>
      <c r="D16" s="3154"/>
      <c r="E16" s="140" t="s">
        <v>2139</v>
      </c>
      <c r="F16" s="2420"/>
      <c r="G16" s="2420"/>
      <c r="H16" s="2420"/>
      <c r="I16" s="1822"/>
    </row>
    <row r="17" spans="1:35" ht="15">
      <c r="A17" s="2421" t="s">
        <v>2140</v>
      </c>
      <c r="B17" s="64"/>
      <c r="C17" s="141">
        <f>SUM(C5:C16)</f>
        <v>5</v>
      </c>
      <c r="D17" s="141">
        <f>SUM(D5:D16)</f>
        <v>5</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1724.67</v>
      </c>
      <c r="M18" s="2419">
        <f>IF(C1="",'数据-汇总表'!E3,SUMIF(项目类型,C1,'数据-汇总表'!E17:E26))</f>
        <v>1724.67</v>
      </c>
    </row>
    <row r="19" spans="1:35" ht="15">
      <c r="A19" s="2425" t="s">
        <v>2145</v>
      </c>
      <c r="B19" s="2426" t="s">
        <v>2146</v>
      </c>
      <c r="C19" s="143">
        <f ca="1">SUMIF(INDIRECT("'"&amp;C4&amp;"'"&amp;"!A:A"),结果表!B19,INDIRECT("'"&amp;C4&amp;"'"&amp;"!B:B"))</f>
        <v>5659</v>
      </c>
      <c r="D19" s="144">
        <f ca="1">SUMIF(INDIRECT("'"&amp;D4&amp;"'"&amp;"!A:A"),结果表!B19,INDIRECT("'"&amp;D4&amp;"'"&amp;"!B:B"))</f>
        <v>4586</v>
      </c>
      <c r="E19" s="2425" t="s">
        <v>2147</v>
      </c>
      <c r="F19" s="2426" t="s">
        <v>2146</v>
      </c>
      <c r="G19" s="145">
        <f ca="1">ROUND(C19*$C$18+D19*$D$18,0)</f>
        <v>5123</v>
      </c>
      <c r="H19" s="2427" t="s">
        <v>2148</v>
      </c>
      <c r="I19" s="138"/>
      <c r="K19" s="2419" t="s">
        <v>2149</v>
      </c>
      <c r="L19" s="2419">
        <f>IF(C1="",'数据-汇总表'!D3,SUMIF(项目类型,C1,'数据-汇总表'!D17:D26)+SUMIF(项目类型,C1,'数据-汇总表'!H17:H27))</f>
        <v>0</v>
      </c>
      <c r="M19" s="2419">
        <f>IF(C1="",'数据-汇总表'!D3,SUMIF(项目类型,C1,'数据-汇总表'!D17:D26))</f>
        <v>0</v>
      </c>
    </row>
    <row r="20" spans="1:35" ht="15">
      <c r="A20" s="2428"/>
      <c r="B20" s="1247" t="s">
        <v>2150</v>
      </c>
      <c r="C20" s="146">
        <f ca="1">SUMIF(INDIRECT("'"&amp;C4&amp;"'"&amp;"!A:A"),结果表!B20,INDIRECT("'"&amp;C4&amp;"'"&amp;"!B:B"))</f>
        <v>44470</v>
      </c>
      <c r="D20" s="147">
        <f ca="1">SUMIF(INDIRECT("'"&amp;D4&amp;"'"&amp;"!A:A"),结果表!B20,INDIRECT("'"&amp;D4&amp;"'"&amp;"!B:B"))</f>
        <v>36038</v>
      </c>
      <c r="E20" s="2428"/>
      <c r="F20" s="1247" t="s">
        <v>2150</v>
      </c>
      <c r="G20" s="148">
        <f ca="1">ROUND(C20*$C$18+D20*$D$18,0)</f>
        <v>40254</v>
      </c>
      <c r="H20" s="980" t="s">
        <v>2151</v>
      </c>
      <c r="I20" s="138"/>
    </row>
    <row r="21" spans="1:35" ht="15" customHeight="1" thickBot="1">
      <c r="A21" s="1000"/>
      <c r="B21" s="2429" t="s">
        <v>2152</v>
      </c>
      <c r="C21" s="789" t="e">
        <f ca="1">ROUND(C19*10000/L19,0)</f>
        <v>#DIV/0!</v>
      </c>
      <c r="D21" s="790" t="e">
        <f ca="1">ROUND(D19*10000/L19,0)</f>
        <v>#DIV/0!</v>
      </c>
      <c r="E21" s="1000"/>
      <c r="F21" s="2429" t="s">
        <v>2152</v>
      </c>
      <c r="G21" s="149" t="e">
        <f ca="1">ROUND(G19*10000/L19,0)</f>
        <v>#DIV/0!</v>
      </c>
      <c r="H21" s="2430" t="s">
        <v>2151</v>
      </c>
      <c r="I21" s="138"/>
    </row>
    <row r="22" spans="1:35" ht="15" thickBot="1">
      <c r="A22" s="2272" t="s">
        <v>2153</v>
      </c>
      <c r="B22" s="2431"/>
      <c r="C22" s="2432"/>
      <c r="D22" s="791">
        <f ca="1">IF(C19&lt;D19,D19/C19-1,C19/D19-1)</f>
        <v>0.23397296118621891</v>
      </c>
      <c r="E22" s="138"/>
      <c r="F22" s="138"/>
      <c r="G22" s="138"/>
      <c r="H22" s="138"/>
      <c r="I22" s="138"/>
    </row>
    <row r="23" spans="1:35" ht="13.5" thickBot="1">
      <c r="A23" s="2409"/>
      <c r="B23" s="2409"/>
      <c r="C23" s="2409"/>
      <c r="D23" s="2409"/>
      <c r="E23" s="138"/>
      <c r="F23" s="138"/>
      <c r="G23" s="138"/>
      <c r="H23" s="138"/>
      <c r="I23" s="138"/>
    </row>
    <row r="24" spans="1:35" ht="14.25">
      <c r="A24" s="3175" t="s">
        <v>2154</v>
      </c>
      <c r="B24" s="2426" t="s">
        <v>2146</v>
      </c>
      <c r="C24" s="145">
        <f>IF(B30=0,0,D30)</f>
        <v>0</v>
      </c>
      <c r="D24" s="2433"/>
      <c r="E24" s="138"/>
      <c r="F24" s="138"/>
      <c r="G24" s="138"/>
      <c r="H24" s="138"/>
      <c r="I24" s="138"/>
    </row>
    <row r="25" spans="1:35" ht="14.25">
      <c r="A25" s="3176"/>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8" t="s">
        <v>3032</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5123</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155" t="s">
        <v>2168</v>
      </c>
      <c r="B36" s="2452" t="s">
        <v>2169</v>
      </c>
      <c r="C36" s="154"/>
      <c r="D36" s="2453"/>
      <c r="E36" s="2454"/>
      <c r="F36" s="2455"/>
      <c r="G36" s="138"/>
      <c r="H36" s="138"/>
      <c r="I36" s="138"/>
    </row>
    <row r="37" spans="1:15" ht="15.75" thickBot="1">
      <c r="A37" s="3156"/>
      <c r="B37" s="2258" t="s">
        <v>2170</v>
      </c>
      <c r="C37" s="156"/>
      <c r="D37" s="1392"/>
      <c r="E37" s="1392"/>
      <c r="F37" s="2455"/>
      <c r="G37" s="138"/>
      <c r="H37" s="138"/>
      <c r="I37" s="138"/>
    </row>
    <row r="38" spans="1:15" ht="15.75" thickBot="1">
      <c r="A38" s="3157"/>
      <c r="B38" s="2456" t="s">
        <v>2171</v>
      </c>
      <c r="C38" s="727"/>
      <c r="D38" s="2457" t="s">
        <v>2172</v>
      </c>
      <c r="E38" s="1392"/>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72" t="s">
        <v>2182</v>
      </c>
      <c r="B45" s="3173"/>
      <c r="C45" s="3174"/>
      <c r="D45" s="164">
        <f ca="1">ROUND(H101*F45,0)</f>
        <v>5123</v>
      </c>
      <c r="E45" s="165" t="s">
        <v>2183</v>
      </c>
      <c r="F45" s="166">
        <v>1</v>
      </c>
      <c r="G45" s="167" t="s">
        <v>2184</v>
      </c>
      <c r="H45" s="138"/>
      <c r="I45" s="138"/>
      <c r="J45" s="3089" t="s">
        <v>2185</v>
      </c>
      <c r="K45" s="3089"/>
      <c r="L45" s="3089"/>
      <c r="M45" s="3089"/>
      <c r="N45" s="3089"/>
      <c r="O45" s="3089"/>
    </row>
    <row r="46" spans="1:15" ht="14.25" customHeight="1">
      <c r="A46" s="3169" t="s">
        <v>2186</v>
      </c>
      <c r="B46" s="3170"/>
      <c r="C46" s="3170"/>
      <c r="D46" s="3170"/>
      <c r="E46" s="3170"/>
      <c r="F46" s="3170"/>
      <c r="G46" s="3171"/>
      <c r="H46" s="2471"/>
      <c r="I46" s="168"/>
      <c r="J46" s="1800">
        <v>1</v>
      </c>
      <c r="K46" s="3089" t="s">
        <v>2187</v>
      </c>
      <c r="L46" s="3089"/>
      <c r="M46" s="3090"/>
      <c r="N46" s="3090"/>
      <c r="O46" s="3090"/>
    </row>
    <row r="47" spans="1:15" ht="12" customHeight="1">
      <c r="A47" s="169" t="s">
        <v>2188</v>
      </c>
      <c r="B47" s="170"/>
      <c r="C47" s="171"/>
      <c r="D47" s="172" t="s">
        <v>2189</v>
      </c>
      <c r="E47" s="24" t="s">
        <v>2190</v>
      </c>
      <c r="F47" s="173" t="s">
        <v>2191</v>
      </c>
      <c r="G47" s="174" t="s">
        <v>2192</v>
      </c>
      <c r="H47" s="2471"/>
      <c r="I47" s="168"/>
      <c r="J47" s="1800">
        <v>2</v>
      </c>
      <c r="K47" s="3089" t="s">
        <v>2193</v>
      </c>
      <c r="L47" s="3089"/>
      <c r="M47" s="3091">
        <f>'数据-取费表'!B2</f>
        <v>44020</v>
      </c>
      <c r="N47" s="3091"/>
      <c r="O47" s="3091"/>
    </row>
    <row r="48" spans="1:15" ht="25.5">
      <c r="A48" s="3159" t="s">
        <v>2194</v>
      </c>
      <c r="B48" s="3160"/>
      <c r="C48" s="3160"/>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089" t="s">
        <v>2197</v>
      </c>
      <c r="L48" s="3089"/>
      <c r="M48" s="3092">
        <f ca="1">H101</f>
        <v>5123</v>
      </c>
      <c r="N48" s="3092"/>
      <c r="O48" s="3092"/>
    </row>
    <row r="49" spans="1:35" ht="25.5" customHeight="1">
      <c r="A49" s="176" t="s">
        <v>2198</v>
      </c>
      <c r="B49" s="3139" t="s">
        <v>2199</v>
      </c>
      <c r="C49" s="3139"/>
      <c r="D49" s="177">
        <v>0</v>
      </c>
      <c r="E49" s="23" t="s">
        <v>2200</v>
      </c>
      <c r="F49" s="28" t="s">
        <v>34</v>
      </c>
      <c r="G49" s="3120"/>
      <c r="H49" s="138"/>
      <c r="I49" s="2474"/>
      <c r="J49" s="1800">
        <v>4</v>
      </c>
      <c r="K49" s="3089" t="str">
        <f>IF(项目基本情况!E8="房地产抵押价值","房地产抵押价值","抵押担保权已注销时的房地产抵押价值")</f>
        <v>房地产抵押价值</v>
      </c>
      <c r="L49" s="3089"/>
      <c r="M49" s="3092">
        <f ca="1">IF(项目基本情况!E8="房地产抵押价值",H107,H109)</f>
        <v>5123</v>
      </c>
      <c r="N49" s="3092"/>
      <c r="O49" s="3092"/>
    </row>
    <row r="50" spans="1:35" ht="25.5" customHeight="1">
      <c r="A50" s="178"/>
      <c r="B50" s="3139" t="s">
        <v>2201</v>
      </c>
      <c r="C50" s="3139"/>
      <c r="D50" s="179"/>
      <c r="E50" s="31"/>
      <c r="F50" s="180"/>
      <c r="G50" s="3121"/>
      <c r="H50" s="138"/>
      <c r="I50" s="2474"/>
      <c r="J50" s="3089" t="s">
        <v>2202</v>
      </c>
      <c r="K50" s="3089"/>
      <c r="L50" s="3089"/>
      <c r="M50" s="3089"/>
      <c r="N50" s="3089"/>
      <c r="O50" s="3089"/>
    </row>
    <row r="51" spans="1:35" ht="12" customHeight="1">
      <c r="A51" s="181"/>
      <c r="B51" s="3139" t="s">
        <v>2203</v>
      </c>
      <c r="C51" s="3139"/>
      <c r="D51" s="182"/>
      <c r="E51" s="30"/>
      <c r="F51" s="180"/>
      <c r="G51" s="3122"/>
      <c r="H51" s="138"/>
      <c r="I51" s="2474"/>
      <c r="J51" s="2475" t="s">
        <v>2204</v>
      </c>
      <c r="K51" s="3089" t="s">
        <v>2205</v>
      </c>
      <c r="L51" s="3089"/>
      <c r="M51" s="2475" t="s">
        <v>2206</v>
      </c>
      <c r="N51" s="2475" t="s">
        <v>2207</v>
      </c>
      <c r="O51" s="2475" t="s">
        <v>2208</v>
      </c>
    </row>
    <row r="52" spans="1:35" ht="24" customHeight="1">
      <c r="A52" s="183" t="s">
        <v>2209</v>
      </c>
      <c r="B52" s="3139" t="s">
        <v>2210</v>
      </c>
      <c r="C52" s="3139"/>
      <c r="D52" s="182">
        <f ca="1">ROUND(D45*'数据-取费表'!B41/(1+'数据-取费表'!C42),0)</f>
        <v>273</v>
      </c>
      <c r="E52" s="11" t="s">
        <v>2211</v>
      </c>
      <c r="F52" s="184">
        <f>'数据-取费表'!B41</f>
        <v>5.6000000000000001E-2</v>
      </c>
      <c r="G52" s="2476"/>
      <c r="H52" s="138"/>
      <c r="I52" s="2474"/>
      <c r="J52" s="1800">
        <v>1</v>
      </c>
      <c r="K52" s="3114" t="s">
        <v>2212</v>
      </c>
      <c r="L52" s="3114"/>
      <c r="M52" s="1742">
        <f>D48</f>
        <v>0</v>
      </c>
      <c r="N52" s="1800" t="str">
        <f>E48</f>
        <v>销售额×税（费）率</v>
      </c>
      <c r="O52" s="1743" t="str">
        <f>F48</f>
        <v>免征</v>
      </c>
    </row>
    <row r="53" spans="1:35" ht="12" customHeight="1">
      <c r="A53" s="183" t="s">
        <v>2213</v>
      </c>
      <c r="B53" s="3140" t="s">
        <v>2214</v>
      </c>
      <c r="C53" s="3141"/>
      <c r="D53" s="182">
        <f ca="1">ROUND(D45*'数据-取费表'!B41/(1+'数据-取费表'!C42),0)</f>
        <v>273</v>
      </c>
      <c r="E53" s="11" t="s">
        <v>2211</v>
      </c>
      <c r="F53" s="184">
        <f>'数据-取费表'!B41</f>
        <v>5.6000000000000001E-2</v>
      </c>
      <c r="G53" s="2476"/>
      <c r="H53" s="138"/>
      <c r="I53" s="2474"/>
      <c r="J53" s="1800">
        <v>2</v>
      </c>
      <c r="K53" s="3114" t="s">
        <v>2215</v>
      </c>
      <c r="L53" s="3114"/>
      <c r="M53" s="1742">
        <f t="shared" ref="M53:O54" ca="1" si="0">D55</f>
        <v>3</v>
      </c>
      <c r="N53" s="1800" t="str">
        <f t="shared" si="0"/>
        <v>销售额×税（费）率</v>
      </c>
      <c r="O53" s="1743">
        <f t="shared" si="0"/>
        <v>5.0000000000000001E-4</v>
      </c>
    </row>
    <row r="54" spans="1:35" ht="12" customHeight="1">
      <c r="A54" s="183" t="s">
        <v>2216</v>
      </c>
      <c r="B54" s="3140" t="s">
        <v>2217</v>
      </c>
      <c r="C54" s="3141"/>
      <c r="D54" s="182">
        <f ca="1">C68</f>
        <v>273</v>
      </c>
      <c r="E54" s="30" t="s">
        <v>2218</v>
      </c>
      <c r="F54" s="184">
        <f>'数据-取费表'!B41</f>
        <v>5.6000000000000001E-2</v>
      </c>
      <c r="G54" s="2476"/>
      <c r="H54" s="2477"/>
      <c r="I54" s="2474"/>
      <c r="J54" s="1800">
        <v>3</v>
      </c>
      <c r="K54" s="3114" t="s">
        <v>2219</v>
      </c>
      <c r="L54" s="3114"/>
      <c r="M54" s="1742">
        <f t="shared" ca="1" si="0"/>
        <v>2900</v>
      </c>
      <c r="N54" s="1800" t="str">
        <f t="shared" si="0"/>
        <v>增值额×税（费）率</v>
      </c>
      <c r="O54" s="1744" t="str">
        <f t="shared" si="0"/>
        <v>——</v>
      </c>
    </row>
    <row r="55" spans="1:35" ht="24" customHeight="1">
      <c r="A55" s="3178" t="s">
        <v>2220</v>
      </c>
      <c r="B55" s="3160"/>
      <c r="C55" s="3160"/>
      <c r="D55" s="185">
        <f ca="1">IF(H55="个人住宅",0,ROUND(D45*I55,0))</f>
        <v>3</v>
      </c>
      <c r="E55" s="11" t="s">
        <v>2221</v>
      </c>
      <c r="F55" s="184">
        <f>IF(H55="正常",I55,"免征")</f>
        <v>5.0000000000000001E-4</v>
      </c>
      <c r="G55" s="2476"/>
      <c r="H55" s="2473" t="s">
        <v>2222</v>
      </c>
      <c r="I55" s="186">
        <f>'数据-取费表'!B49</f>
        <v>5.0000000000000001E-4</v>
      </c>
      <c r="J55" s="1800" t="str">
        <f>IF(H59="非个人房产","",4)</f>
        <v/>
      </c>
      <c r="K55" s="3114" t="str">
        <f>IF(H59="非个人房产","——","个人所得税")</f>
        <v>——</v>
      </c>
      <c r="L55" s="3114"/>
      <c r="M55" s="1745" t="str">
        <f>D59</f>
        <v>——</v>
      </c>
      <c r="N55" s="1798" t="str">
        <f>E59</f>
        <v>——</v>
      </c>
      <c r="O55" s="1746" t="str">
        <f>F59</f>
        <v>——</v>
      </c>
    </row>
    <row r="56" spans="1:35" ht="24.75">
      <c r="A56" s="3178" t="s">
        <v>2223</v>
      </c>
      <c r="B56" s="3160"/>
      <c r="C56" s="3160"/>
      <c r="D56" s="185">
        <f ca="1">IF(H56="个人住宅",D57,D58)</f>
        <v>2900</v>
      </c>
      <c r="E56" s="11" t="s">
        <v>2224</v>
      </c>
      <c r="F56" s="184" t="str">
        <f>IF(H56="正常",F58,"免征")</f>
        <v>——</v>
      </c>
      <c r="G56" s="2478" t="s">
        <v>2225</v>
      </c>
      <c r="H56" s="2479" t="s">
        <v>2222</v>
      </c>
      <c r="I56" s="2480"/>
      <c r="J56" s="1800" t="str">
        <f>IF(项目基本情况!K6="上海银行",IF(J55="",4,J55+1),"")</f>
        <v/>
      </c>
      <c r="K56" s="3095" t="str">
        <f>IF(项目基本情况!K6="上海银行","其他处置费用","")</f>
        <v/>
      </c>
      <c r="L56" s="3096"/>
      <c r="M56" s="1742" t="str">
        <f>IF(项目基本情况!K6="上海银行",M69,"")</f>
        <v/>
      </c>
      <c r="N56" s="3098" t="str">
        <f>IF(项目基本情况!K6="上海银行","包含处置中涉及的律师、诉讼、拍卖、评估等费用","")</f>
        <v/>
      </c>
      <c r="O56" s="3099"/>
    </row>
    <row r="57" spans="1:35" ht="12.75">
      <c r="A57" s="183" t="s">
        <v>2198</v>
      </c>
      <c r="B57" s="3145" t="s">
        <v>2226</v>
      </c>
      <c r="C57" s="3146"/>
      <c r="D57" s="187">
        <v>0</v>
      </c>
      <c r="E57" s="23" t="s">
        <v>2200</v>
      </c>
      <c r="F57" s="155"/>
      <c r="G57" s="2476"/>
      <c r="H57" s="2480"/>
      <c r="I57" s="2480"/>
      <c r="J57" s="3114">
        <f>IF(AND(J55="",J56=""),4,IF(项目基本情况!K6="上海银行",结果表!J56+1,结果表!J55+1))</f>
        <v>4</v>
      </c>
      <c r="K57" s="3114" t="s">
        <v>2227</v>
      </c>
      <c r="L57" s="2481" t="s">
        <v>2228</v>
      </c>
      <c r="M57" s="1747"/>
      <c r="N57" s="1748">
        <f ca="1">SUMIF(M52:M56,"&lt;9e307")</f>
        <v>2903</v>
      </c>
      <c r="O57" s="2482"/>
      <c r="P57" s="1741">
        <f ca="1">N57/M49</f>
        <v>0.56666016006246345</v>
      </c>
    </row>
    <row r="58" spans="1:35" ht="24.75">
      <c r="A58" s="183" t="s">
        <v>2209</v>
      </c>
      <c r="B58" s="3145" t="s">
        <v>2229</v>
      </c>
      <c r="C58" s="3158"/>
      <c r="D58" s="185">
        <f ca="1">IF(H58="转让取得",C81,C97)</f>
        <v>2900</v>
      </c>
      <c r="E58" s="11" t="s">
        <v>2224</v>
      </c>
      <c r="F58" s="24" t="s">
        <v>34</v>
      </c>
      <c r="G58" s="2476"/>
      <c r="H58" s="2479" t="s">
        <v>2230</v>
      </c>
      <c r="I58" s="2480"/>
      <c r="J58" s="3114"/>
      <c r="K58" s="3114"/>
      <c r="L58" s="2481" t="s">
        <v>2231</v>
      </c>
      <c r="M58" s="1749"/>
      <c r="N58" s="2483" t="str">
        <f ca="1">NUMBERSTRING(INT(N57*10000),2)&amp;"元整"</f>
        <v>贰仟玖佰零叁万元整</v>
      </c>
      <c r="O58" s="2484"/>
    </row>
    <row r="59" spans="1:35" ht="24.75" thickBot="1">
      <c r="A59" s="3118" t="s">
        <v>2232</v>
      </c>
      <c r="B59" s="3119"/>
      <c r="C59" s="3119"/>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16">
        <f>J57+1</f>
        <v>5</v>
      </c>
      <c r="K59" s="3114" t="s">
        <v>2234</v>
      </c>
      <c r="L59" s="1800" t="s">
        <v>2228</v>
      </c>
      <c r="M59" s="1750"/>
      <c r="N59" s="1751">
        <f ca="1">M49-N57</f>
        <v>2220</v>
      </c>
      <c r="O59" s="2486"/>
    </row>
    <row r="60" spans="1:35" ht="12" customHeight="1">
      <c r="A60" s="2487"/>
      <c r="B60" s="2409"/>
      <c r="C60" s="2409"/>
      <c r="D60" s="2409"/>
      <c r="E60" s="2157"/>
      <c r="F60" s="2480"/>
      <c r="G60" s="2480"/>
      <c r="H60" s="2488"/>
      <c r="I60" s="138"/>
      <c r="J60" s="3117"/>
      <c r="K60" s="3114"/>
      <c r="L60" s="2481" t="s">
        <v>2231</v>
      </c>
      <c r="M60" s="1749"/>
      <c r="N60" s="2483" t="str">
        <f ca="1">NUMBERSTRING(INT(N59*10000),2)&amp;"元整"</f>
        <v>贰仟贰佰贰拾万元整</v>
      </c>
      <c r="O60" s="2484"/>
    </row>
    <row r="61" spans="1:35" ht="13.5" thickBot="1">
      <c r="A61" s="3177" t="s">
        <v>2235</v>
      </c>
      <c r="B61" s="3177"/>
      <c r="C61" s="3177"/>
      <c r="D61" s="3177"/>
      <c r="E61" s="3177"/>
      <c r="F61" s="2480"/>
      <c r="G61" s="2480"/>
      <c r="H61" s="2488"/>
      <c r="I61" s="138"/>
      <c r="J61" s="1800">
        <f>J59+1</f>
        <v>6</v>
      </c>
      <c r="K61" s="3114" t="s">
        <v>2236</v>
      </c>
      <c r="L61" s="3114"/>
      <c r="M61" s="1752"/>
      <c r="N61" s="1753">
        <f ca="1">ROUND(N59*10000/'数据-汇总表'!E3,0)</f>
        <v>12872</v>
      </c>
      <c r="O61" s="2489"/>
    </row>
    <row r="62" spans="1:35" ht="12.75">
      <c r="A62" s="3134" t="s">
        <v>2237</v>
      </c>
      <c r="B62" s="3135"/>
      <c r="C62" s="1792"/>
      <c r="D62" s="1792" t="s">
        <v>2238</v>
      </c>
      <c r="E62" s="192" t="s">
        <v>2239</v>
      </c>
      <c r="F62" s="2480"/>
      <c r="G62" s="2480"/>
      <c r="H62" s="2488"/>
      <c r="I62" s="138"/>
    </row>
    <row r="63" spans="1:35" ht="12.75">
      <c r="A63" s="203" t="s">
        <v>775</v>
      </c>
      <c r="B63" s="193" t="s">
        <v>2240</v>
      </c>
      <c r="C63" s="194">
        <f ca="1">ROUND((C64+C65)/(1+'数据-取费表'!C42),0)</f>
        <v>4879</v>
      </c>
      <c r="D63" s="195"/>
      <c r="E63" s="196"/>
      <c r="F63" s="2480"/>
      <c r="G63" s="2480"/>
      <c r="H63" s="2488"/>
      <c r="I63" s="138"/>
      <c r="J63" s="3097" t="s">
        <v>2241</v>
      </c>
      <c r="K63" s="2490" t="s">
        <v>2242</v>
      </c>
      <c r="L63" s="1740">
        <f ca="1">IF(M49&gt;10000,M49*0.5%,IF(AND(M49&gt;1000,M49&lt;=10000),M49*1%,IF(AND(M49&gt;100,M49&lt;=1000),M49*3%,IF(AND(M49&gt;10,M49&lt;=100),M49*5%,M49*8%))))</f>
        <v>51.230000000000004</v>
      </c>
      <c r="M63" s="24">
        <f ca="1">ROUND(L63,1)</f>
        <v>51.2</v>
      </c>
      <c r="Z63" s="2414"/>
      <c r="AI63" s="2415"/>
    </row>
    <row r="64" spans="1:35" ht="14.25" customHeight="1">
      <c r="A64" s="197" t="s">
        <v>770</v>
      </c>
      <c r="B64" s="198" t="s">
        <v>2243</v>
      </c>
      <c r="C64" s="199">
        <f ca="1">D45</f>
        <v>5123</v>
      </c>
      <c r="D64" s="200" t="s">
        <v>32</v>
      </c>
      <c r="E64" s="201"/>
      <c r="F64" s="2480"/>
      <c r="G64" s="2480"/>
      <c r="H64" s="2488"/>
      <c r="I64" s="138"/>
      <c r="J64" s="3097"/>
      <c r="K64" s="2490" t="s">
        <v>2244</v>
      </c>
      <c r="L64" s="1740">
        <f ca="1">IF(M49&gt;2000,M49*0.5%,IF(AND(M49&gt;1000,M49&lt;=2000),M49*0.6%,IF(AND(M49&gt;500,M49&lt;=1000),M49*0.7%,IF(AND(M49&gt;200,M49&lt;=500),M49*0.8%,IF(AND(M49&gt;100,M49&lt;=200),M49*0.9%,IF(AND(M49&gt;50,M49&lt;=100),M49*1%,IF(AND(M49&gt;20,M49&lt;=50),M49*1.5%,IF(AND(M49&gt;10,M49&lt;=20),M49*2%,IF(AND(M49&gt;1,M49&lt;=10),M49*2.5%)))))))))</f>
        <v>25.615000000000002</v>
      </c>
      <c r="M64" s="24">
        <f t="shared" ref="M64:M65" ca="1" si="1">ROUND(L64,1)</f>
        <v>25.6</v>
      </c>
      <c r="N64" s="138" t="s">
        <v>2245</v>
      </c>
      <c r="Z64" s="2414"/>
      <c r="AI64" s="2415"/>
    </row>
    <row r="65" spans="1:35" ht="14.25" customHeight="1">
      <c r="A65" s="197" t="s">
        <v>771</v>
      </c>
      <c r="B65" s="198" t="s">
        <v>2246</v>
      </c>
      <c r="C65" s="202"/>
      <c r="D65" s="200"/>
      <c r="E65" s="201"/>
      <c r="F65" s="2480"/>
      <c r="G65" s="2480"/>
      <c r="H65" s="2488"/>
      <c r="I65" s="138"/>
      <c r="J65" s="3097"/>
      <c r="K65" s="2490" t="s">
        <v>2247</v>
      </c>
      <c r="L65" s="1740">
        <f ca="1">IF(M49&gt;1000,M49*0.1%,IF(AND(M49&gt;500,M49&lt;=1000),M49*0.5%,IF(AND(M49&gt;50,M49&lt;=500),M49*1%,IF(AND(M49&gt;1,M49&lt;=50),M49*1.5%))))</f>
        <v>5.1230000000000002</v>
      </c>
      <c r="M65" s="24">
        <f t="shared" ca="1" si="1"/>
        <v>5.0999999999999996</v>
      </c>
      <c r="N65" s="138" t="s">
        <v>2245</v>
      </c>
      <c r="Z65" s="2414"/>
      <c r="AI65" s="2415"/>
    </row>
    <row r="66" spans="1:35" ht="14.25" customHeight="1">
      <c r="A66" s="203" t="s">
        <v>772</v>
      </c>
      <c r="B66" s="204" t="s">
        <v>2248</v>
      </c>
      <c r="C66" s="205"/>
      <c r="D66" s="206" t="s">
        <v>32</v>
      </c>
      <c r="E66" s="1764" t="s">
        <v>1366</v>
      </c>
      <c r="F66" s="2480"/>
      <c r="G66" s="2480"/>
      <c r="H66" s="2488"/>
      <c r="I66" s="138"/>
      <c r="J66" s="3097"/>
      <c r="K66" s="2490" t="s">
        <v>2249</v>
      </c>
      <c r="L66" s="1740">
        <f ca="1">M49*0.5%</f>
        <v>25.615000000000002</v>
      </c>
      <c r="M66" s="24">
        <f ca="1">IF(L66&gt;0.5,0.5,ROUND(L66,0))</f>
        <v>0.5</v>
      </c>
      <c r="N66" s="138" t="s">
        <v>2250</v>
      </c>
      <c r="Z66" s="2414"/>
      <c r="AI66" s="2415"/>
    </row>
    <row r="67" spans="1:35" ht="14.25" customHeight="1">
      <c r="A67" s="203" t="s">
        <v>773</v>
      </c>
      <c r="B67" s="204" t="s">
        <v>2251</v>
      </c>
      <c r="C67" s="207">
        <f ca="1">C63-C66</f>
        <v>4879</v>
      </c>
      <c r="D67" s="200" t="s">
        <v>32</v>
      </c>
      <c r="E67" s="201"/>
      <c r="F67" s="2480"/>
      <c r="G67" s="2480"/>
      <c r="H67" s="2488"/>
      <c r="I67" s="138"/>
      <c r="J67" s="3097"/>
      <c r="K67" s="2490" t="s">
        <v>2252</v>
      </c>
      <c r="L67" s="1740">
        <f ca="1">IF(M49&gt;=10000,(8.25+(M49-10000)*0.01%),IF(AND(M49&gt;=8000,M49&lt;10000),(7.85+(M49-8000)*0.02%),IF(AND(M49&gt;=5000,M49&lt;8000),(6.65+(M49-5000)*0.04%),IF(AND(M49&gt;=2000,M49&lt;5000),(4.25+(PM49-2000)*0.08%),IF(AND(M49&gt;=1000,M49&lt;2000),(2.75+(M49-1000)*0.15%),IF(AND(M49&gt;=100,M49&lt;1000),(0.5+(M49-100)*0.25%),IF(AND(M49&gt;0,M49&lt;100),M49*0.5%)))))))</f>
        <v>6.6992000000000003</v>
      </c>
      <c r="M67" s="24">
        <f ca="1">ROUND(L67*0.9,1)</f>
        <v>6</v>
      </c>
      <c r="Z67" s="2414"/>
      <c r="AI67" s="2415"/>
    </row>
    <row r="68" spans="1:35" ht="14.25" customHeight="1" thickBot="1">
      <c r="A68" s="208" t="s">
        <v>774</v>
      </c>
      <c r="B68" s="209" t="s">
        <v>2253</v>
      </c>
      <c r="C68" s="210">
        <f ca="1">IF(C67&lt;=0,0,ROUND(C67*D68,0))</f>
        <v>273</v>
      </c>
      <c r="D68" s="211">
        <f>'数据-取费表'!B41</f>
        <v>5.6000000000000001E-2</v>
      </c>
      <c r="E68" s="212"/>
      <c r="F68" s="2480"/>
      <c r="G68" s="2480"/>
      <c r="H68" s="2488"/>
      <c r="I68" s="138"/>
      <c r="J68" s="3097"/>
      <c r="K68" s="2490" t="s">
        <v>2254</v>
      </c>
      <c r="L68" s="1740">
        <f ca="1">IF(M49&gt;10000,M49*0.5%,IF(AND(M49&gt;5000,M49&lt;=10000),M49*1%,IF(AND(M49&gt;1000,M49&lt;=5000),M49*2%,IF(AND(M49&gt;200,M49&lt;=1000),M49*3%,M49*5%))))</f>
        <v>51.230000000000004</v>
      </c>
      <c r="M68" s="24">
        <f ca="1">ROUND(L68,1)</f>
        <v>51.2</v>
      </c>
      <c r="Z68" s="2414"/>
      <c r="AI68" s="2415"/>
    </row>
    <row r="69" spans="1:35" s="2437" customFormat="1" ht="16.5" customHeight="1">
      <c r="A69" s="2491"/>
      <c r="B69" s="2492"/>
      <c r="C69" s="2493"/>
      <c r="D69" s="2494"/>
      <c r="E69" s="2495"/>
      <c r="F69" s="2157"/>
      <c r="G69" s="2157"/>
      <c r="H69" s="2156"/>
      <c r="I69" s="2409"/>
      <c r="J69" s="3097"/>
      <c r="K69" s="2490" t="s">
        <v>2255</v>
      </c>
      <c r="L69" s="2496"/>
      <c r="M69" s="24">
        <f ca="1">ROUND(SUM(M63:M68),0)</f>
        <v>140</v>
      </c>
      <c r="N69" s="1741">
        <f ca="1">M69/M49</f>
        <v>2.7327737653718525E-2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3" t="s">
        <v>2256</v>
      </c>
      <c r="B70" s="3144"/>
      <c r="C70" s="3144"/>
      <c r="D70" s="3144"/>
      <c r="E70" s="3144"/>
      <c r="F70" s="3144"/>
      <c r="G70" s="3144"/>
      <c r="H70" s="314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4" t="s">
        <v>2237</v>
      </c>
      <c r="B71" s="3135"/>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4879</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29</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40" t="s">
        <v>2265</v>
      </c>
      <c r="F76" s="3139"/>
      <c r="G76" s="3139"/>
      <c r="H76" s="314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29</v>
      </c>
      <c r="D78" s="226">
        <f>'数据-取费表'!B43</f>
        <v>6.000000000000001E-3</v>
      </c>
      <c r="E78" s="3131" t="s">
        <v>2270</v>
      </c>
      <c r="F78" s="3132"/>
      <c r="G78" s="3132"/>
      <c r="H78" s="313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4850</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167.24137931034483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2900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3" t="s">
        <v>2274</v>
      </c>
      <c r="B83" s="3144"/>
      <c r="C83" s="3144"/>
      <c r="D83" s="3144"/>
      <c r="E83" s="3144"/>
      <c r="F83" s="3144"/>
      <c r="G83" s="3144"/>
      <c r="H83" s="314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4" t="s">
        <v>2237</v>
      </c>
      <c r="B84" s="3135"/>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4879</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29</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8"/>
      <c r="G88" s="238" t="s">
        <v>2278</v>
      </c>
      <c r="H88" s="2508"/>
      <c r="I88" s="2503"/>
      <c r="J88" s="2958" t="s">
        <v>3055</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8"/>
      <c r="G90" s="3100" t="s">
        <v>3057</v>
      </c>
      <c r="H90" s="3101"/>
      <c r="I90" s="2503"/>
      <c r="J90" s="2958" t="s">
        <v>3056</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31" t="s">
        <v>2283</v>
      </c>
      <c r="F91" s="3132"/>
      <c r="G91" s="3132"/>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31" t="s">
        <v>2287</v>
      </c>
      <c r="F92" s="3132"/>
      <c r="G92" s="3132"/>
      <c r="H92" s="313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29</v>
      </c>
      <c r="D93" s="226">
        <f>'数据-取费表'!B43</f>
        <v>6.000000000000001E-3</v>
      </c>
      <c r="E93" s="3131" t="s">
        <v>2270</v>
      </c>
      <c r="F93" s="3132"/>
      <c r="G93" s="3132"/>
      <c r="H93" s="313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79" t="s">
        <v>2291</v>
      </c>
      <c r="F94" s="3180"/>
      <c r="G94" s="3180"/>
      <c r="H94" s="318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4850</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167.24137931034483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2900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1" t="s">
        <v>2293</v>
      </c>
      <c r="B100" s="3082"/>
      <c r="C100" s="3082"/>
      <c r="D100" s="3115"/>
      <c r="E100" s="3082" t="s">
        <v>2294</v>
      </c>
      <c r="F100" s="3082"/>
      <c r="G100" s="3082"/>
      <c r="H100" s="3115"/>
      <c r="I100" s="138"/>
    </row>
    <row r="101" spans="1:35" ht="18.75" customHeight="1">
      <c r="A101" s="3123" t="s">
        <v>2295</v>
      </c>
      <c r="B101" s="3124"/>
      <c r="C101" s="736" t="str">
        <f>C4</f>
        <v>比较法-办公</v>
      </c>
      <c r="D101" s="737" t="str">
        <f>D4</f>
        <v>收益法 (元)</v>
      </c>
      <c r="E101" s="3093" t="s">
        <v>2296</v>
      </c>
      <c r="F101" s="3094"/>
      <c r="G101" s="2511" t="s">
        <v>2297</v>
      </c>
      <c r="H101" s="1045">
        <f ca="1">H118</f>
        <v>5123</v>
      </c>
      <c r="I101" s="138"/>
    </row>
    <row r="102" spans="1:35" ht="18.75" customHeight="1">
      <c r="A102" s="3125" t="s">
        <v>2298</v>
      </c>
      <c r="B102" s="2511" t="s">
        <v>2297</v>
      </c>
      <c r="C102" s="736">
        <f ca="1">C19</f>
        <v>5659</v>
      </c>
      <c r="D102" s="737">
        <f ca="1">D19</f>
        <v>4586</v>
      </c>
      <c r="E102" s="3093"/>
      <c r="F102" s="3094"/>
      <c r="G102" s="2511" t="s">
        <v>2299</v>
      </c>
      <c r="H102" s="371">
        <f ca="1">I118</f>
        <v>29704</v>
      </c>
      <c r="I102" s="138"/>
    </row>
    <row r="103" spans="1:35" ht="42.75" customHeight="1">
      <c r="A103" s="3125"/>
      <c r="B103" s="2511" t="s">
        <v>2299</v>
      </c>
      <c r="C103" s="738">
        <f ca="1">C20</f>
        <v>44470</v>
      </c>
      <c r="D103" s="739">
        <f ca="1">D20</f>
        <v>36038</v>
      </c>
      <c r="E103" s="3087" t="s">
        <v>2300</v>
      </c>
      <c r="F103" s="3088"/>
      <c r="G103" s="2512" t="s">
        <v>2301</v>
      </c>
      <c r="H103" s="1045">
        <f>IF(D36="正常操作",H104+H105+H106,H105+H106)</f>
        <v>0</v>
      </c>
      <c r="I103" s="138"/>
    </row>
    <row r="104" spans="1:35" ht="18.75" customHeight="1">
      <c r="A104" s="3125" t="s">
        <v>2302</v>
      </c>
      <c r="B104" s="2513" t="s">
        <v>2297</v>
      </c>
      <c r="C104" s="740">
        <f ca="1">H118</f>
        <v>5123</v>
      </c>
      <c r="D104" s="741"/>
      <c r="E104" s="2258" t="s">
        <v>2303</v>
      </c>
      <c r="F104" s="2249"/>
      <c r="G104" s="2512" t="s">
        <v>2301</v>
      </c>
      <c r="H104" s="1046">
        <f>IF(D36="同一抵押权人同一抵押物续贷",C36&amp;"（未扣减，详见特别提示）",C36)</f>
        <v>0</v>
      </c>
      <c r="I104" s="138"/>
    </row>
    <row r="105" spans="1:35" ht="18.75" customHeight="1" thickBot="1">
      <c r="A105" s="3137"/>
      <c r="B105" s="2514" t="s">
        <v>2299</v>
      </c>
      <c r="C105" s="742">
        <f ca="1">I118</f>
        <v>29704</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26" t="str">
        <f>IF(项目基本情况!E8="已注销","——","3.房地产抵押价值")</f>
        <v>3.房地产抵押价值</v>
      </c>
      <c r="F107" s="3094"/>
      <c r="G107" s="2511" t="s">
        <v>2297</v>
      </c>
      <c r="H107" s="1045">
        <f ca="1">IF(E107="——","——",H101-H103)</f>
        <v>5123</v>
      </c>
      <c r="I107" s="138"/>
    </row>
    <row r="108" spans="1:35" ht="18.75" customHeight="1">
      <c r="A108" s="138"/>
      <c r="B108" s="138"/>
      <c r="C108" s="138"/>
      <c r="D108" s="138"/>
      <c r="E108" s="3126"/>
      <c r="F108" s="3094"/>
      <c r="G108" s="2511" t="s">
        <v>2299</v>
      </c>
      <c r="H108" s="371">
        <f ca="1">ROUND(H107*10000/'数据-汇总表'!E3,0)</f>
        <v>29704</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094"/>
      <c r="G109" s="2511" t="s">
        <v>2297</v>
      </c>
      <c r="H109" s="348" t="str">
        <f>IF(E109="——","——",H101-H105-H106)</f>
        <v>——</v>
      </c>
      <c r="I109" s="138"/>
    </row>
    <row r="110" spans="1:35" ht="18.75" customHeight="1">
      <c r="A110" s="138"/>
      <c r="B110" s="138"/>
      <c r="C110" s="138"/>
      <c r="D110" s="138"/>
      <c r="E110" s="3126"/>
      <c r="F110" s="3094"/>
      <c r="G110" s="2511" t="s">
        <v>2299</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1" t="s">
        <v>2297</v>
      </c>
      <c r="H111" s="1045" t="str">
        <f>IF(E111="——","——",N59)</f>
        <v>——</v>
      </c>
      <c r="I111" s="138"/>
    </row>
    <row r="112" spans="1:35" ht="18.75" customHeight="1" thickBot="1">
      <c r="A112" s="138"/>
      <c r="B112" s="138"/>
      <c r="C112" s="138"/>
      <c r="D112" s="138"/>
      <c r="E112" s="3129"/>
      <c r="F112" s="3130"/>
      <c r="G112" s="2516" t="s">
        <v>2299</v>
      </c>
      <c r="H112" s="790" t="str">
        <f>IF(E111="——","——",N61)</f>
        <v>——</v>
      </c>
      <c r="I112" s="138"/>
    </row>
    <row r="113" spans="1:11" ht="18.75" customHeight="1">
      <c r="A113" s="138"/>
      <c r="B113" s="138"/>
      <c r="C113" s="138"/>
      <c r="D113" s="138"/>
      <c r="E113" s="3138" t="s">
        <v>2305</v>
      </c>
      <c r="F113" s="3138"/>
      <c r="G113" s="3138"/>
      <c r="H113" s="3138"/>
      <c r="I113" s="138"/>
    </row>
    <row r="114" spans="1:11" ht="3.75" customHeight="1">
      <c r="A114" s="2409"/>
      <c r="B114" s="2409"/>
      <c r="C114" s="2409"/>
      <c r="D114" s="2409"/>
      <c r="E114" s="2487"/>
      <c r="F114" s="2487"/>
      <c r="G114" s="2487"/>
      <c r="H114" s="2487"/>
      <c r="I114" s="2409"/>
    </row>
    <row r="115" spans="1:11" ht="18.75" customHeight="1">
      <c r="A115" s="3151" t="s">
        <v>2307</v>
      </c>
      <c r="B115" s="3152"/>
      <c r="C115" s="3152"/>
      <c r="D115" s="3152"/>
      <c r="E115" s="3152"/>
      <c r="F115" s="3152"/>
      <c r="G115" s="3152"/>
      <c r="H115" s="3152"/>
      <c r="I115" s="3153"/>
    </row>
    <row r="116" spans="1:11" ht="27" customHeight="1">
      <c r="A116" s="3060" t="s">
        <v>2308</v>
      </c>
      <c r="B116" s="3105" t="s">
        <v>2309</v>
      </c>
      <c r="C116" s="3105" t="s">
        <v>2310</v>
      </c>
      <c r="D116" s="3111" t="s">
        <v>2311</v>
      </c>
      <c r="E116" s="3112"/>
      <c r="F116" s="3147" t="s">
        <v>2312</v>
      </c>
      <c r="G116" s="3147"/>
      <c r="H116" s="3060" t="s">
        <v>2313</v>
      </c>
      <c r="I116" s="3060"/>
    </row>
    <row r="117" spans="1:11" ht="18.75" customHeight="1">
      <c r="A117" s="3060"/>
      <c r="B117" s="3106"/>
      <c r="C117" s="3106"/>
      <c r="D117" s="1786" t="s">
        <v>2314</v>
      </c>
      <c r="E117" s="1786" t="s">
        <v>2315</v>
      </c>
      <c r="F117" s="1786" t="s">
        <v>2314</v>
      </c>
      <c r="G117" s="1786" t="s">
        <v>2316</v>
      </c>
      <c r="H117" s="1786" t="s">
        <v>2314</v>
      </c>
      <c r="I117" s="1786" t="s">
        <v>2316</v>
      </c>
    </row>
    <row r="118" spans="1:11" ht="24.75" customHeight="1">
      <c r="A118" s="2517" t="str">
        <f>项目基本情况!S2</f>
        <v>北京市房地产</v>
      </c>
      <c r="B118" s="1786">
        <f>M18</f>
        <v>1724.67</v>
      </c>
      <c r="C118" s="1786">
        <f>M19</f>
        <v>0</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5123</v>
      </c>
      <c r="I118" s="1786">
        <f ca="1">ROUND(IF(D32="楼面单价",C32,H118*10000/B118),0)</f>
        <v>29704</v>
      </c>
    </row>
    <row r="119" spans="1:11" ht="18.75" customHeight="1">
      <c r="A119" s="3060" t="s">
        <v>2317</v>
      </c>
      <c r="B119" s="3060"/>
      <c r="C119" s="3060"/>
      <c r="D119" s="3107" t="e">
        <f ca="1">NUMBERSTRING(INT(D118*10000),2)&amp;"元整"</f>
        <v>#REF!</v>
      </c>
      <c r="E119" s="3108"/>
      <c r="F119" s="3107" t="e">
        <f ca="1">NUMBERSTRING(INT(F118*10000),2)&amp;"元整"</f>
        <v>#REF!</v>
      </c>
      <c r="G119" s="3108"/>
      <c r="H119" s="3107" t="str">
        <f ca="1">NUMBERSTRING(INT(H118*10000),2)&amp;"元整"</f>
        <v>伍仟壹佰贰拾叁万元整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4" t="str">
        <f>IF(D120=0,"故，本次评估不存在"&amp;A120,"故，本次评估"&amp;A120&amp;"为人民币"&amp;D120&amp;"万元整。")</f>
        <v>故，本次评估不存在估价师知悉的法定优先受偿款</v>
      </c>
    </row>
    <row r="121" spans="1:11" ht="18.75" customHeight="1">
      <c r="A121" s="3148" t="s">
        <v>2317</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5123</v>
      </c>
      <c r="E122" s="3103"/>
      <c r="F122" s="3103"/>
      <c r="G122" s="3103"/>
      <c r="H122" s="3103"/>
      <c r="I122" s="3104"/>
    </row>
    <row r="123" spans="1:11" ht="18.75" customHeight="1">
      <c r="A123" s="3060" t="s">
        <v>2317</v>
      </c>
      <c r="B123" s="3060"/>
      <c r="C123" s="3060"/>
      <c r="D123" s="3107" t="str">
        <f ca="1">NUMBERSTRING(INT(D122*10000),2)&amp;"元整"</f>
        <v>伍仟壹佰贰拾叁万元整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0" t="s">
        <v>2317</v>
      </c>
      <c r="B125" s="3060"/>
      <c r="C125" s="3060"/>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0" t="s">
        <v>2317</v>
      </c>
      <c r="B127" s="3060"/>
      <c r="C127" s="3060"/>
      <c r="D127" s="3107" t="e">
        <f>NUMBERSTRING(INT(D126*10000),2)&amp;"元整"</f>
        <v>#VALUE!</v>
      </c>
      <c r="E127" s="3109"/>
      <c r="F127" s="3109"/>
      <c r="G127" s="3109"/>
      <c r="H127" s="3109"/>
      <c r="I127" s="3108"/>
    </row>
    <row r="128" spans="1:11" ht="21.75" customHeight="1">
      <c r="A128" s="3110" t="s">
        <v>2318</v>
      </c>
      <c r="B128" s="3110"/>
      <c r="C128" s="3110"/>
      <c r="D128" s="3110"/>
      <c r="E128" s="3110"/>
      <c r="F128" s="3110"/>
      <c r="G128" s="3110"/>
      <c r="H128" s="3110"/>
      <c r="I128" s="3110"/>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7"/>
      <c r="C1" s="242"/>
      <c r="D1" s="242"/>
      <c r="E1" s="242"/>
      <c r="F1" s="242"/>
      <c r="G1" s="1379">
        <f>MATCH(B1,'数据-取费表'!A6:A16,0)+5</f>
        <v>8</v>
      </c>
    </row>
    <row r="2" spans="1:9" s="244" customFormat="1" ht="18" customHeight="1">
      <c r="A2" s="245" t="s">
        <v>2327</v>
      </c>
      <c r="B2" s="246">
        <f ca="1">IF(D2="——",C52,C52-E2)</f>
        <v>779</v>
      </c>
      <c r="C2" s="243" t="s">
        <v>2328</v>
      </c>
      <c r="D2" s="2540" t="s">
        <v>70</v>
      </c>
      <c r="E2" s="1440"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4517</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43"/>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44"/>
      <c r="H9" s="1390"/>
      <c r="I9" s="2545" t="s">
        <v>2344</v>
      </c>
    </row>
    <row r="10" spans="1:9" s="258" customFormat="1" ht="13.5" customHeight="1">
      <c r="A10" s="950" t="s">
        <v>801</v>
      </c>
      <c r="B10" s="268" t="s">
        <v>2345</v>
      </c>
      <c r="C10" s="269">
        <f ca="1">ROUND(D10*E10/10000,0)</f>
        <v>34</v>
      </c>
      <c r="D10" s="1032">
        <f ca="1">IF(B1="",'数据-汇总表'!E6,IF(INDIRECT("'数据-取费表'!c"&amp;$G$1)="住宅",INDIRECT("'数据-取费表'!s"&amp;$G$1),INDIRECT("'数据-取费表'!k"&amp;$G$1)+INDIRECT("'数据-取费表'!s"&amp;$G$1)))</f>
        <v>1724.67</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34</v>
      </c>
      <c r="D19" s="1036">
        <f ca="1">D9+D10</f>
        <v>1724.67</v>
      </c>
      <c r="E19" s="255">
        <f>'数据-取费表'!B31</f>
        <v>200</v>
      </c>
      <c r="F19" s="275"/>
      <c r="G19" s="2543"/>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2.5000000000000001E-2</v>
      </c>
      <c r="D21" s="280" t="s">
        <v>2363</v>
      </c>
      <c r="E21" s="276"/>
      <c r="F21" s="277">
        <f>'数据-取费表'!B38</f>
        <v>2.5000000000000001E-2</v>
      </c>
      <c r="G21" s="278" t="s">
        <v>2364</v>
      </c>
    </row>
    <row r="22" spans="1:7" s="258" customFormat="1" ht="13.5" customHeight="1">
      <c r="A22" s="299" t="s">
        <v>2365</v>
      </c>
      <c r="B22" s="254" t="s">
        <v>2366</v>
      </c>
      <c r="C22" s="1354">
        <f ca="1">ROUND(SUM(C23:C25),0)</f>
        <v>3</v>
      </c>
      <c r="D22" s="279">
        <f ca="1">C26</f>
        <v>1.1999999999999999E-3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0</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1.1999999999999999E-3</v>
      </c>
      <c r="D26" s="282"/>
      <c r="E26" s="285"/>
      <c r="F26" s="283"/>
      <c r="G26" s="287"/>
    </row>
    <row r="27" spans="1:7" s="258" customFormat="1" ht="24.75">
      <c r="A27" s="299" t="s">
        <v>2377</v>
      </c>
      <c r="B27" s="288" t="s">
        <v>2378</v>
      </c>
      <c r="C27" s="289">
        <f ca="1">C28</f>
        <v>6</v>
      </c>
      <c r="D27" s="279">
        <f ca="1">C29</f>
        <v>4.0000000000000001E-3</v>
      </c>
      <c r="E27" s="280" t="s">
        <v>2379</v>
      </c>
      <c r="F27" s="290">
        <f ca="1">IF(B1="",'数据-取费表'!Q16,INDIRECT("'数据-取费表'!q"&amp;$G$1))</f>
        <v>0.16</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745</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681</v>
      </c>
      <c r="D34" s="261"/>
      <c r="E34" s="264"/>
      <c r="F34" s="301">
        <f ca="1">IF('数据-取费表'!B24=0,1,IF(B1="",'数据-取费表'!N16,INDIRECT("'数据-取费表'!n"&amp;$G$1)))</f>
        <v>1</v>
      </c>
      <c r="G34" s="263" t="s">
        <v>2391</v>
      </c>
    </row>
    <row r="35" spans="1:7" ht="13.5" customHeight="1">
      <c r="A35" s="951" t="s">
        <v>796</v>
      </c>
      <c r="B35" s="259" t="s">
        <v>2392</v>
      </c>
      <c r="C35" s="264">
        <f ca="1">ROUND(C34*F35,0)</f>
        <v>20</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34</v>
      </c>
      <c r="D37" s="261">
        <f ca="1">D19</f>
        <v>1724.67</v>
      </c>
      <c r="E37" s="293">
        <f>'数据-取费表'!B35</f>
        <v>200</v>
      </c>
      <c r="F37" s="303"/>
      <c r="G37" s="305" t="s">
        <v>2397</v>
      </c>
    </row>
    <row r="38" spans="1:7" ht="13.5" customHeight="1">
      <c r="A38" s="951" t="s">
        <v>799</v>
      </c>
      <c r="B38" s="259" t="s">
        <v>2398</v>
      </c>
      <c r="C38" s="264">
        <f ca="1">ROUND(C34*F38,0)</f>
        <v>10</v>
      </c>
      <c r="D38" s="264"/>
      <c r="E38" s="264"/>
      <c r="F38" s="303">
        <f>'数据-取费表'!B36</f>
        <v>1.4999999999999999E-2</v>
      </c>
      <c r="G38" s="263" t="s">
        <v>2393</v>
      </c>
    </row>
    <row r="39" spans="1:7" s="258" customFormat="1" ht="13.5" customHeight="1">
      <c r="A39" s="299" t="s">
        <v>2399</v>
      </c>
      <c r="B39" s="254" t="s">
        <v>2400</v>
      </c>
      <c r="C39" s="276">
        <f ca="1">ROUND(C33*F20,0)</f>
        <v>15</v>
      </c>
      <c r="D39" s="276"/>
      <c r="E39" s="276"/>
      <c r="F39" s="277"/>
      <c r="G39" s="278" t="s">
        <v>2401</v>
      </c>
    </row>
    <row r="40" spans="1:7" s="258" customFormat="1" ht="13.5" customHeight="1">
      <c r="A40" s="299" t="s">
        <v>2402</v>
      </c>
      <c r="B40" s="254" t="s">
        <v>2403</v>
      </c>
      <c r="C40" s="1727">
        <f>F21</f>
        <v>2.5000000000000001E-2</v>
      </c>
      <c r="D40" s="280" t="s">
        <v>2404</v>
      </c>
      <c r="E40" s="276"/>
      <c r="F40" s="277"/>
      <c r="G40" s="278" t="s">
        <v>2405</v>
      </c>
    </row>
    <row r="41" spans="1:7" s="258" customFormat="1" ht="13.5" customHeight="1">
      <c r="A41" s="299" t="s">
        <v>2406</v>
      </c>
      <c r="B41" s="254" t="s">
        <v>2407</v>
      </c>
      <c r="C41" s="276">
        <f ca="1">ROUND(SUM(C42:C43),0)</f>
        <v>36</v>
      </c>
      <c r="D41" s="279">
        <f ca="1">C44</f>
        <v>1.1999999999999999E-3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35</v>
      </c>
      <c r="D42" s="282"/>
      <c r="E42" s="282"/>
      <c r="F42" s="283"/>
      <c r="G42" s="3182" t="s">
        <v>2409</v>
      </c>
    </row>
    <row r="43" spans="1:7" ht="13.5" customHeight="1">
      <c r="A43" s="951" t="s">
        <v>792</v>
      </c>
      <c r="B43" s="259" t="s">
        <v>2410</v>
      </c>
      <c r="C43" s="282">
        <f ca="1">ROUND(IF('数据-取费表'!B22&lt;=1,C39*F22*'数据-取费表'!B21/2,C39*(POWER((1+F22),'数据-取费表'!B21/2)-1)),0)</f>
        <v>1</v>
      </c>
      <c r="D43" s="282"/>
      <c r="E43" s="282"/>
      <c r="F43" s="283"/>
      <c r="G43" s="3183"/>
    </row>
    <row r="44" spans="1:7" ht="13.5" customHeight="1">
      <c r="A44" s="951" t="s">
        <v>793</v>
      </c>
      <c r="B44" s="259" t="s">
        <v>2411</v>
      </c>
      <c r="C44" s="282">
        <f ca="1">ROUND(IF('数据-取费表'!B22&lt;=1,C40*F22*'数据-取费表'!B21/2,C40*(POWER((1+F22),'数据-取费表'!B21/2)-1)),4)</f>
        <v>1.1999999999999999E-3</v>
      </c>
      <c r="D44" s="282"/>
      <c r="E44" s="282"/>
      <c r="F44" s="283"/>
      <c r="G44" s="3184"/>
    </row>
    <row r="45" spans="1:7" s="258" customFormat="1" ht="13.5" customHeight="1">
      <c r="A45" s="299" t="s">
        <v>2412</v>
      </c>
      <c r="B45" s="288" t="s">
        <v>2378</v>
      </c>
      <c r="C45" s="289">
        <f ca="1">C46</f>
        <v>122</v>
      </c>
      <c r="D45" s="279">
        <f ca="1">C47</f>
        <v>4.0000000000000001E-3</v>
      </c>
      <c r="E45" s="280" t="s">
        <v>2404</v>
      </c>
      <c r="F45" s="290"/>
      <c r="G45" s="291" t="s">
        <v>2413</v>
      </c>
    </row>
    <row r="46" spans="1:7" s="258" customFormat="1" ht="13.5" customHeight="1">
      <c r="A46" s="951" t="s">
        <v>791</v>
      </c>
      <c r="B46" s="292" t="s">
        <v>2414</v>
      </c>
      <c r="C46" s="293">
        <f ca="1">ROUND((C33+C39)*F27,0)</f>
        <v>122</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1002</v>
      </c>
      <c r="D49" s="276"/>
      <c r="E49" s="276"/>
      <c r="F49" s="308"/>
      <c r="G49" s="278" t="s">
        <v>2419</v>
      </c>
    </row>
    <row r="50" spans="1:7" s="302" customFormat="1" ht="24">
      <c r="A50" s="299" t="s">
        <v>2420</v>
      </c>
      <c r="B50" s="254" t="s">
        <v>2421</v>
      </c>
      <c r="C50" s="276"/>
      <c r="D50" s="276"/>
      <c r="E50" s="276"/>
      <c r="F50" s="308">
        <f>IF('数据-取费表'!B24=0,'数据-取费表'!N16,1)</f>
        <v>0.73</v>
      </c>
      <c r="G50" s="291" t="s">
        <v>2422</v>
      </c>
    </row>
    <row r="51" spans="1:7" ht="16.5" customHeight="1">
      <c r="A51" s="299" t="s">
        <v>2423</v>
      </c>
      <c r="B51" s="254" t="s">
        <v>2424</v>
      </c>
      <c r="C51" s="276">
        <f ca="1">ROUND(C49*F50,0)</f>
        <v>731</v>
      </c>
      <c r="D51" s="276"/>
      <c r="E51" s="276"/>
      <c r="F51" s="308"/>
      <c r="G51" s="278" t="s">
        <v>2425</v>
      </c>
    </row>
    <row r="52" spans="1:7" s="252" customFormat="1" ht="16.5" thickBot="1">
      <c r="A52" s="309" t="s">
        <v>2426</v>
      </c>
      <c r="B52" s="310"/>
      <c r="C52" s="311">
        <f ca="1">C31+C51</f>
        <v>779</v>
      </c>
      <c r="D52" s="310"/>
      <c r="E52" s="310"/>
      <c r="F52" s="310"/>
      <c r="G52" s="312"/>
    </row>
    <row r="55" spans="1:7" ht="15">
      <c r="B55" s="314" t="s">
        <v>2427</v>
      </c>
      <c r="C55" s="315"/>
    </row>
    <row r="56" spans="1:7">
      <c r="B56" s="317" t="s">
        <v>1507</v>
      </c>
      <c r="C56" s="319">
        <f ca="1">1-C57</f>
        <v>6.2000000000000055E-2</v>
      </c>
    </row>
    <row r="57" spans="1:7">
      <c r="B57" s="317" t="s">
        <v>1508</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4" t="str">
        <f>项目基本情况!B1</f>
        <v>北京市房地产抵押价值预评估</v>
      </c>
      <c r="C37" s="2994"/>
      <c r="D37" s="2994"/>
      <c r="E37" s="2994"/>
      <c r="F37" s="2994"/>
      <c r="G37" s="2994"/>
      <c r="H37" s="2994"/>
      <c r="I37" s="2994"/>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7"/>
      <c r="C1" s="2546" t="s">
        <v>2428</v>
      </c>
      <c r="D1" s="242"/>
      <c r="E1" s="242"/>
      <c r="F1" s="242"/>
      <c r="G1" s="1379">
        <f>MATCH(B1,'数据-取费表'!A6:A16,0)+5</f>
        <v>8</v>
      </c>
      <c r="H1" s="1282" t="str">
        <f>IF(ISERROR(FIND("住宅",B1)),"非住宅","住宅")</f>
        <v>非住宅</v>
      </c>
    </row>
    <row r="2" spans="1:8" s="244" customFormat="1" ht="18" customHeight="1">
      <c r="A2" s="245" t="s">
        <v>2327</v>
      </c>
      <c r="B2" s="246">
        <f ca="1">ROUND(IF(D2="——",C52/10000,C52/10000-E2),0)</f>
        <v>828</v>
      </c>
      <c r="C2" s="243" t="s">
        <v>2328</v>
      </c>
      <c r="D2" s="2540" t="s">
        <v>70</v>
      </c>
      <c r="E2" s="1440"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4801</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344934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344934</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344934</v>
      </c>
      <c r="D10" s="1032">
        <f ca="1">IF(B1="",'数据-汇总表'!E6,IF(INDIRECT("'数据-取费表'!c"&amp;$G$1)="住宅",INDIRECT("'数据-取费表'!s"&amp;$G$1),INDIRECT("'数据-取费表'!k"&amp;$G$1)+INDIRECT("'数据-取费表'!s"&amp;$G$1)))</f>
        <v>1724.67</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344934</v>
      </c>
      <c r="D19" s="1036">
        <f ca="1">D9+D10</f>
        <v>1724.67</v>
      </c>
      <c r="E19" s="255">
        <f>'数据-取费表'!B31</f>
        <v>200</v>
      </c>
      <c r="F19" s="275"/>
      <c r="G19" s="2543"/>
    </row>
    <row r="20" spans="1:7" s="258" customFormat="1" ht="13.5" customHeight="1">
      <c r="A20" s="299" t="s">
        <v>2439</v>
      </c>
      <c r="B20" s="254" t="s">
        <v>2440</v>
      </c>
      <c r="C20" s="276">
        <f ca="1">ROUND((C5+C19)*F20,0)</f>
        <v>13797</v>
      </c>
      <c r="D20" s="276"/>
      <c r="E20" s="276"/>
      <c r="F20" s="277">
        <f>'数据-取费表'!B37</f>
        <v>0.02</v>
      </c>
      <c r="G20" s="278" t="s">
        <v>2441</v>
      </c>
    </row>
    <row r="21" spans="1:7" s="258" customFormat="1" ht="13.5" customHeight="1">
      <c r="A21" s="299" t="s">
        <v>2442</v>
      </c>
      <c r="B21" s="254" t="s">
        <v>2443</v>
      </c>
      <c r="C21" s="279">
        <f>F21</f>
        <v>2.5000000000000001E-2</v>
      </c>
      <c r="D21" s="280" t="s">
        <v>2444</v>
      </c>
      <c r="E21" s="276"/>
      <c r="F21" s="277">
        <f>'数据-取费表'!B38</f>
        <v>2.5000000000000001E-2</v>
      </c>
      <c r="G21" s="278" t="s">
        <v>2445</v>
      </c>
    </row>
    <row r="22" spans="1:7" s="258" customFormat="1" ht="13.5" customHeight="1">
      <c r="A22" s="299" t="s">
        <v>2446</v>
      </c>
      <c r="B22" s="254" t="s">
        <v>2447</v>
      </c>
      <c r="C22" s="1380">
        <f ca="1">ROUND(SUM(C23:C25),0)</f>
        <v>67749</v>
      </c>
      <c r="D22" s="279">
        <f ca="1">C26</f>
        <v>1.1999999999999999E-3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33547</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33547</v>
      </c>
      <c r="D24" s="282"/>
      <c r="E24" s="282"/>
      <c r="F24" s="283"/>
      <c r="G24" s="284" t="s">
        <v>2451</v>
      </c>
    </row>
    <row r="25" spans="1:7" s="258" customFormat="1" ht="24">
      <c r="A25" s="951" t="s">
        <v>2341</v>
      </c>
      <c r="B25" s="259" t="s">
        <v>2452</v>
      </c>
      <c r="C25" s="1381">
        <f ca="1">ROUND(IF('数据-取费表'!B22&lt;=1,C20*F22*'数据-取费表'!B22/2,C20*(POWER((1+F22),'数据-取费表'!B22/2)-1)),0)</f>
        <v>655</v>
      </c>
      <c r="D25" s="282"/>
      <c r="E25" s="285"/>
      <c r="F25" s="283"/>
      <c r="G25" s="286" t="s">
        <v>2453</v>
      </c>
    </row>
    <row r="26" spans="1:7" s="258" customFormat="1">
      <c r="A26" s="951" t="s">
        <v>795</v>
      </c>
      <c r="B26" s="259" t="s">
        <v>2376</v>
      </c>
      <c r="C26" s="282">
        <f ca="1">ROUND(IF('数据-取费表'!B22&lt;=1,F21*F22*'数据-取费表'!B22/2,F21*(POWER((1+F22),'数据-取费表'!B22/2)-1)),4)</f>
        <v>1.1999999999999999E-3</v>
      </c>
      <c r="D26" s="282"/>
      <c r="E26" s="285"/>
      <c r="F26" s="283"/>
      <c r="G26" s="287"/>
    </row>
    <row r="27" spans="1:7" s="258" customFormat="1" ht="24.75">
      <c r="A27" s="299" t="s">
        <v>2377</v>
      </c>
      <c r="B27" s="288" t="s">
        <v>2378</v>
      </c>
      <c r="C27" s="289">
        <f ca="1">C28</f>
        <v>112586</v>
      </c>
      <c r="D27" s="279">
        <f ca="1">C29</f>
        <v>4.0000000000000001E-3</v>
      </c>
      <c r="E27" s="280" t="s">
        <v>2379</v>
      </c>
      <c r="F27" s="290">
        <f ca="1">IF(B1="",'数据-取费表'!Q16,INDIRECT("'数据-取费表'!q"&amp;$G$1))</f>
        <v>0.16</v>
      </c>
      <c r="G27" s="291" t="s">
        <v>2380</v>
      </c>
    </row>
    <row r="28" spans="1:7" s="258" customFormat="1" ht="13.5" customHeight="1">
      <c r="A28" s="951" t="s">
        <v>791</v>
      </c>
      <c r="B28" s="292" t="s">
        <v>2381</v>
      </c>
      <c r="C28" s="293">
        <f ca="1">ROUND((C5+C19+C20)*F27,0)</f>
        <v>112586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964539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7459545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6808240</v>
      </c>
      <c r="D34" s="261"/>
      <c r="E34" s="264"/>
      <c r="F34" s="301"/>
      <c r="G34" s="263"/>
    </row>
    <row r="35" spans="1:7" ht="13.5" customHeight="1">
      <c r="A35" s="951" t="s">
        <v>796</v>
      </c>
      <c r="B35" s="259" t="s">
        <v>2392</v>
      </c>
      <c r="C35" s="264">
        <f ca="1">ROUND(C34*F35,0)</f>
        <v>204247</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344934</v>
      </c>
      <c r="D37" s="261">
        <f ca="1">D19</f>
        <v>1724.67</v>
      </c>
      <c r="E37" s="293">
        <f>'数据-取费表'!B35</f>
        <v>200</v>
      </c>
      <c r="F37" s="303"/>
      <c r="G37" s="305"/>
    </row>
    <row r="38" spans="1:7" ht="13.5" customHeight="1">
      <c r="A38" s="951" t="s">
        <v>799</v>
      </c>
      <c r="B38" s="259" t="s">
        <v>2398</v>
      </c>
      <c r="C38" s="264">
        <f ca="1">ROUND(C34*F38,0)</f>
        <v>102124</v>
      </c>
      <c r="D38" s="264"/>
      <c r="E38" s="264"/>
      <c r="F38" s="303">
        <f>'数据-取费表'!B36</f>
        <v>1.4999999999999999E-2</v>
      </c>
      <c r="G38" s="263" t="s">
        <v>2393</v>
      </c>
    </row>
    <row r="39" spans="1:7" s="258" customFormat="1" ht="13.5" customHeight="1">
      <c r="A39" s="299" t="s">
        <v>2399</v>
      </c>
      <c r="B39" s="254" t="s">
        <v>2400</v>
      </c>
      <c r="C39" s="276">
        <f ca="1">ROUND(C33*F20,0)</f>
        <v>149191</v>
      </c>
      <c r="D39" s="276"/>
      <c r="E39" s="276"/>
      <c r="F39" s="277"/>
      <c r="G39" s="278" t="s">
        <v>2401</v>
      </c>
    </row>
    <row r="40" spans="1:7" s="258" customFormat="1" ht="13.5" customHeight="1">
      <c r="A40" s="299" t="s">
        <v>2402</v>
      </c>
      <c r="B40" s="254" t="s">
        <v>2403</v>
      </c>
      <c r="C40" s="1727">
        <f>F21</f>
        <v>2.5000000000000001E-2</v>
      </c>
      <c r="D40" s="280" t="s">
        <v>2404</v>
      </c>
      <c r="E40" s="276"/>
      <c r="F40" s="277"/>
      <c r="G40" s="278" t="s">
        <v>2405</v>
      </c>
    </row>
    <row r="41" spans="1:7" s="258" customFormat="1" ht="13.5" customHeight="1">
      <c r="A41" s="299" t="s">
        <v>2406</v>
      </c>
      <c r="B41" s="254" t="s">
        <v>2407</v>
      </c>
      <c r="C41" s="276">
        <f ca="1">ROUND(SUM(C42:C43),0)</f>
        <v>361415</v>
      </c>
      <c r="D41" s="279">
        <f ca="1">C44</f>
        <v>1.1999999999999999E-3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354328</v>
      </c>
      <c r="D42" s="282"/>
      <c r="E42" s="282"/>
      <c r="F42" s="283"/>
      <c r="G42" s="3182" t="s">
        <v>2456</v>
      </c>
    </row>
    <row r="43" spans="1:7" ht="13.5" customHeight="1">
      <c r="A43" s="951" t="s">
        <v>792</v>
      </c>
      <c r="B43" s="259" t="s">
        <v>2410</v>
      </c>
      <c r="C43" s="282">
        <f ca="1">ROUND(IF('数据-取费表'!B22&lt;=1,C39*F22*'数据-取费表'!B20/2,C39*(POWER((1+F22),'数据-取费表'!B20/2)-1)),0)</f>
        <v>7087</v>
      </c>
      <c r="D43" s="282"/>
      <c r="E43" s="282"/>
      <c r="F43" s="283"/>
      <c r="G43" s="3183"/>
    </row>
    <row r="44" spans="1:7" ht="13.5" customHeight="1">
      <c r="A44" s="951" t="s">
        <v>793</v>
      </c>
      <c r="B44" s="259" t="s">
        <v>2411</v>
      </c>
      <c r="C44" s="282">
        <f ca="1">ROUND(IF('数据-取费表'!B22&lt;=1,C40*F22*'数据-取费表'!B20/2,C40*(POWER((1+F22),'数据-取费表'!B20/2)-1)),4)</f>
        <v>1.1999999999999999E-3</v>
      </c>
      <c r="D44" s="282"/>
      <c r="E44" s="282"/>
      <c r="F44" s="283"/>
      <c r="G44" s="3184"/>
    </row>
    <row r="45" spans="1:7" s="258" customFormat="1" ht="13.5" customHeight="1">
      <c r="A45" s="299" t="s">
        <v>2412</v>
      </c>
      <c r="B45" s="288" t="s">
        <v>2378</v>
      </c>
      <c r="C45" s="289">
        <f ca="1">C46</f>
        <v>1217398</v>
      </c>
      <c r="D45" s="279">
        <f ca="1">C47</f>
        <v>4.0000000000000001E-3</v>
      </c>
      <c r="E45" s="280" t="s">
        <v>2404</v>
      </c>
      <c r="F45" s="290"/>
      <c r="G45" s="291" t="s">
        <v>2413</v>
      </c>
    </row>
    <row r="46" spans="1:7" s="258" customFormat="1" ht="13.5" customHeight="1">
      <c r="A46" s="951" t="s">
        <v>791</v>
      </c>
      <c r="B46" s="292" t="s">
        <v>2414</v>
      </c>
      <c r="C46" s="293">
        <f ca="1">ROUND((C33+C39)*F27,0)</f>
        <v>1217398</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10024603</v>
      </c>
      <c r="D49" s="276"/>
      <c r="E49" s="276"/>
      <c r="F49" s="308"/>
      <c r="G49" s="278" t="s">
        <v>2419</v>
      </c>
    </row>
    <row r="50" spans="1:7" s="302" customFormat="1">
      <c r="A50" s="299" t="s">
        <v>2420</v>
      </c>
      <c r="B50" s="254" t="s">
        <v>2421</v>
      </c>
      <c r="C50" s="276"/>
      <c r="D50" s="276"/>
      <c r="E50" s="276"/>
      <c r="F50" s="308">
        <f>IF('数据-取费表'!B24=0,'数据-取费表'!N16,1)</f>
        <v>0.73</v>
      </c>
      <c r="G50" s="291"/>
    </row>
    <row r="51" spans="1:7" ht="16.5" customHeight="1">
      <c r="A51" s="299" t="s">
        <v>2423</v>
      </c>
      <c r="B51" s="254" t="s">
        <v>2458</v>
      </c>
      <c r="C51" s="276">
        <f ca="1">ROUND(C49*F50,0)</f>
        <v>7317960</v>
      </c>
      <c r="D51" s="276"/>
      <c r="E51" s="276"/>
      <c r="F51" s="308"/>
      <c r="G51" s="278" t="s">
        <v>2425</v>
      </c>
    </row>
    <row r="52" spans="1:7" s="252" customFormat="1" ht="16.5" thickBot="1">
      <c r="A52" s="309" t="s">
        <v>2426</v>
      </c>
      <c r="B52" s="310"/>
      <c r="C52" s="311">
        <f ca="1">C31+C51</f>
        <v>8282499</v>
      </c>
      <c r="D52" s="310"/>
      <c r="E52" s="310"/>
      <c r="F52" s="310"/>
      <c r="G52" s="312"/>
    </row>
    <row r="55" spans="1:7" ht="15">
      <c r="B55" s="314" t="s">
        <v>2427</v>
      </c>
      <c r="C55" s="315"/>
    </row>
    <row r="56" spans="1:7">
      <c r="B56" s="317" t="s">
        <v>1507</v>
      </c>
      <c r="C56" s="319">
        <f ca="1">1-C57</f>
        <v>0.11599999999999999</v>
      </c>
    </row>
    <row r="57" spans="1:7">
      <c r="B57" s="317" t="s">
        <v>1508</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9" sqref="F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8</v>
      </c>
    </row>
    <row r="2" spans="1:33" ht="18" customHeight="1">
      <c r="A2" s="245" t="s">
        <v>2327</v>
      </c>
      <c r="B2" s="248">
        <f ca="1">C32</f>
        <v>6437</v>
      </c>
      <c r="C2" s="320" t="s">
        <v>2460</v>
      </c>
      <c r="D2" s="320"/>
      <c r="E2" s="320"/>
      <c r="F2" s="320"/>
      <c r="G2" s="320"/>
      <c r="H2" s="320"/>
      <c r="I2" s="320"/>
      <c r="J2" s="320"/>
      <c r="K2" s="320"/>
    </row>
    <row r="3" spans="1:33" ht="18" customHeight="1" thickBot="1">
      <c r="A3" s="247" t="s">
        <v>2329</v>
      </c>
      <c r="B3" s="248">
        <f ca="1">ROUND(B2*10000/IF(C1="",'数据-汇总表'!E3,INDIRECT("'数据-取费表'!K"&amp;$K$1)),0)</f>
        <v>37323</v>
      </c>
      <c r="C3" s="320" t="s">
        <v>2461</v>
      </c>
      <c r="D3" s="320"/>
      <c r="E3" s="320"/>
      <c r="F3" s="320"/>
      <c r="G3" s="320"/>
      <c r="H3" s="320"/>
      <c r="I3" s="320"/>
      <c r="J3" s="320"/>
      <c r="K3" s="320"/>
    </row>
    <row r="4" spans="1:33" s="956" customFormat="1" ht="16.5" customHeight="1">
      <c r="A4" s="953" t="s">
        <v>2462</v>
      </c>
      <c r="B4" s="954"/>
      <c r="C4" s="996">
        <f>SUM(C8:K8)</f>
        <v>7040.6500000000005</v>
      </c>
      <c r="D4" s="954"/>
      <c r="E4" s="954"/>
      <c r="F4" s="954"/>
      <c r="G4" s="954"/>
      <c r="H4" s="954"/>
      <c r="I4" s="954"/>
      <c r="J4" s="954"/>
      <c r="K4" s="955"/>
    </row>
    <row r="5" spans="1:33" s="960" customFormat="1" ht="15">
      <c r="A5" s="957" t="s">
        <v>2463</v>
      </c>
      <c r="B5" s="958" t="s">
        <v>2464</v>
      </c>
      <c r="C5" s="2547" t="s">
        <v>27</v>
      </c>
      <c r="D5" s="2547" t="s">
        <v>3069</v>
      </c>
      <c r="E5" s="2547"/>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v>50000</v>
      </c>
      <c r="D6" s="962">
        <v>15000</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1272.47</v>
      </c>
      <c r="D7" s="321">
        <f>SUMIF('数据-汇总表'!$C19:$C33,假设开发法!D5,'数据-汇总表'!$E19:$E33)</f>
        <v>452.2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2468</v>
      </c>
      <c r="B8" s="177" t="s">
        <v>2469</v>
      </c>
      <c r="C8" s="997">
        <f>C6*C7/10000</f>
        <v>6362.35</v>
      </c>
      <c r="D8" s="997">
        <f>D6*D7/10000</f>
        <v>678.3</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1724.67</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1724.67</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34</v>
      </c>
      <c r="D18" s="1033"/>
      <c r="E18" s="24"/>
      <c r="F18" s="976"/>
      <c r="G18" s="2549"/>
      <c r="H18" s="1576"/>
      <c r="I18" s="2550"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2492</v>
      </c>
      <c r="C20" s="24">
        <f ca="1">ROUND(D20*E20/10000,0)</f>
        <v>34</v>
      </c>
      <c r="D20" s="1033">
        <f ca="1">IF(C1="",'数据-汇总表'!E6,IF(INDIRECT("'数据-取费表'!c"&amp;$K$1)="住宅",INDIRECT("'数据-取费表'!s"&amp;$K$1),INDIRECT("'数据-取费表'!k"&amp;$K$1)+INDIRECT("'数据-取费表'!s"&amp;$K$1)))</f>
        <v>1724.67</v>
      </c>
      <c r="E20" s="24">
        <f>'数据-取费表'!B28</f>
        <v>200</v>
      </c>
      <c r="F20" s="976"/>
      <c r="G20" s="15"/>
      <c r="H20" s="981"/>
      <c r="I20" s="981"/>
      <c r="J20" s="981"/>
      <c r="K20" s="982"/>
    </row>
    <row r="21" spans="1:33" s="975" customFormat="1" ht="13.5" customHeight="1">
      <c r="A21" s="961" t="s">
        <v>802</v>
      </c>
      <c r="B21" s="985" t="s">
        <v>2493</v>
      </c>
      <c r="C21" s="986">
        <f ca="1">C16+C17+C18</f>
        <v>34</v>
      </c>
      <c r="D21" s="987"/>
      <c r="E21" s="325"/>
      <c r="F21" s="325"/>
      <c r="G21" s="140" t="s">
        <v>2494</v>
      </c>
      <c r="H21" s="979"/>
      <c r="I21" s="979"/>
      <c r="J21" s="979"/>
      <c r="K21" s="980"/>
    </row>
    <row r="22" spans="1:33" s="975" customFormat="1" ht="13.5" customHeight="1">
      <c r="A22" s="961" t="s">
        <v>2466</v>
      </c>
      <c r="B22" s="985" t="s">
        <v>2495</v>
      </c>
      <c r="C22" s="986">
        <f ca="1">ROUND(C21*F22,0)</f>
        <v>1</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2.5000000000000001E-2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2506</v>
      </c>
      <c r="B28" s="2552" t="s">
        <v>2507</v>
      </c>
      <c r="C28" s="331">
        <f ca="1">C30</f>
        <v>6</v>
      </c>
      <c r="D28" s="324">
        <f ca="1">C29</f>
        <v>0</v>
      </c>
      <c r="E28" s="326" t="s">
        <v>15</v>
      </c>
      <c r="F28" s="332">
        <f ca="1">IF(C1="",'数据-取费表'!Q16,INDIRECT("'数据-取费表'!q"&amp;$K$1))</f>
        <v>0.16</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6</v>
      </c>
      <c r="D30" s="328"/>
      <c r="E30" s="329"/>
      <c r="F30" s="334"/>
      <c r="G30" s="140"/>
      <c r="H30" s="979"/>
      <c r="I30" s="979"/>
      <c r="J30" s="979"/>
      <c r="K30" s="980"/>
    </row>
    <row r="31" spans="1:33" s="975" customFormat="1" ht="13.5" customHeight="1" thickBot="1">
      <c r="A31" s="2553" t="s">
        <v>2511</v>
      </c>
      <c r="B31" s="1005" t="s">
        <v>2512</v>
      </c>
      <c r="C31" s="1006">
        <f>ROUND(C4*F31/(1+'数据-取费表'!C42),0)</f>
        <v>376</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6437</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3">
        <f ca="1">J53</f>
        <v>0</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t="e">
        <f ca="1">C40+J29+L46</f>
        <v>#DIV/0!</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0</v>
      </c>
      <c r="D5" s="1813" t="s">
        <v>1396</v>
      </c>
      <c r="E5" s="1293"/>
      <c r="F5" s="1294"/>
      <c r="G5" s="1842"/>
      <c r="H5" s="344">
        <v>1</v>
      </c>
      <c r="I5" s="345" t="s">
        <v>1395</v>
      </c>
      <c r="J5" s="1292">
        <f ca="1">J6+J10+J12</f>
        <v>0</v>
      </c>
      <c r="K5" s="1813" t="s">
        <v>1396</v>
      </c>
      <c r="L5" s="1293"/>
      <c r="M5" s="1294"/>
    </row>
    <row r="6" spans="1:37" ht="18" customHeight="1">
      <c r="A6" s="1291" t="s">
        <v>1031</v>
      </c>
      <c r="B6" s="3187" t="s">
        <v>1397</v>
      </c>
      <c r="C6" s="1296">
        <f ca="1">ROUND(F6*F8*F7*(1-F9)/10000,0)</f>
        <v>0</v>
      </c>
      <c r="D6" s="164" t="s">
        <v>3028</v>
      </c>
      <c r="E6" s="347" t="s">
        <v>1399</v>
      </c>
      <c r="F6" s="348">
        <f ca="1">INDIRECT("'数据-取费表'!u"&amp;$G$1)</f>
        <v>0</v>
      </c>
      <c r="G6" s="1842"/>
      <c r="H6" s="1291" t="s">
        <v>1031</v>
      </c>
      <c r="I6" s="3187" t="s">
        <v>1397</v>
      </c>
      <c r="J6" s="346">
        <f ca="1">ROUND(M6*M8*M7*(1-M9)/10000,0)</f>
        <v>0</v>
      </c>
      <c r="K6" s="164" t="s">
        <v>3027</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0</v>
      </c>
      <c r="G7" s="1842"/>
      <c r="H7" s="349"/>
      <c r="I7" s="3188"/>
      <c r="J7" s="351"/>
      <c r="K7" s="352"/>
      <c r="L7" s="347" t="s">
        <v>1400</v>
      </c>
      <c r="M7" s="348">
        <f ca="1">F7</f>
        <v>0</v>
      </c>
    </row>
    <row r="8" spans="1:37" ht="18" customHeight="1">
      <c r="A8" s="349"/>
      <c r="B8" s="3188"/>
      <c r="C8" s="351"/>
      <c r="D8" s="352"/>
      <c r="E8" s="347" t="s">
        <v>1401</v>
      </c>
      <c r="F8" s="348">
        <f ca="1">INDIRECT("'数据-取费表'!ai"&amp;$G$1)</f>
        <v>0</v>
      </c>
      <c r="G8" s="1842"/>
      <c r="H8" s="349"/>
      <c r="I8" s="3188"/>
      <c r="J8" s="351"/>
      <c r="K8" s="352"/>
      <c r="L8" s="347" t="s">
        <v>1401</v>
      </c>
      <c r="M8" s="348">
        <f ca="1">INDIRECT("'数据-取费表'!ai"&amp;$G$1)</f>
        <v>0</v>
      </c>
    </row>
    <row r="9" spans="1:37" ht="18" customHeight="1">
      <c r="A9" s="349"/>
      <c r="B9" s="3189"/>
      <c r="C9" s="351"/>
      <c r="D9" s="352"/>
      <c r="E9" s="347" t="s">
        <v>1402</v>
      </c>
      <c r="F9" s="357">
        <f ca="1">INDIRECT("'数据-取费表'!w"&amp;$G$1)</f>
        <v>0</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3037</v>
      </c>
      <c r="E10" s="358" t="s">
        <v>1404</v>
      </c>
      <c r="F10" s="1366"/>
      <c r="G10" s="1842"/>
      <c r="H10" s="1291" t="s">
        <v>1035</v>
      </c>
      <c r="I10" s="1814" t="s">
        <v>1403</v>
      </c>
      <c r="J10" s="346">
        <f ca="1">ROUND(IF(M10="押一",J6/12*M11,IF(M10="押二",J6/12*2*M11,IF(M10="押三",J6/12*3*M11,J11*M11))),0)</f>
        <v>0</v>
      </c>
      <c r="K10" s="1815" t="s">
        <v>3036</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ROUND(F17*(F43+INDIRECT("'数据-取费表'!S"&amp;$G$1))/10000,0)</f>
        <v>0</v>
      </c>
      <c r="D17" s="347" t="s">
        <v>1421</v>
      </c>
      <c r="E17" s="347" t="s">
        <v>1422</v>
      </c>
      <c r="F17" s="26">
        <f>'数据-取费表'!B35</f>
        <v>200</v>
      </c>
      <c r="G17" s="1845"/>
      <c r="H17" s="1201" t="s">
        <v>1031</v>
      </c>
      <c r="I17" s="347" t="s">
        <v>1423</v>
      </c>
      <c r="J17" s="24">
        <f ca="1">ROUND(IF(项目基本情况!B11="自然人",J6*M17/(1+'数据-取费表'!C42),J18+J19+J20),1)</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IF(K19="按租金收入计税",ROUND(J6*M19/(1+'数据-取费表'!C42),2),ROUND(C29*M19*0.7,2))</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ROUND(M20*M21/10000,2)</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0</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IF(项目基本情况!B11="自然人","——",ROUND(F34*F35/10000,2))</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ROUND(C29*F36,1)</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ROUND(C13*F37,1)</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t="e">
        <f ca="1">C68-C40</f>
        <v>#DIV/0!</v>
      </c>
      <c r="D46" s="1863" t="str">
        <f>C2</f>
        <v>万元</v>
      </c>
      <c r="E46" s="1857"/>
      <c r="F46" s="1857"/>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4">
        <f ca="1">ROUND(F49*F51*F50*(1-F52)/10000,0)</f>
        <v>0</v>
      </c>
      <c r="D49" s="1276" t="s">
        <v>3029</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368"/>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5"/>
      <c r="I52" s="1894" t="s">
        <v>1537</v>
      </c>
      <c r="J52" s="1895"/>
      <c r="K52" s="1894" t="s">
        <v>1538</v>
      </c>
      <c r="L52" s="1895"/>
      <c r="O52" s="1885" t="s">
        <v>1041</v>
      </c>
      <c r="P52" s="1876" t="s">
        <v>1539</v>
      </c>
      <c r="Q52" s="1877">
        <f ca="1">J53</f>
        <v>0</v>
      </c>
      <c r="R52" s="1877" t="s">
        <v>1540</v>
      </c>
    </row>
    <row r="53" spans="1:18" s="1833" customFormat="1" ht="24.75" thickBot="1">
      <c r="A53" s="1405" t="s">
        <v>1133</v>
      </c>
      <c r="B53" s="1822" t="s">
        <v>1403</v>
      </c>
      <c r="C53" s="361">
        <f ca="1">ROUND(IF(F53="押一",C49/12*F11,IF(F53="押二",C49/12*2*F11,IF(F53="押三",C49/12*3*F11,C54*F11))),0)</f>
        <v>0</v>
      </c>
      <c r="D53" s="1815" t="s">
        <v>3036</v>
      </c>
      <c r="E53" s="358" t="s">
        <v>1404</v>
      </c>
      <c r="F53" s="1366"/>
      <c r="I53" s="1896" t="s">
        <v>1541</v>
      </c>
      <c r="J53" s="2943">
        <f ca="1">IF(M47="住宅",IF(D1="——",MAX(J51,L48),MAX(J51,L48-'数据-取费表'!B24)),IF(D1="——",MIN(J51,L48),MIN(J51,L48-'数据-取费表'!B24)))</f>
        <v>0</v>
      </c>
      <c r="K53" s="3185" t="s">
        <v>1542</v>
      </c>
      <c r="L53" s="3186"/>
      <c r="O53" s="1875" t="s">
        <v>1042</v>
      </c>
      <c r="P53" s="1876" t="s">
        <v>1543</v>
      </c>
      <c r="Q53" s="1877" t="e">
        <f ca="1">Q47+Q48</f>
        <v>#DIV/0!</v>
      </c>
      <c r="R53" s="1877" t="s">
        <v>1043</v>
      </c>
    </row>
    <row r="54" spans="1:18" s="1833" customFormat="1" ht="13.5"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#DIV/0!</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0</v>
      </c>
      <c r="D56" s="1904"/>
      <c r="E56" s="1905"/>
      <c r="F56" s="1897"/>
      <c r="I56" s="1906" t="s">
        <v>1548</v>
      </c>
      <c r="J56" s="1907"/>
      <c r="K56" s="1878" t="s">
        <v>1549</v>
      </c>
      <c r="L56" s="1881">
        <f ca="1">IF(L48&lt;J51,"——",L48-J53)</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1551</v>
      </c>
      <c r="L57" s="1881">
        <f ca="1">IF(L48&lt;J51,"——",IF(L55="比较法",L49,IF(L55="基准地价",L50,L51)))</f>
        <v>0</v>
      </c>
      <c r="O57" s="1875" t="s">
        <v>1037</v>
      </c>
      <c r="P57" s="1876" t="s">
        <v>1552</v>
      </c>
      <c r="Q57" s="1877" t="e">
        <f ca="1">L60</f>
        <v>#DIV/0!</v>
      </c>
      <c r="R57" s="1877" t="s">
        <v>1553</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0</v>
      </c>
      <c r="D62" s="1184" t="s">
        <v>1491</v>
      </c>
      <c r="E62" s="1169" t="s">
        <v>1492</v>
      </c>
      <c r="F62" s="371">
        <f t="shared" si="0"/>
        <v>18</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ROUND(C48*F66,1)</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5"/>
      <c r="O70" s="1885" t="s">
        <v>1045</v>
      </c>
      <c r="P70" s="1924" t="s">
        <v>1579</v>
      </c>
      <c r="Q70" s="1877">
        <f ca="1">C13</f>
        <v>0</v>
      </c>
      <c r="R70" s="1877" t="s">
        <v>1523</v>
      </c>
    </row>
    <row r="71" spans="1:18" s="1833" customFormat="1" ht="13.5" thickBot="1">
      <c r="A71" s="1190" t="s">
        <v>1029</v>
      </c>
      <c r="B71" s="1191" t="s">
        <v>1481</v>
      </c>
      <c r="C71" s="382" t="e">
        <f ca="1">ROUND(C68*10000/F71,0)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L10" sqref="L1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2" t="s">
        <v>2683</v>
      </c>
      <c r="C1" s="1619" t="s">
        <v>2527</v>
      </c>
      <c r="D1" s="1620" t="s">
        <v>27</v>
      </c>
      <c r="E1" s="1629"/>
      <c r="F1" s="2577" t="s">
        <v>3078</v>
      </c>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f>IF(C2="——",ROUND(C50*D3/10000,0),ROUND(C50*D3/10000,0)-D2)</f>
        <v>5659</v>
      </c>
      <c r="C2" s="2579" t="s">
        <v>70</v>
      </c>
      <c r="D2" s="1365"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44470</v>
      </c>
      <c r="C3" s="400" t="s">
        <v>2641</v>
      </c>
      <c r="D3" s="399">
        <f>IF(D1="",'数据-汇总表'!E3,SUMIF('数据-汇总表'!$C19:$C33,D1,'数据-汇总表'!$E19:$E33))</f>
        <v>1272.47</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15" t="s">
        <v>2648</v>
      </c>
      <c r="Q4" s="3216"/>
      <c r="R4" s="3195" t="s">
        <v>2644</v>
      </c>
      <c r="S4" s="3196"/>
      <c r="T4" s="3195" t="s">
        <v>2645</v>
      </c>
      <c r="U4" s="3196"/>
      <c r="V4" s="3223" t="s">
        <v>2646</v>
      </c>
      <c r="W4" s="3223"/>
      <c r="X4" s="2663"/>
      <c r="Y4" s="3195" t="s">
        <v>2648</v>
      </c>
      <c r="Z4" s="3196"/>
      <c r="AA4" s="3190" t="s">
        <v>2644</v>
      </c>
      <c r="AB4" s="3190" t="s">
        <v>2645</v>
      </c>
      <c r="AC4" s="3208" t="s">
        <v>2646</v>
      </c>
    </row>
    <row r="5" spans="1:29" ht="15">
      <c r="A5" s="404"/>
      <c r="B5" s="405"/>
      <c r="C5" s="3201" t="s">
        <v>2539</v>
      </c>
      <c r="D5" s="3202"/>
      <c r="E5" s="3199" t="s">
        <v>3084</v>
      </c>
      <c r="F5" s="3200"/>
      <c r="G5" s="3201" t="str">
        <f>E5</f>
        <v>万柳亿城中心C座</v>
      </c>
      <c r="H5" s="3202"/>
      <c r="I5" s="3201" t="str">
        <f>G5</f>
        <v>万柳亿城中心C座</v>
      </c>
      <c r="J5" s="3202"/>
      <c r="K5" s="610"/>
      <c r="L5" s="1130"/>
      <c r="M5" s="1131"/>
      <c r="N5" s="1131"/>
      <c r="O5" s="1131"/>
      <c r="P5" s="3217"/>
      <c r="Q5" s="3218"/>
      <c r="R5" s="3197"/>
      <c r="S5" s="3198"/>
      <c r="T5" s="3197"/>
      <c r="U5" s="3198"/>
      <c r="V5" s="3224"/>
      <c r="W5" s="3224"/>
      <c r="X5" s="1804"/>
      <c r="Y5" s="3197"/>
      <c r="Z5" s="3198"/>
      <c r="AA5" s="3191"/>
      <c r="AB5" s="3191"/>
      <c r="AC5" s="3209"/>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19"/>
      <c r="Q6" s="3220"/>
      <c r="R6" s="3197"/>
      <c r="S6" s="3198"/>
      <c r="T6" s="3221"/>
      <c r="U6" s="3222"/>
      <c r="V6" s="3224"/>
      <c r="W6" s="3224"/>
      <c r="X6" s="1804"/>
      <c r="Y6" s="3221"/>
      <c r="Z6" s="3222"/>
      <c r="AA6" s="3192"/>
      <c r="AB6" s="3192"/>
      <c r="AC6" s="3210"/>
    </row>
    <row r="7" spans="1:29" s="117" customFormat="1" ht="15.75" thickBot="1">
      <c r="A7" s="408" t="s">
        <v>2545</v>
      </c>
      <c r="B7" s="409"/>
      <c r="C7" s="410">
        <f>'数据-取费表'!B2</f>
        <v>44020</v>
      </c>
      <c r="D7" s="411">
        <v>100</v>
      </c>
      <c r="E7" s="412">
        <v>43586</v>
      </c>
      <c r="F7" s="413">
        <f>SUMIF(59:59,YEAR(E7)&amp;"-"&amp;MONTH(E7),60:60)</f>
        <v>97</v>
      </c>
      <c r="G7" s="412">
        <v>43952</v>
      </c>
      <c r="H7" s="411">
        <f>SUMIF(59:59,YEAR(G7)&amp;"-"&amp;MONTH(G7),60:60)</f>
        <v>100</v>
      </c>
      <c r="I7" s="412">
        <v>43983</v>
      </c>
      <c r="J7" s="411">
        <f>SUMIF(59:59,YEAR(I7)&amp;"-"&amp;MONTH(I7),60:60)</f>
        <v>100</v>
      </c>
      <c r="K7" s="611"/>
      <c r="L7" s="1132"/>
      <c r="M7" s="1133"/>
      <c r="N7" s="1133"/>
      <c r="O7" s="1133"/>
      <c r="P7" s="3225" t="s">
        <v>2546</v>
      </c>
      <c r="Q7" s="3226"/>
      <c r="R7" s="770" t="s">
        <v>17</v>
      </c>
      <c r="S7" s="771">
        <f t="shared" ref="S7:S15" si="0">F7</f>
        <v>97</v>
      </c>
      <c r="T7" s="770" t="s">
        <v>17</v>
      </c>
      <c r="U7" s="771">
        <f t="shared" ref="U7:U15" si="1">H7</f>
        <v>100</v>
      </c>
      <c r="V7" s="770" t="s">
        <v>17</v>
      </c>
      <c r="W7" s="771">
        <f t="shared" ref="W7:W15" si="2">J7</f>
        <v>100</v>
      </c>
      <c r="X7" s="772"/>
      <c r="Y7" s="3193" t="s">
        <v>2546</v>
      </c>
      <c r="Z7" s="3194"/>
      <c r="AA7" s="773">
        <f>D7/F7</f>
        <v>1.0309278350515463</v>
      </c>
      <c r="AB7" s="773">
        <f>D7/H7</f>
        <v>1</v>
      </c>
      <c r="AC7" s="2664">
        <f>D7/J7</f>
        <v>1</v>
      </c>
    </row>
    <row r="8" spans="1:29" s="117" customFormat="1" ht="15.75" thickBot="1">
      <c r="A8" s="408" t="s">
        <v>2547</v>
      </c>
      <c r="B8" s="409"/>
      <c r="C8" s="414" t="s">
        <v>2649</v>
      </c>
      <c r="D8" s="411">
        <v>100</v>
      </c>
      <c r="E8" s="414" t="s">
        <v>3079</v>
      </c>
      <c r="F8" s="413">
        <f>SUMIF(62:62,E8,63:63)-SUMIF(62:62,C8,63:63)+100</f>
        <v>100</v>
      </c>
      <c r="G8" s="414" t="s">
        <v>3079</v>
      </c>
      <c r="H8" s="411">
        <f>SUMIF(62:62,G8,63:63)-SUMIF(62:62,C8,63:63)+100</f>
        <v>100</v>
      </c>
      <c r="I8" s="414" t="s">
        <v>3079</v>
      </c>
      <c r="J8" s="411">
        <f>SUMIF(62:62,I8,63:63)-SUMIF(62:62,C8,63:63)+100</f>
        <v>100</v>
      </c>
      <c r="K8" s="611"/>
      <c r="L8" s="1132"/>
      <c r="M8" s="1133"/>
      <c r="N8" s="1133"/>
      <c r="O8" s="1133"/>
      <c r="P8" s="3225" t="s">
        <v>2549</v>
      </c>
      <c r="Q8" s="3194"/>
      <c r="R8" s="770" t="s">
        <v>17</v>
      </c>
      <c r="S8" s="771">
        <f t="shared" si="0"/>
        <v>100</v>
      </c>
      <c r="T8" s="770" t="s">
        <v>17</v>
      </c>
      <c r="U8" s="771">
        <f t="shared" si="1"/>
        <v>100</v>
      </c>
      <c r="V8" s="770" t="s">
        <v>17</v>
      </c>
      <c r="W8" s="771">
        <f t="shared" si="2"/>
        <v>100</v>
      </c>
      <c r="X8" s="772"/>
      <c r="Y8" s="3193" t="s">
        <v>2549</v>
      </c>
      <c r="Z8" s="3194"/>
      <c r="AA8" s="773">
        <f t="shared" ref="AA8:AA47" si="3">D8/F8</f>
        <v>1</v>
      </c>
      <c r="AB8" s="773">
        <f t="shared" ref="AB8:AB47" si="4">D8/H8</f>
        <v>1</v>
      </c>
      <c r="AC8" s="2664">
        <f t="shared" ref="AC8:AC47" si="5">D8/J8</f>
        <v>1</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7"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266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7"/>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2664">
        <f t="shared" si="5"/>
        <v>1</v>
      </c>
    </row>
    <row r="11" spans="1:29" ht="15">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7"/>
      <c r="Q11" s="1786" t="str">
        <f t="shared" si="6"/>
        <v>容积率</v>
      </c>
      <c r="R11" s="770" t="s">
        <v>17</v>
      </c>
      <c r="S11" s="771">
        <f t="shared" si="0"/>
        <v>100</v>
      </c>
      <c r="T11" s="770" t="s">
        <v>17</v>
      </c>
      <c r="U11" s="771">
        <f t="shared" si="1"/>
        <v>100</v>
      </c>
      <c r="V11" s="770" t="s">
        <v>17</v>
      </c>
      <c r="W11" s="771">
        <f t="shared" si="2"/>
        <v>100</v>
      </c>
      <c r="X11" s="772"/>
      <c r="Y11" s="3060"/>
      <c r="Z11" s="55" t="str">
        <f t="shared" si="7"/>
        <v>容积率</v>
      </c>
      <c r="AA11" s="773">
        <f t="shared" si="3"/>
        <v>1</v>
      </c>
      <c r="AB11" s="773">
        <f t="shared" si="4"/>
        <v>1</v>
      </c>
      <c r="AC11" s="2664">
        <f t="shared" si="5"/>
        <v>1</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7"/>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7"/>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7"/>
      <c r="Q14" s="1786">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2664">
        <f t="shared" si="5"/>
        <v>1</v>
      </c>
    </row>
    <row r="15" spans="1:29" ht="71.25">
      <c r="A15" s="440" t="s">
        <v>2556</v>
      </c>
      <c r="B15" s="629" t="s">
        <v>2684</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7" t="s">
        <v>2557</v>
      </c>
      <c r="Q15" s="1801" t="str">
        <f t="shared" si="6"/>
        <v>办公集聚程度</v>
      </c>
      <c r="R15" s="774" t="s">
        <v>17</v>
      </c>
      <c r="S15" s="775">
        <f t="shared" si="0"/>
        <v>100</v>
      </c>
      <c r="T15" s="774" t="s">
        <v>17</v>
      </c>
      <c r="U15" s="775">
        <f t="shared" si="1"/>
        <v>100</v>
      </c>
      <c r="V15" s="774" t="s">
        <v>17</v>
      </c>
      <c r="W15" s="775">
        <f t="shared" si="2"/>
        <v>100</v>
      </c>
      <c r="X15" s="1804"/>
      <c r="Y15" s="3229" t="s">
        <v>2557</v>
      </c>
      <c r="Z15" s="1805" t="str">
        <f t="shared" si="7"/>
        <v>办公集聚程度</v>
      </c>
      <c r="AA15" s="1802">
        <f t="shared" si="3"/>
        <v>1</v>
      </c>
      <c r="AB15" s="1802">
        <f t="shared" si="4"/>
        <v>1</v>
      </c>
      <c r="AC15" s="2667">
        <f t="shared" si="5"/>
        <v>1</v>
      </c>
    </row>
    <row r="16" spans="1:29" ht="15">
      <c r="A16" s="428"/>
      <c r="B16" s="630"/>
      <c r="C16" s="2604" t="s">
        <v>3109</v>
      </c>
      <c r="D16" s="448"/>
      <c r="E16" s="447" t="s">
        <v>3109</v>
      </c>
      <c r="F16" s="448"/>
      <c r="G16" s="2604" t="s">
        <v>3109</v>
      </c>
      <c r="H16" s="450"/>
      <c r="I16" s="447" t="s">
        <v>3109</v>
      </c>
      <c r="J16" s="448"/>
      <c r="K16" s="615"/>
      <c r="L16" s="1140"/>
      <c r="M16" s="1131"/>
      <c r="N16" s="1131"/>
      <c r="O16" s="1131"/>
      <c r="P16" s="3228"/>
      <c r="Q16" s="1801"/>
      <c r="R16" s="774"/>
      <c r="S16" s="775"/>
      <c r="T16" s="774"/>
      <c r="U16" s="775"/>
      <c r="V16" s="774"/>
      <c r="W16" s="775"/>
      <c r="X16" s="1804"/>
      <c r="Y16" s="3230"/>
      <c r="Z16" s="1805"/>
      <c r="AA16" s="1802">
        <v>1</v>
      </c>
      <c r="AB16" s="1802">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8"/>
      <c r="Q17" s="1801" t="str">
        <f>B17</f>
        <v>交通便捷度</v>
      </c>
      <c r="R17" s="774" t="s">
        <v>17</v>
      </c>
      <c r="S17" s="775">
        <f>F17</f>
        <v>100</v>
      </c>
      <c r="T17" s="774" t="s">
        <v>17</v>
      </c>
      <c r="U17" s="775">
        <f>H17</f>
        <v>100</v>
      </c>
      <c r="V17" s="774" t="s">
        <v>17</v>
      </c>
      <c r="W17" s="775">
        <f>J17</f>
        <v>100</v>
      </c>
      <c r="X17" s="1804"/>
      <c r="Y17" s="3230"/>
      <c r="Z17" s="1805" t="str">
        <f>Q17</f>
        <v>交通便捷度</v>
      </c>
      <c r="AA17" s="1802">
        <f t="shared" si="3"/>
        <v>1</v>
      </c>
      <c r="AB17" s="1802">
        <f t="shared" si="4"/>
        <v>1</v>
      </c>
      <c r="AC17" s="2667">
        <f t="shared" si="5"/>
        <v>1</v>
      </c>
    </row>
    <row r="18" spans="1:29" ht="15">
      <c r="A18" s="428"/>
      <c r="B18" s="632"/>
      <c r="C18" s="2669" t="s">
        <v>3109</v>
      </c>
      <c r="D18" s="450"/>
      <c r="E18" s="2602" t="s">
        <v>3109</v>
      </c>
      <c r="F18" s="450"/>
      <c r="G18" s="2603" t="s">
        <v>3109</v>
      </c>
      <c r="H18" s="448"/>
      <c r="I18" s="2603" t="s">
        <v>3109</v>
      </c>
      <c r="J18" s="448"/>
      <c r="K18" s="615"/>
      <c r="L18" s="1140"/>
      <c r="M18" s="1131"/>
      <c r="N18" s="1131"/>
      <c r="O18" s="1131"/>
      <c r="P18" s="3228"/>
      <c r="Q18" s="1801"/>
      <c r="R18" s="774"/>
      <c r="S18" s="775"/>
      <c r="T18" s="774"/>
      <c r="U18" s="775"/>
      <c r="V18" s="774"/>
      <c r="W18" s="775"/>
      <c r="X18" s="1804"/>
      <c r="Y18" s="3230"/>
      <c r="Z18" s="1805"/>
      <c r="AA18" s="1802">
        <v>1</v>
      </c>
      <c r="AB18" s="1802">
        <v>1</v>
      </c>
      <c r="AC18" s="2667">
        <v>1</v>
      </c>
    </row>
    <row r="19" spans="1:29" ht="42.75">
      <c r="A19" s="428"/>
      <c r="B19" s="631" t="s">
        <v>2685</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8"/>
      <c r="Q19" s="1801" t="str">
        <f>B19</f>
        <v>公共配套设施</v>
      </c>
      <c r="R19" s="774" t="s">
        <v>17</v>
      </c>
      <c r="S19" s="775">
        <f>F19</f>
        <v>100</v>
      </c>
      <c r="T19" s="774" t="s">
        <v>17</v>
      </c>
      <c r="U19" s="775">
        <f>H19</f>
        <v>100</v>
      </c>
      <c r="V19" s="774" t="s">
        <v>17</v>
      </c>
      <c r="W19" s="775">
        <f>J19</f>
        <v>100</v>
      </c>
      <c r="X19" s="1804"/>
      <c r="Y19" s="3230"/>
      <c r="Z19" s="1805" t="str">
        <f>Q19</f>
        <v>公共配套设施</v>
      </c>
      <c r="AA19" s="1802">
        <f t="shared" si="3"/>
        <v>1</v>
      </c>
      <c r="AB19" s="1802">
        <f t="shared" si="4"/>
        <v>1</v>
      </c>
      <c r="AC19" s="2667">
        <f t="shared" si="5"/>
        <v>1</v>
      </c>
    </row>
    <row r="20" spans="1:29" ht="15">
      <c r="A20" s="428"/>
      <c r="B20" s="632"/>
      <c r="C20" s="2604" t="s">
        <v>3109</v>
      </c>
      <c r="D20" s="448"/>
      <c r="E20" s="2597" t="s">
        <v>3109</v>
      </c>
      <c r="F20" s="448"/>
      <c r="G20" s="2598" t="s">
        <v>3109</v>
      </c>
      <c r="H20" s="448"/>
      <c r="I20" s="2598" t="s">
        <v>3109</v>
      </c>
      <c r="J20" s="448"/>
      <c r="K20" s="615"/>
      <c r="L20" s="1140"/>
      <c r="M20" s="1131"/>
      <c r="N20" s="1131"/>
      <c r="O20" s="1131"/>
      <c r="P20" s="3228"/>
      <c r="Q20" s="1801"/>
      <c r="R20" s="774"/>
      <c r="S20" s="775"/>
      <c r="T20" s="774"/>
      <c r="U20" s="775"/>
      <c r="V20" s="774"/>
      <c r="W20" s="775"/>
      <c r="X20" s="1804"/>
      <c r="Y20" s="3230"/>
      <c r="Z20" s="1805"/>
      <c r="AA20" s="1802">
        <v>1</v>
      </c>
      <c r="AB20" s="1802">
        <v>1</v>
      </c>
      <c r="AC20" s="2667">
        <v>1</v>
      </c>
    </row>
    <row r="21" spans="1:29" ht="28.5">
      <c r="A21" s="428"/>
      <c r="B21" s="633" t="s">
        <v>2686</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8"/>
      <c r="Q21" s="1801" t="str">
        <f>B21</f>
        <v>基础设施水平</v>
      </c>
      <c r="R21" s="774" t="s">
        <v>17</v>
      </c>
      <c r="S21" s="775">
        <f>F21</f>
        <v>100</v>
      </c>
      <c r="T21" s="774" t="s">
        <v>17</v>
      </c>
      <c r="U21" s="775">
        <f>H21</f>
        <v>100</v>
      </c>
      <c r="V21" s="774" t="s">
        <v>17</v>
      </c>
      <c r="W21" s="775">
        <f>J21</f>
        <v>100</v>
      </c>
      <c r="X21" s="1804"/>
      <c r="Y21" s="3230"/>
      <c r="Z21" s="1805" t="str">
        <f>Q21</f>
        <v>基础设施水平</v>
      </c>
      <c r="AA21" s="1802">
        <f t="shared" ref="AA21" si="8">D21/F21</f>
        <v>1</v>
      </c>
      <c r="AB21" s="1802">
        <f t="shared" ref="AB21" si="9">D21/H21</f>
        <v>1</v>
      </c>
      <c r="AC21" s="2667">
        <f t="shared" ref="AC21" si="10">D21/J21</f>
        <v>1</v>
      </c>
    </row>
    <row r="22" spans="1:29" ht="15">
      <c r="A22" s="428"/>
      <c r="B22" s="633"/>
      <c r="C22" s="2669" t="s">
        <v>3089</v>
      </c>
      <c r="D22" s="448"/>
      <c r="E22" s="447" t="s">
        <v>3089</v>
      </c>
      <c r="F22" s="448"/>
      <c r="G22" s="2604" t="s">
        <v>3089</v>
      </c>
      <c r="H22" s="448"/>
      <c r="I22" s="2604" t="s">
        <v>3089</v>
      </c>
      <c r="J22" s="448"/>
      <c r="K22" s="1383"/>
      <c r="L22" s="1140"/>
      <c r="M22" s="1131"/>
      <c r="N22" s="1131"/>
      <c r="O22" s="1131"/>
      <c r="P22" s="3228"/>
      <c r="Q22" s="1801"/>
      <c r="R22" s="774"/>
      <c r="S22" s="775"/>
      <c r="T22" s="774"/>
      <c r="U22" s="775"/>
      <c r="V22" s="774"/>
      <c r="W22" s="775"/>
      <c r="X22" s="1804"/>
      <c r="Y22" s="3230"/>
      <c r="Z22" s="1805"/>
      <c r="AA22" s="1802">
        <v>1</v>
      </c>
      <c r="AB22" s="1802">
        <v>1</v>
      </c>
      <c r="AC22" s="2667">
        <v>1</v>
      </c>
    </row>
    <row r="23" spans="1:29" ht="42.75">
      <c r="A23" s="428"/>
      <c r="B23" s="631" t="s">
        <v>2687</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8"/>
      <c r="Q23" s="1801" t="str">
        <f>B23</f>
        <v>环境质量</v>
      </c>
      <c r="R23" s="774" t="s">
        <v>17</v>
      </c>
      <c r="S23" s="775">
        <f>F23</f>
        <v>100</v>
      </c>
      <c r="T23" s="774" t="s">
        <v>17</v>
      </c>
      <c r="U23" s="775">
        <f>H23</f>
        <v>100</v>
      </c>
      <c r="V23" s="774" t="s">
        <v>17</v>
      </c>
      <c r="W23" s="775">
        <f>J23</f>
        <v>100</v>
      </c>
      <c r="X23" s="1804"/>
      <c r="Y23" s="3230"/>
      <c r="Z23" s="1805" t="str">
        <f>Q23</f>
        <v>环境质量</v>
      </c>
      <c r="AA23" s="1802">
        <f t="shared" si="3"/>
        <v>1</v>
      </c>
      <c r="AB23" s="1802">
        <f t="shared" si="4"/>
        <v>1</v>
      </c>
      <c r="AC23" s="2667">
        <f t="shared" si="5"/>
        <v>1</v>
      </c>
    </row>
    <row r="24" spans="1:29" ht="15">
      <c r="A24" s="428"/>
      <c r="B24" s="633"/>
      <c r="C24" s="2604" t="s">
        <v>3109</v>
      </c>
      <c r="D24" s="448"/>
      <c r="E24" s="2597" t="s">
        <v>3109</v>
      </c>
      <c r="F24" s="448"/>
      <c r="G24" s="2598" t="s">
        <v>3109</v>
      </c>
      <c r="H24" s="448"/>
      <c r="I24" s="2598" t="s">
        <v>3109</v>
      </c>
      <c r="J24" s="448"/>
      <c r="K24" s="615"/>
      <c r="L24" s="1140"/>
      <c r="M24" s="1131"/>
      <c r="N24" s="1131"/>
      <c r="O24" s="1131"/>
      <c r="P24" s="3228"/>
      <c r="Q24" s="1801"/>
      <c r="R24" s="774"/>
      <c r="S24" s="775"/>
      <c r="T24" s="774"/>
      <c r="U24" s="775"/>
      <c r="V24" s="774"/>
      <c r="W24" s="775"/>
      <c r="X24" s="1804"/>
      <c r="Y24" s="3230"/>
      <c r="Z24" s="1805"/>
      <c r="AA24" s="1802">
        <v>1</v>
      </c>
      <c r="AB24" s="1802">
        <v>1</v>
      </c>
      <c r="AC24" s="2667">
        <v>1</v>
      </c>
    </row>
    <row r="25" spans="1:29" ht="27">
      <c r="A25" s="404"/>
      <c r="B25" s="631" t="s">
        <v>2688</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28"/>
      <c r="Q25" s="1801" t="str">
        <f>B25</f>
        <v>毗邻道路的类型与等级</v>
      </c>
      <c r="R25" s="774" t="s">
        <v>17</v>
      </c>
      <c r="S25" s="775">
        <f>F25</f>
        <v>100</v>
      </c>
      <c r="T25" s="774" t="s">
        <v>17</v>
      </c>
      <c r="U25" s="775">
        <f>H25</f>
        <v>100</v>
      </c>
      <c r="V25" s="774" t="s">
        <v>17</v>
      </c>
      <c r="W25" s="775">
        <f>J25</f>
        <v>100</v>
      </c>
      <c r="X25" s="1804"/>
      <c r="Y25" s="3230"/>
      <c r="Z25" s="1805" t="str">
        <f>Q25</f>
        <v>毗邻道路的类型与等级</v>
      </c>
      <c r="AA25" s="1802">
        <f t="shared" si="3"/>
        <v>1</v>
      </c>
      <c r="AB25" s="1802">
        <f t="shared" si="4"/>
        <v>1</v>
      </c>
      <c r="AC25" s="2667">
        <f t="shared" si="5"/>
        <v>1</v>
      </c>
    </row>
    <row r="26" spans="1:29" ht="15">
      <c r="A26" s="404"/>
      <c r="B26" s="632"/>
      <c r="C26" s="634"/>
      <c r="D26" s="435"/>
      <c r="E26" s="616"/>
      <c r="F26" s="435"/>
      <c r="G26" s="634"/>
      <c r="H26" s="435"/>
      <c r="I26" s="616"/>
      <c r="J26" s="435"/>
      <c r="K26" s="615"/>
      <c r="L26" s="1140"/>
      <c r="M26" s="1131"/>
      <c r="N26" s="1131"/>
      <c r="O26" s="1131"/>
      <c r="P26" s="3228"/>
      <c r="Q26" s="1801"/>
      <c r="R26" s="774"/>
      <c r="S26" s="775"/>
      <c r="T26" s="774"/>
      <c r="U26" s="775"/>
      <c r="V26" s="774"/>
      <c r="W26" s="775"/>
      <c r="X26" s="1804"/>
      <c r="Y26" s="3230"/>
      <c r="Z26" s="1805"/>
      <c r="AA26" s="1802">
        <v>1</v>
      </c>
      <c r="AB26" s="1802">
        <v>1</v>
      </c>
      <c r="AC26" s="2667">
        <v>1</v>
      </c>
    </row>
    <row r="27" spans="1:29" ht="15">
      <c r="A27" s="428"/>
      <c r="B27" s="632" t="s">
        <v>2656</v>
      </c>
      <c r="C27" s="634" t="s">
        <v>3107</v>
      </c>
      <c r="D27" s="435">
        <v>100</v>
      </c>
      <c r="E27" s="616" t="s">
        <v>3105</v>
      </c>
      <c r="F27" s="435">
        <f>SUMIF(89:89,E27,90:90)-SUMIF(89:89,C27,90:90)+100</f>
        <v>102</v>
      </c>
      <c r="G27" s="634" t="s">
        <v>3107</v>
      </c>
      <c r="H27" s="435">
        <f>SUMIF(89:89,G27,90:90)-SUMIF(89:89,C27,90:90)+100</f>
        <v>100</v>
      </c>
      <c r="I27" s="616" t="s">
        <v>3105</v>
      </c>
      <c r="J27" s="435">
        <f>SUMIF(89:89,I27,90:90)-SUMIF(89:89,C27,90:90)+100</f>
        <v>102</v>
      </c>
      <c r="K27" s="612">
        <v>2</v>
      </c>
      <c r="L27" s="1140"/>
      <c r="M27" s="1131"/>
      <c r="N27" s="1131"/>
      <c r="O27" s="1131"/>
      <c r="P27" s="3228"/>
      <c r="Q27" s="1801" t="str">
        <f t="shared" ref="Q27:Q47" si="11">B27</f>
        <v>楼层</v>
      </c>
      <c r="R27" s="774" t="s">
        <v>17</v>
      </c>
      <c r="S27" s="775">
        <f>F27</f>
        <v>102</v>
      </c>
      <c r="T27" s="774" t="s">
        <v>17</v>
      </c>
      <c r="U27" s="775">
        <f>H27</f>
        <v>100</v>
      </c>
      <c r="V27" s="774" t="s">
        <v>17</v>
      </c>
      <c r="W27" s="775">
        <f>J27</f>
        <v>102</v>
      </c>
      <c r="X27" s="1804"/>
      <c r="Y27" s="3230"/>
      <c r="Z27" s="1805" t="str">
        <f>Q27</f>
        <v>楼层</v>
      </c>
      <c r="AA27" s="1802">
        <f t="shared" si="3"/>
        <v>0.98039215686274506</v>
      </c>
      <c r="AB27" s="1802">
        <f t="shared" si="4"/>
        <v>1</v>
      </c>
      <c r="AC27" s="2667">
        <f t="shared" si="5"/>
        <v>0.98039215686274506</v>
      </c>
    </row>
    <row r="28" spans="1:29" s="117" customFormat="1" ht="15">
      <c r="A28" s="431"/>
      <c r="B28" s="631" t="s">
        <v>2689</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28"/>
      <c r="Q28" s="1786" t="str">
        <f t="shared" si="11"/>
        <v>朝向</v>
      </c>
      <c r="R28" s="770" t="s">
        <v>17</v>
      </c>
      <c r="S28" s="771">
        <f>F28</f>
        <v>100</v>
      </c>
      <c r="T28" s="770" t="s">
        <v>17</v>
      </c>
      <c r="U28" s="771">
        <f>H28</f>
        <v>100</v>
      </c>
      <c r="V28" s="770" t="s">
        <v>17</v>
      </c>
      <c r="W28" s="771">
        <f>J28</f>
        <v>100</v>
      </c>
      <c r="X28" s="772"/>
      <c r="Y28" s="3230"/>
      <c r="Z28" s="55" t="str">
        <f>Q28</f>
        <v>朝向</v>
      </c>
      <c r="AA28" s="1802">
        <f>D28/F28</f>
        <v>1</v>
      </c>
      <c r="AB28" s="1802">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28"/>
      <c r="Q29" s="1801">
        <f t="shared" si="11"/>
        <v>111</v>
      </c>
      <c r="R29" s="774" t="s">
        <v>17</v>
      </c>
      <c r="S29" s="775">
        <f t="shared" ref="S29:S47" si="12">F29</f>
        <v>100</v>
      </c>
      <c r="T29" s="774" t="s">
        <v>17</v>
      </c>
      <c r="U29" s="775">
        <f t="shared" ref="U29:U47" si="13">H29</f>
        <v>100</v>
      </c>
      <c r="V29" s="774" t="s">
        <v>17</v>
      </c>
      <c r="W29" s="775">
        <f t="shared" ref="W29:W47" si="14">J29</f>
        <v>100</v>
      </c>
      <c r="X29" s="1804"/>
      <c r="Y29" s="3230"/>
      <c r="Z29" s="1805">
        <f t="shared" ref="Z29:Z47" si="15">Q29</f>
        <v>111</v>
      </c>
      <c r="AA29" s="1802">
        <f t="shared" si="3"/>
        <v>1</v>
      </c>
      <c r="AB29" s="1802">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28"/>
      <c r="Q30" s="1801">
        <f t="shared" si="11"/>
        <v>111</v>
      </c>
      <c r="R30" s="774" t="s">
        <v>17</v>
      </c>
      <c r="S30" s="775">
        <f t="shared" si="12"/>
        <v>100</v>
      </c>
      <c r="T30" s="774" t="s">
        <v>17</v>
      </c>
      <c r="U30" s="775">
        <f t="shared" si="13"/>
        <v>100</v>
      </c>
      <c r="V30" s="774" t="s">
        <v>17</v>
      </c>
      <c r="W30" s="775">
        <f t="shared" si="14"/>
        <v>100</v>
      </c>
      <c r="X30" s="1804"/>
      <c r="Y30" s="3230"/>
      <c r="Z30" s="1805">
        <f t="shared" si="15"/>
        <v>111</v>
      </c>
      <c r="AA30" s="1802">
        <f t="shared" si="3"/>
        <v>1</v>
      </c>
      <c r="AB30" s="1802">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28"/>
      <c r="Q31" s="1801">
        <f t="shared" si="11"/>
        <v>111</v>
      </c>
      <c r="R31" s="774" t="s">
        <v>17</v>
      </c>
      <c r="S31" s="775">
        <f t="shared" si="12"/>
        <v>100</v>
      </c>
      <c r="T31" s="774" t="s">
        <v>17</v>
      </c>
      <c r="U31" s="775">
        <f t="shared" si="13"/>
        <v>100</v>
      </c>
      <c r="V31" s="774" t="s">
        <v>17</v>
      </c>
      <c r="W31" s="775">
        <f t="shared" si="14"/>
        <v>100</v>
      </c>
      <c r="X31" s="1804"/>
      <c r="Y31" s="3230"/>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28"/>
      <c r="Q32" s="1801">
        <f t="shared" si="11"/>
        <v>111</v>
      </c>
      <c r="R32" s="774" t="s">
        <v>17</v>
      </c>
      <c r="S32" s="775">
        <f t="shared" si="12"/>
        <v>100</v>
      </c>
      <c r="T32" s="774" t="s">
        <v>17</v>
      </c>
      <c r="U32" s="775">
        <f t="shared" si="13"/>
        <v>100</v>
      </c>
      <c r="V32" s="774" t="s">
        <v>17</v>
      </c>
      <c r="W32" s="775">
        <f t="shared" si="14"/>
        <v>100</v>
      </c>
      <c r="X32" s="1804"/>
      <c r="Y32" s="3230"/>
      <c r="Z32" s="1805">
        <f t="shared" si="15"/>
        <v>111</v>
      </c>
      <c r="AA32" s="1802">
        <f t="shared" si="3"/>
        <v>1</v>
      </c>
      <c r="AB32" s="1802">
        <f t="shared" si="4"/>
        <v>1</v>
      </c>
      <c r="AC32" s="2667">
        <f t="shared" si="5"/>
        <v>1</v>
      </c>
    </row>
    <row r="33" spans="1:29" ht="15">
      <c r="A33" s="440" t="s">
        <v>2560</v>
      </c>
      <c r="B33" s="71" t="s">
        <v>2690</v>
      </c>
      <c r="C33" s="2672" t="s">
        <v>3102</v>
      </c>
      <c r="D33" s="467">
        <v>100</v>
      </c>
      <c r="E33" s="2672" t="s">
        <v>3102</v>
      </c>
      <c r="F33" s="461">
        <f>SUMIF(101:101,E33,102:102)-SUMIF(101:101,C33,102:102)+100</f>
        <v>100</v>
      </c>
      <c r="G33" s="2672" t="s">
        <v>3102</v>
      </c>
      <c r="H33" s="435">
        <f>SUMIF(101:101,G33,102:102)-SUMIF(101:101,C33,102:102)+100</f>
        <v>100</v>
      </c>
      <c r="I33" s="2672" t="s">
        <v>3102</v>
      </c>
      <c r="J33" s="467">
        <f>SUMIF(101:101,I33,102:102)-SUMIF(101:101,C33,102:102)+100</f>
        <v>100</v>
      </c>
      <c r="K33" s="612"/>
      <c r="L33" s="1140"/>
      <c r="M33" s="1131"/>
      <c r="N33" s="1131"/>
      <c r="O33" s="1131"/>
      <c r="P33" s="3231" t="s">
        <v>2562</v>
      </c>
      <c r="Q33" s="1801" t="str">
        <f t="shared" si="11"/>
        <v>建筑类型</v>
      </c>
      <c r="R33" s="774" t="s">
        <v>17</v>
      </c>
      <c r="S33" s="775">
        <f t="shared" si="12"/>
        <v>100</v>
      </c>
      <c r="T33" s="774" t="s">
        <v>17</v>
      </c>
      <c r="U33" s="775">
        <f t="shared" si="13"/>
        <v>100</v>
      </c>
      <c r="V33" s="774" t="s">
        <v>17</v>
      </c>
      <c r="W33" s="775">
        <f t="shared" si="14"/>
        <v>100</v>
      </c>
      <c r="X33" s="1804"/>
      <c r="Y33" s="3234" t="s">
        <v>2562</v>
      </c>
      <c r="Z33" s="1805" t="str">
        <f t="shared" si="15"/>
        <v>建筑类型</v>
      </c>
      <c r="AA33" s="1802">
        <f t="shared" si="3"/>
        <v>1</v>
      </c>
      <c r="AB33" s="1802">
        <f t="shared" si="4"/>
        <v>1</v>
      </c>
      <c r="AC33" s="2667">
        <f t="shared" si="5"/>
        <v>1</v>
      </c>
    </row>
    <row r="34" spans="1:29" s="471" customFormat="1" ht="15">
      <c r="A34" s="468"/>
      <c r="B34" s="422" t="s">
        <v>2563</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32"/>
      <c r="Q34" s="776" t="str">
        <f t="shared" si="11"/>
        <v>项目建筑规模</v>
      </c>
      <c r="R34" s="777" t="s">
        <v>17</v>
      </c>
      <c r="S34" s="778">
        <f t="shared" si="12"/>
        <v>100</v>
      </c>
      <c r="T34" s="777" t="s">
        <v>17</v>
      </c>
      <c r="U34" s="778">
        <f t="shared" si="13"/>
        <v>100</v>
      </c>
      <c r="V34" s="777" t="s">
        <v>17</v>
      </c>
      <c r="W34" s="778">
        <f t="shared" si="14"/>
        <v>100</v>
      </c>
      <c r="X34" s="779"/>
      <c r="Y34" s="3234"/>
      <c r="Z34" s="780" t="str">
        <f t="shared" si="15"/>
        <v>项目建筑规模</v>
      </c>
      <c r="AA34" s="1802">
        <f t="shared" si="3"/>
        <v>1</v>
      </c>
      <c r="AB34" s="1802">
        <f t="shared" si="4"/>
        <v>1</v>
      </c>
      <c r="AC34" s="2667">
        <f t="shared" si="5"/>
        <v>1</v>
      </c>
    </row>
    <row r="35" spans="1:29" ht="15">
      <c r="A35" s="472"/>
      <c r="B35" s="422" t="s">
        <v>2564</v>
      </c>
      <c r="C35" s="460" t="s">
        <v>3076</v>
      </c>
      <c r="D35" s="435">
        <v>100</v>
      </c>
      <c r="E35" s="460" t="s">
        <v>3076</v>
      </c>
      <c r="F35" s="461">
        <f>SUMIF(106:106,E35,107:107)-SUMIF(106:106,C35,107:107)+100</f>
        <v>100</v>
      </c>
      <c r="G35" s="460" t="s">
        <v>3076</v>
      </c>
      <c r="H35" s="435">
        <f>SUMIF(106:106,G35,107:107)-SUMIF(106:106,C35,107:107)+100</f>
        <v>100</v>
      </c>
      <c r="I35" s="460" t="s">
        <v>3076</v>
      </c>
      <c r="J35" s="435">
        <f>SUMIF(106:106,I35,107:107)-SUMIF(106:106,C35,107:107)+100</f>
        <v>100</v>
      </c>
      <c r="K35" s="612"/>
      <c r="L35" s="1140"/>
      <c r="M35" s="1131"/>
      <c r="N35" s="1131"/>
      <c r="O35" s="1131"/>
      <c r="P35" s="3232"/>
      <c r="Q35" s="1801" t="str">
        <f t="shared" si="11"/>
        <v>建筑结构</v>
      </c>
      <c r="R35" s="774" t="s">
        <v>17</v>
      </c>
      <c r="S35" s="775">
        <f t="shared" si="12"/>
        <v>100</v>
      </c>
      <c r="T35" s="774" t="s">
        <v>17</v>
      </c>
      <c r="U35" s="775">
        <f t="shared" si="13"/>
        <v>100</v>
      </c>
      <c r="V35" s="774" t="s">
        <v>17</v>
      </c>
      <c r="W35" s="775">
        <f t="shared" si="14"/>
        <v>100</v>
      </c>
      <c r="X35" s="1804"/>
      <c r="Y35" s="3234"/>
      <c r="Z35" s="1805" t="str">
        <f t="shared" si="15"/>
        <v>建筑结构</v>
      </c>
      <c r="AA35" s="1802">
        <f t="shared" si="3"/>
        <v>1</v>
      </c>
      <c r="AB35" s="1802">
        <f t="shared" si="4"/>
        <v>1</v>
      </c>
      <c r="AC35" s="2667">
        <f t="shared" si="5"/>
        <v>1</v>
      </c>
    </row>
    <row r="36" spans="1:29" ht="15">
      <c r="A36" s="472"/>
      <c r="B36" s="422" t="s">
        <v>2658</v>
      </c>
      <c r="C36" s="460" t="s">
        <v>3097</v>
      </c>
      <c r="D36" s="435">
        <v>100</v>
      </c>
      <c r="E36" s="460" t="s">
        <v>3097</v>
      </c>
      <c r="F36" s="461">
        <f>SUMIF(108:108,E36,109:109)-SUMIF(108:108,C36,109:109)+100</f>
        <v>100</v>
      </c>
      <c r="G36" s="460" t="s">
        <v>3097</v>
      </c>
      <c r="H36" s="435">
        <f>SUMIF(108:108,G36,109:109)-SUMIF(108:108,C36,109:109)+100</f>
        <v>100</v>
      </c>
      <c r="I36" s="460" t="s">
        <v>3097</v>
      </c>
      <c r="J36" s="435">
        <f>SUMIF(108:108,I36,109:109)-SUMIF(108:108,C36,109:109)+100</f>
        <v>100</v>
      </c>
      <c r="K36" s="612"/>
      <c r="L36" s="1140"/>
      <c r="M36" s="1131"/>
      <c r="N36" s="1131"/>
      <c r="O36" s="1131"/>
      <c r="P36" s="3232"/>
      <c r="Q36" s="1801" t="str">
        <f t="shared" si="11"/>
        <v>公共部分装修</v>
      </c>
      <c r="R36" s="774" t="s">
        <v>17</v>
      </c>
      <c r="S36" s="775">
        <f t="shared" si="12"/>
        <v>100</v>
      </c>
      <c r="T36" s="774" t="s">
        <v>17</v>
      </c>
      <c r="U36" s="775">
        <f t="shared" si="13"/>
        <v>100</v>
      </c>
      <c r="V36" s="774" t="s">
        <v>17</v>
      </c>
      <c r="W36" s="775">
        <f t="shared" si="14"/>
        <v>100</v>
      </c>
      <c r="X36" s="1804"/>
      <c r="Y36" s="3234"/>
      <c r="Z36" s="1805" t="str">
        <f t="shared" si="15"/>
        <v>公共部分装修</v>
      </c>
      <c r="AA36" s="1802">
        <f t="shared" si="3"/>
        <v>1</v>
      </c>
      <c r="AB36" s="1802">
        <f t="shared" si="4"/>
        <v>1</v>
      </c>
      <c r="AC36" s="2667">
        <f t="shared" si="5"/>
        <v>1</v>
      </c>
    </row>
    <row r="37" spans="1:29" ht="15">
      <c r="A37" s="472"/>
      <c r="B37" s="422" t="s">
        <v>2659</v>
      </c>
      <c r="C37" s="474">
        <f>'数据-取费表'!Y6</f>
        <v>0.73</v>
      </c>
      <c r="D37" s="435">
        <v>100</v>
      </c>
      <c r="E37" s="474">
        <f>C37</f>
        <v>0.73</v>
      </c>
      <c r="F37" s="461">
        <f>LOOKUP(E37,111:111,112:112)-LOOKUP(C37,111:111,112:112)+100</f>
        <v>100</v>
      </c>
      <c r="G37" s="474">
        <f>C37</f>
        <v>0.73</v>
      </c>
      <c r="H37" s="461">
        <f>LOOKUP(G37,111:111,112:112)-LOOKUP(C37,111:111,112:112)+100</f>
        <v>100</v>
      </c>
      <c r="I37" s="474">
        <f>C37</f>
        <v>0.73</v>
      </c>
      <c r="J37" s="435">
        <f>LOOKUP(I37,111:111,112:112)-LOOKUP(C37,111:111,112:112)+100</f>
        <v>100</v>
      </c>
      <c r="K37" s="612"/>
      <c r="L37" s="1140"/>
      <c r="M37" s="1131"/>
      <c r="N37" s="1131"/>
      <c r="O37" s="1131"/>
      <c r="P37" s="3232"/>
      <c r="Q37" s="1801" t="str">
        <f t="shared" si="11"/>
        <v>成新度</v>
      </c>
      <c r="R37" s="774" t="s">
        <v>17</v>
      </c>
      <c r="S37" s="775">
        <f t="shared" si="12"/>
        <v>100</v>
      </c>
      <c r="T37" s="774" t="s">
        <v>17</v>
      </c>
      <c r="U37" s="775">
        <f t="shared" si="13"/>
        <v>100</v>
      </c>
      <c r="V37" s="774" t="s">
        <v>17</v>
      </c>
      <c r="W37" s="775">
        <f t="shared" si="14"/>
        <v>100</v>
      </c>
      <c r="X37" s="1804"/>
      <c r="Y37" s="3234"/>
      <c r="Z37" s="1805" t="str">
        <f t="shared" si="15"/>
        <v>成新度</v>
      </c>
      <c r="AA37" s="1802">
        <f t="shared" si="3"/>
        <v>1</v>
      </c>
      <c r="AB37" s="1802">
        <f t="shared" si="4"/>
        <v>1</v>
      </c>
      <c r="AC37" s="2667">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86"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64">
        <f t="shared" si="5"/>
        <v>1</v>
      </c>
    </row>
    <row r="39" spans="1:29" ht="15">
      <c r="A39" s="472"/>
      <c r="B39" s="422" t="s">
        <v>2692</v>
      </c>
      <c r="C39" s="460" t="s">
        <v>3087</v>
      </c>
      <c r="D39" s="435">
        <v>100</v>
      </c>
      <c r="E39" s="460" t="s">
        <v>3087</v>
      </c>
      <c r="F39" s="461">
        <f>SUMIF(115:115,E39,116:116)-SUMIF(115:115,C39,116:116)+100</f>
        <v>100</v>
      </c>
      <c r="G39" s="460" t="s">
        <v>3087</v>
      </c>
      <c r="H39" s="435">
        <f>SUMIF(115:115,G39,116:116)-SUMIF(115:115,C39,116:116)+100</f>
        <v>100</v>
      </c>
      <c r="I39" s="460" t="s">
        <v>3087</v>
      </c>
      <c r="J39" s="435">
        <f>SUMIF(115:115,I39,116:116)-SUMIF(115:115,C39,116:116)+100</f>
        <v>100</v>
      </c>
      <c r="K39" s="612"/>
      <c r="L39" s="1140"/>
      <c r="M39" s="1131"/>
      <c r="N39" s="1131"/>
      <c r="O39" s="1131"/>
      <c r="P39" s="3232" t="s">
        <v>2562</v>
      </c>
      <c r="Q39" s="1801" t="str">
        <f t="shared" si="11"/>
        <v>物业管理</v>
      </c>
      <c r="R39" s="774" t="s">
        <v>17</v>
      </c>
      <c r="S39" s="775">
        <f t="shared" si="12"/>
        <v>100</v>
      </c>
      <c r="T39" s="774" t="s">
        <v>17</v>
      </c>
      <c r="U39" s="775">
        <f t="shared" si="13"/>
        <v>100</v>
      </c>
      <c r="V39" s="774" t="s">
        <v>17</v>
      </c>
      <c r="W39" s="775">
        <f t="shared" si="14"/>
        <v>100</v>
      </c>
      <c r="X39" s="1804"/>
      <c r="Y39" s="3234" t="s">
        <v>2562</v>
      </c>
      <c r="Z39" s="1805" t="str">
        <f t="shared" si="15"/>
        <v>物业管理</v>
      </c>
      <c r="AA39" s="1802">
        <f t="shared" si="3"/>
        <v>1</v>
      </c>
      <c r="AB39" s="1802">
        <f t="shared" si="4"/>
        <v>1</v>
      </c>
      <c r="AC39" s="2667">
        <f t="shared" si="5"/>
        <v>1</v>
      </c>
    </row>
    <row r="40" spans="1:29" ht="15">
      <c r="A40" s="472"/>
      <c r="B40" s="422" t="s">
        <v>2660</v>
      </c>
      <c r="C40" s="460" t="s">
        <v>3089</v>
      </c>
      <c r="D40" s="435">
        <v>100</v>
      </c>
      <c r="E40" s="460" t="s">
        <v>3089</v>
      </c>
      <c r="F40" s="461">
        <f>SUMIF(117:117,E40,118:118)-SUMIF(117:117,C40,118:118)+100</f>
        <v>100</v>
      </c>
      <c r="G40" s="460" t="s">
        <v>3089</v>
      </c>
      <c r="H40" s="435">
        <f>SUMIF(117:117,G40,118:118)-SUMIF(117:117,C40,118:118)+100</f>
        <v>100</v>
      </c>
      <c r="I40" s="460" t="s">
        <v>3089</v>
      </c>
      <c r="J40" s="435">
        <f>SUMIF(117:117,I40,118:118)-SUMIF(117:117,C40,118:118)+100</f>
        <v>100</v>
      </c>
      <c r="K40" s="612"/>
      <c r="L40" s="1140"/>
      <c r="M40" s="1131"/>
      <c r="N40" s="1131"/>
      <c r="O40" s="1131"/>
      <c r="P40" s="3232"/>
      <c r="Q40" s="1801" t="str">
        <f t="shared" si="11"/>
        <v>市政基础设施</v>
      </c>
      <c r="R40" s="774" t="s">
        <v>17</v>
      </c>
      <c r="S40" s="775">
        <f t="shared" si="12"/>
        <v>100</v>
      </c>
      <c r="T40" s="774" t="s">
        <v>17</v>
      </c>
      <c r="U40" s="775">
        <f t="shared" si="13"/>
        <v>100</v>
      </c>
      <c r="V40" s="774" t="s">
        <v>17</v>
      </c>
      <c r="W40" s="775">
        <f t="shared" si="14"/>
        <v>100</v>
      </c>
      <c r="X40" s="1804"/>
      <c r="Y40" s="3234"/>
      <c r="Z40" s="1805" t="str">
        <f t="shared" si="15"/>
        <v>市政基础设施</v>
      </c>
      <c r="AA40" s="1802">
        <f t="shared" si="3"/>
        <v>1</v>
      </c>
      <c r="AB40" s="1802">
        <f t="shared" si="4"/>
        <v>1</v>
      </c>
      <c r="AC40" s="2667">
        <f t="shared" si="5"/>
        <v>1</v>
      </c>
    </row>
    <row r="41" spans="1:29" ht="15.75" thickBot="1">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01" t="str">
        <f t="shared" si="11"/>
        <v>层高</v>
      </c>
      <c r="R41" s="774" t="s">
        <v>17</v>
      </c>
      <c r="S41" s="775">
        <f t="shared" si="12"/>
        <v>100</v>
      </c>
      <c r="T41" s="774" t="s">
        <v>17</v>
      </c>
      <c r="U41" s="775">
        <f t="shared" si="13"/>
        <v>100</v>
      </c>
      <c r="V41" s="774" t="s">
        <v>17</v>
      </c>
      <c r="W41" s="775">
        <f t="shared" si="14"/>
        <v>100</v>
      </c>
      <c r="X41" s="1804"/>
      <c r="Y41" s="3234"/>
      <c r="Z41" s="1805" t="str">
        <f t="shared" si="15"/>
        <v>层高</v>
      </c>
      <c r="AA41" s="1802">
        <f t="shared" si="3"/>
        <v>1</v>
      </c>
      <c r="AB41" s="1802">
        <f t="shared" si="4"/>
        <v>1</v>
      </c>
      <c r="AC41" s="2667">
        <f t="shared" si="5"/>
        <v>1</v>
      </c>
    </row>
    <row r="42" spans="1:29" s="471" customFormat="1" ht="15.75" thickTop="1">
      <c r="A42" s="468"/>
      <c r="B42" s="1803" t="s">
        <v>2693</v>
      </c>
      <c r="C42" s="554" t="s">
        <v>3094</v>
      </c>
      <c r="D42" s="435">
        <v>100</v>
      </c>
      <c r="E42" s="554" t="s">
        <v>3094</v>
      </c>
      <c r="F42" s="461">
        <f>SUMIF(121:121,E42,122:122)-SUMIF(121:121,C42,122:122)+100</f>
        <v>100</v>
      </c>
      <c r="G42" s="554" t="s">
        <v>3094</v>
      </c>
      <c r="H42" s="435">
        <f>SUMIF(121:121,G42,122:122)-SUMIF(121:121,C42,122:122)+100</f>
        <v>100</v>
      </c>
      <c r="I42" s="554" t="s">
        <v>3094</v>
      </c>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02">
        <f t="shared" si="3"/>
        <v>1</v>
      </c>
      <c r="AB42" s="1802">
        <f t="shared" si="4"/>
        <v>1</v>
      </c>
      <c r="AC42" s="2667">
        <f t="shared" si="5"/>
        <v>1</v>
      </c>
    </row>
    <row r="43" spans="1:29" ht="15">
      <c r="A43" s="472"/>
      <c r="B43" s="422" t="s">
        <v>2665</v>
      </c>
      <c r="C43" s="460" t="s">
        <v>3097</v>
      </c>
      <c r="D43" s="435">
        <v>100</v>
      </c>
      <c r="E43" s="460" t="s">
        <v>3099</v>
      </c>
      <c r="F43" s="461">
        <f>SUMIF(123:123,E43,124:124)-SUMIF(123:123,C43,124:124)+100</f>
        <v>98</v>
      </c>
      <c r="G43" s="460" t="s">
        <v>3099</v>
      </c>
      <c r="H43" s="435">
        <f>SUMIF(123:123,G43,124:124)-SUMIF(123:123,C43,124:124)+100</f>
        <v>98</v>
      </c>
      <c r="I43" s="460" t="s">
        <v>3099</v>
      </c>
      <c r="J43" s="435">
        <f>SUMIF(123:123,I43,124:124)-SUMIF(123:123,C43,124:124)+100</f>
        <v>98</v>
      </c>
      <c r="K43" s="612">
        <v>2</v>
      </c>
      <c r="L43" s="1140"/>
      <c r="M43" s="1131"/>
      <c r="N43" s="1131"/>
      <c r="O43" s="1131"/>
      <c r="P43" s="3232"/>
      <c r="Q43" s="1801" t="str">
        <f t="shared" si="11"/>
        <v>内部装修</v>
      </c>
      <c r="R43" s="774" t="s">
        <v>17</v>
      </c>
      <c r="S43" s="775">
        <f t="shared" si="12"/>
        <v>98</v>
      </c>
      <c r="T43" s="774" t="s">
        <v>17</v>
      </c>
      <c r="U43" s="775">
        <f t="shared" si="13"/>
        <v>98</v>
      </c>
      <c r="V43" s="774" t="s">
        <v>17</v>
      </c>
      <c r="W43" s="775">
        <f t="shared" si="14"/>
        <v>98</v>
      </c>
      <c r="X43" s="1804"/>
      <c r="Y43" s="3234"/>
      <c r="Z43" s="1805" t="str">
        <f t="shared" si="15"/>
        <v>内部装修</v>
      </c>
      <c r="AA43" s="1802">
        <f t="shared" si="3"/>
        <v>1.0204081632653061</v>
      </c>
      <c r="AB43" s="1802">
        <f t="shared" si="4"/>
        <v>1.0204081632653061</v>
      </c>
      <c r="AC43" s="2667">
        <f t="shared" si="5"/>
        <v>1.0204081632653061</v>
      </c>
    </row>
    <row r="44" spans="1:29" ht="15">
      <c r="A44" s="472"/>
      <c r="B44" s="422" t="s">
        <v>2573</v>
      </c>
      <c r="C44" s="460" t="s">
        <v>3109</v>
      </c>
      <c r="D44" s="435">
        <v>100</v>
      </c>
      <c r="E44" s="2606" t="s">
        <v>3109</v>
      </c>
      <c r="F44" s="461">
        <f>SUMIF(125:125,E44,126:126)-SUMIF(125:125,C44,126:126)+100</f>
        <v>100</v>
      </c>
      <c r="G44" s="2606" t="s">
        <v>3109</v>
      </c>
      <c r="H44" s="435">
        <f>SUMIF(125:125,G44,126:126)-SUMIF(125:125,C44,126:126)+100</f>
        <v>100</v>
      </c>
      <c r="I44" s="2606" t="s">
        <v>3109</v>
      </c>
      <c r="J44" s="435">
        <f>SUMIF(125:125,I44,126:126)-SUMIF(125:125,C44,126:126)+100</f>
        <v>100</v>
      </c>
      <c r="K44" s="612"/>
      <c r="L44" s="1140"/>
      <c r="M44" s="1131"/>
      <c r="N44" s="1131"/>
      <c r="O44" s="1131"/>
      <c r="P44" s="3232"/>
      <c r="Q44" s="1801" t="str">
        <f t="shared" si="11"/>
        <v>内部装修维护情况</v>
      </c>
      <c r="R44" s="774" t="s">
        <v>17</v>
      </c>
      <c r="S44" s="775">
        <f t="shared" si="12"/>
        <v>100</v>
      </c>
      <c r="T44" s="774" t="s">
        <v>17</v>
      </c>
      <c r="U44" s="775">
        <f t="shared" si="13"/>
        <v>100</v>
      </c>
      <c r="V44" s="774" t="s">
        <v>17</v>
      </c>
      <c r="W44" s="775">
        <f t="shared" si="14"/>
        <v>100</v>
      </c>
      <c r="X44" s="1804"/>
      <c r="Y44" s="3234"/>
      <c r="Z44" s="1805" t="str">
        <f t="shared" si="15"/>
        <v>内部装修维护情况</v>
      </c>
      <c r="AA44" s="1802">
        <f t="shared" si="3"/>
        <v>1</v>
      </c>
      <c r="AB44" s="1802">
        <f t="shared" si="4"/>
        <v>1</v>
      </c>
      <c r="AC44" s="2667">
        <f t="shared" si="5"/>
        <v>1</v>
      </c>
    </row>
    <row r="45" spans="1:29" s="117" customFormat="1" ht="15">
      <c r="A45" s="473"/>
      <c r="B45" s="2983"/>
      <c r="C45" s="2984"/>
      <c r="D45" s="136">
        <v>100</v>
      </c>
      <c r="E45" s="2985"/>
      <c r="F45" s="425">
        <f>SUMIF(127:127,E45,128:128)-SUMIF(127:127,C45,128:128)+100</f>
        <v>100</v>
      </c>
      <c r="G45" s="2985"/>
      <c r="H45" s="136">
        <f>SUMIF(127:127,G45,128:128)-SUMIF(127:127,C45,128:128)+100</f>
        <v>100</v>
      </c>
      <c r="I45" s="2985"/>
      <c r="J45" s="136">
        <f>SUMIF(127:127,I45,128:128)-SUMIF(127:127,C45,128:128)+100</f>
        <v>100</v>
      </c>
      <c r="K45" s="613"/>
      <c r="L45" s="1132"/>
      <c r="M45" s="1133"/>
      <c r="N45" s="1133"/>
      <c r="O45" s="1133"/>
      <c r="P45" s="3232"/>
      <c r="Q45" s="1786">
        <f t="shared" si="11"/>
        <v>0</v>
      </c>
      <c r="R45" s="770" t="s">
        <v>17</v>
      </c>
      <c r="S45" s="771">
        <f t="shared" si="12"/>
        <v>100</v>
      </c>
      <c r="T45" s="770" t="s">
        <v>17</v>
      </c>
      <c r="U45" s="771">
        <f t="shared" si="13"/>
        <v>100</v>
      </c>
      <c r="V45" s="770" t="s">
        <v>17</v>
      </c>
      <c r="W45" s="771">
        <f t="shared" si="14"/>
        <v>100</v>
      </c>
      <c r="X45" s="772"/>
      <c r="Y45" s="3234"/>
      <c r="Z45" s="55">
        <f t="shared" si="15"/>
        <v>0</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01">
        <f t="shared" si="11"/>
        <v>111</v>
      </c>
      <c r="R46" s="774" t="s">
        <v>17</v>
      </c>
      <c r="S46" s="775">
        <f t="shared" si="12"/>
        <v>100</v>
      </c>
      <c r="T46" s="774" t="s">
        <v>17</v>
      </c>
      <c r="U46" s="775">
        <f t="shared" si="13"/>
        <v>100</v>
      </c>
      <c r="V46" s="774" t="s">
        <v>17</v>
      </c>
      <c r="W46" s="775">
        <f t="shared" si="14"/>
        <v>100</v>
      </c>
      <c r="X46" s="1804"/>
      <c r="Y46" s="3234"/>
      <c r="Z46" s="1805">
        <f t="shared" si="15"/>
        <v>111</v>
      </c>
      <c r="AA46" s="1802">
        <f t="shared" si="3"/>
        <v>1</v>
      </c>
      <c r="AB46" s="1802">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01">
        <f t="shared" si="11"/>
        <v>111</v>
      </c>
      <c r="R47" s="774" t="s">
        <v>17</v>
      </c>
      <c r="S47" s="775">
        <f t="shared" si="12"/>
        <v>100</v>
      </c>
      <c r="T47" s="774" t="s">
        <v>17</v>
      </c>
      <c r="U47" s="775">
        <f t="shared" si="13"/>
        <v>100</v>
      </c>
      <c r="V47" s="774" t="s">
        <v>17</v>
      </c>
      <c r="W47" s="775">
        <f t="shared" si="14"/>
        <v>100</v>
      </c>
      <c r="X47" s="1804"/>
      <c r="Y47" s="3235"/>
      <c r="Z47" s="1805">
        <f t="shared" si="15"/>
        <v>111</v>
      </c>
      <c r="AA47" s="1802">
        <f t="shared" si="3"/>
        <v>1</v>
      </c>
      <c r="AB47" s="1802">
        <f t="shared" si="4"/>
        <v>1</v>
      </c>
      <c r="AC47" s="2667">
        <f t="shared" si="5"/>
        <v>1</v>
      </c>
    </row>
    <row r="48" spans="1:29" ht="15">
      <c r="A48" s="479" t="s">
        <v>2574</v>
      </c>
      <c r="B48" s="480"/>
      <c r="C48" s="1407" t="s">
        <v>1</v>
      </c>
      <c r="D48" s="1408"/>
      <c r="E48" s="1409">
        <v>42000</v>
      </c>
      <c r="F48" s="1410"/>
      <c r="G48" s="1411">
        <v>42900</v>
      </c>
      <c r="H48" s="1412"/>
      <c r="I48" s="1409">
        <v>46300</v>
      </c>
      <c r="J48" s="485"/>
      <c r="K48" s="783"/>
      <c r="L48" s="1143"/>
      <c r="M48" s="1131"/>
      <c r="N48" s="1131"/>
      <c r="O48" s="1131"/>
      <c r="P48" s="3207" t="str">
        <f>A48</f>
        <v>成交单价（元/平方米）</v>
      </c>
      <c r="Q48" s="3236"/>
      <c r="R48" s="3237">
        <f>E48</f>
        <v>42000</v>
      </c>
      <c r="S48" s="3237"/>
      <c r="T48" s="3237">
        <f>G48</f>
        <v>42900</v>
      </c>
      <c r="U48" s="3237"/>
      <c r="V48" s="3237">
        <f>I48</f>
        <v>46300</v>
      </c>
      <c r="W48" s="3237"/>
      <c r="X48" s="446"/>
      <c r="Y48" s="781"/>
      <c r="Z48" s="446"/>
      <c r="AA48" s="446"/>
      <c r="AB48" s="446"/>
      <c r="AC48" s="630"/>
    </row>
    <row r="49" spans="1:29" ht="15.75" thickBot="1">
      <c r="A49" s="486" t="s">
        <v>2666</v>
      </c>
      <c r="B49" s="487"/>
      <c r="C49" s="1413">
        <f>R50</f>
        <v>44470</v>
      </c>
      <c r="D49" s="1414"/>
      <c r="E49" s="1415">
        <f>R49</f>
        <v>43316</v>
      </c>
      <c r="F49" s="1415"/>
      <c r="G49" s="1413">
        <f>T49</f>
        <v>43776</v>
      </c>
      <c r="H49" s="1414"/>
      <c r="I49" s="1415">
        <f>V49</f>
        <v>46319</v>
      </c>
      <c r="J49" s="489"/>
      <c r="K49" s="784"/>
      <c r="L49" s="1143"/>
      <c r="M49" s="1131"/>
      <c r="N49" s="1131"/>
      <c r="O49" s="1131"/>
      <c r="P49" s="3207" t="str">
        <f>A49</f>
        <v>比较价值（元/平方米）</v>
      </c>
      <c r="Q49" s="3236"/>
      <c r="R49" s="3237">
        <f>IF(F1="售价",ROUND(PRODUCT(R48,AA7:AA47),0),ROUND(PRODUCT(R48,AA7:AA47),1))</f>
        <v>43316</v>
      </c>
      <c r="S49" s="3237"/>
      <c r="T49" s="3237">
        <f>IF(F1="售价",ROUND(PRODUCT(T48,AB7:AB47),0),ROUND(PRODUCT(T48,AB7:AB47),1))</f>
        <v>43776</v>
      </c>
      <c r="U49" s="3237"/>
      <c r="V49" s="3237">
        <f>IF(F1="售价",ROUND(PRODUCT(V48,AC7:AC47),0),ROUND(PRODUCT(V48,AC7:AC47),1))</f>
        <v>46319</v>
      </c>
      <c r="W49" s="3237"/>
      <c r="X49" s="446"/>
      <c r="Y49" s="446"/>
      <c r="Z49" s="446"/>
      <c r="AA49" s="446"/>
      <c r="AB49" s="446"/>
      <c r="AC49" s="630"/>
    </row>
    <row r="50" spans="1:29" ht="15.75" thickBot="1">
      <c r="A50" s="492" t="s">
        <v>2667</v>
      </c>
      <c r="B50" s="493"/>
      <c r="C50" s="1417">
        <f>R50</f>
        <v>44470</v>
      </c>
      <c r="D50" s="1417"/>
      <c r="E50" s="1417"/>
      <c r="F50" s="1417"/>
      <c r="G50" s="1417"/>
      <c r="H50" s="1417"/>
      <c r="I50" s="1417"/>
      <c r="J50" s="494"/>
      <c r="K50" s="785"/>
      <c r="L50" s="1143"/>
      <c r="M50" s="1131"/>
      <c r="N50" s="1131"/>
      <c r="O50" s="1131"/>
      <c r="P50" s="3238" t="str">
        <f>A50</f>
        <v>估价对象XX用房的比较价值（楼面单价，元/平方米）</v>
      </c>
      <c r="Q50" s="3239"/>
      <c r="R50" s="3240">
        <f>IF(F1="售价",ROUND(AVERAGE(R49:V49),0),ROUND(AVERAGE(R49:V49),1))</f>
        <v>44470</v>
      </c>
      <c r="S50" s="3240"/>
      <c r="T50" s="3240"/>
      <c r="U50" s="3240"/>
      <c r="V50" s="3240"/>
      <c r="W50" s="3240"/>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f>IF(E48&lt;E49,E49/E48-1,E48/E49-1)</f>
        <v>3.1333333333333435E-2</v>
      </c>
      <c r="F53" s="500" t="str">
        <f>IF(OR(E53&gt;=0.3,E53&lt;=-0.3),"超过30%","")</f>
        <v/>
      </c>
      <c r="G53" s="499">
        <f>IF(G48&lt;G49,G49/G48-1,G48/G49-1)</f>
        <v>2.0419580419580363E-2</v>
      </c>
      <c r="H53" s="500" t="str">
        <f>IF(OR(G53&gt;=0.3,G53&lt;=-0.3),"超过30%","")</f>
        <v/>
      </c>
      <c r="I53" s="499">
        <f>IF(I48&lt;I49,I49/I48-1,I48/I49-1)</f>
        <v>4.1036717062636896E-4</v>
      </c>
      <c r="J53" s="500" t="str">
        <f>IF(OR(I53&gt;=0.3,I53&lt;=-0.3),"超过30%","")</f>
        <v/>
      </c>
      <c r="K53" s="1105"/>
      <c r="L53" s="1106"/>
      <c r="M53" s="1144"/>
      <c r="N53" s="1144"/>
      <c r="O53" s="1144"/>
    </row>
    <row r="54" spans="1:29" ht="13.5" customHeight="1">
      <c r="A54" s="1144"/>
      <c r="B54" s="1144"/>
      <c r="C54" s="497" t="s">
        <v>2669</v>
      </c>
      <c r="D54" s="501"/>
      <c r="E54" s="499">
        <f>IF(E49&lt;G49,G49/E49-1,E49/G49-1)</f>
        <v>1.0619632468372053E-2</v>
      </c>
      <c r="F54" s="500" t="str">
        <f>IF(OR(E54&gt;=0.2,E54&lt;=-0.2),"超过20%","")</f>
        <v/>
      </c>
      <c r="G54" s="499">
        <f>IF(G49&lt;I49,I49/G49-1,G49/I49-1)</f>
        <v>5.8091191520467822E-2</v>
      </c>
      <c r="H54" s="500" t="str">
        <f>IF(OR(G54&gt;=0.2,G54&lt;=-0.2),"超过20%","")</f>
        <v/>
      </c>
      <c r="I54" s="499">
        <f>IF(I49&lt;E49,E49/I49-1,I49/E49-1)</f>
        <v>6.9327731092436951E-2</v>
      </c>
      <c r="J54" s="500" t="str">
        <f>IF(OR(I54&gt;=0.2,I54&lt;=-0.2),"超过20%","")</f>
        <v/>
      </c>
      <c r="K54" s="1105"/>
      <c r="L54" s="1106"/>
      <c r="M54" s="1144"/>
      <c r="N54" s="1144"/>
      <c r="O54" s="1144"/>
    </row>
    <row r="55" spans="1:29" s="502" customFormat="1" ht="13.5" customHeight="1">
      <c r="A55" s="1145"/>
      <c r="B55" s="1145"/>
      <c r="C55" s="497" t="s">
        <v>2670</v>
      </c>
      <c r="D55" s="501"/>
      <c r="E55" s="499">
        <f>IF(E48&lt;G48,G48/E48-1,E48/G48-1)</f>
        <v>2.1428571428571352E-2</v>
      </c>
      <c r="F55" s="500" t="str">
        <f>IF(OR(E55&gt;=0.3,E55&lt;=-0.3),"超过30%","")</f>
        <v/>
      </c>
      <c r="G55" s="499">
        <f>IF(G48&lt;I48,I48/G48-1,G48/I48-1)</f>
        <v>7.9254079254079235E-2</v>
      </c>
      <c r="H55" s="500" t="str">
        <f>IF(OR(G55&gt;=0.3,G55&lt;=-0.3),"超过30%","")</f>
        <v/>
      </c>
      <c r="I55" s="499">
        <f>IF(I48&lt;E48,E48/I48-1,I48/E48-1)</f>
        <v>0.10238095238095246</v>
      </c>
      <c r="J55" s="500" t="str">
        <f>IF(OR(I55&gt;=0.3,I55&lt;=-0.3),"超过30%","")</f>
        <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4"/>
      <c r="Q58" s="504"/>
    </row>
    <row r="59" spans="1:29" s="508" customFormat="1" ht="15">
      <c r="A59" s="505" t="s">
        <v>2545</v>
      </c>
      <c r="B59" s="506"/>
      <c r="C59" s="1573" t="str">
        <f>YEAR(C7)&amp;"-"&amp;MONTH(C7)</f>
        <v>2020-7</v>
      </c>
      <c r="D59" s="1574">
        <f>EDATE(C59,-1)</f>
        <v>43983</v>
      </c>
      <c r="E59" s="1574">
        <f>EDATE(D59,-1)</f>
        <v>43952</v>
      </c>
      <c r="F59" s="1574">
        <f t="shared" ref="F59:O59" si="16">EDATE(E59,-1)</f>
        <v>43922</v>
      </c>
      <c r="G59" s="1574">
        <f t="shared" si="16"/>
        <v>43891</v>
      </c>
      <c r="H59" s="1574">
        <f t="shared" si="16"/>
        <v>43862</v>
      </c>
      <c r="I59" s="1574">
        <f t="shared" si="16"/>
        <v>43831</v>
      </c>
      <c r="J59" s="1574">
        <f t="shared" si="16"/>
        <v>43800</v>
      </c>
      <c r="K59" s="1574">
        <f t="shared" si="16"/>
        <v>43770</v>
      </c>
      <c r="L59" s="1574">
        <f t="shared" si="16"/>
        <v>43739</v>
      </c>
      <c r="M59" s="1574">
        <f t="shared" si="16"/>
        <v>43709</v>
      </c>
      <c r="N59" s="1574">
        <f t="shared" si="16"/>
        <v>43678</v>
      </c>
      <c r="O59" s="1574">
        <f t="shared" si="16"/>
        <v>43647</v>
      </c>
      <c r="P59" s="2986">
        <f t="shared" ref="P59" si="17">EDATE(O59,-1)</f>
        <v>43617</v>
      </c>
      <c r="Q59" s="2986">
        <f t="shared" ref="Q59" si="18">EDATE(P59,-1)</f>
        <v>43586</v>
      </c>
      <c r="R59" s="2986">
        <f t="shared" ref="R59" si="19">EDATE(Q59,-1)</f>
        <v>43556</v>
      </c>
    </row>
    <row r="60" spans="1:29" s="117" customFormat="1" ht="15">
      <c r="A60" s="509"/>
      <c r="B60" s="510"/>
      <c r="C60" s="1572">
        <v>100</v>
      </c>
      <c r="D60" s="512">
        <v>100</v>
      </c>
      <c r="E60" s="512">
        <v>100</v>
      </c>
      <c r="F60" s="512">
        <v>100</v>
      </c>
      <c r="G60" s="512">
        <v>100</v>
      </c>
      <c r="H60" s="512">
        <v>100</v>
      </c>
      <c r="I60" s="512">
        <v>100</v>
      </c>
      <c r="J60" s="512">
        <v>99</v>
      </c>
      <c r="K60" s="512">
        <v>99</v>
      </c>
      <c r="L60" s="512">
        <v>99</v>
      </c>
      <c r="M60" s="513">
        <v>98</v>
      </c>
      <c r="N60" s="512">
        <v>98</v>
      </c>
      <c r="O60" s="513">
        <v>98</v>
      </c>
      <c r="P60" s="2675">
        <v>0.97</v>
      </c>
      <c r="Q60" s="117">
        <v>97</v>
      </c>
      <c r="R60" s="117">
        <v>97</v>
      </c>
    </row>
    <row r="61" spans="1:29" s="117" customFormat="1" ht="15.75" thickBot="1">
      <c r="A61" s="515" t="s">
        <v>2582</v>
      </c>
      <c r="B61" s="516"/>
      <c r="C61" s="517"/>
      <c r="D61" s="518"/>
      <c r="E61" s="518"/>
      <c r="F61" s="518"/>
      <c r="G61" s="518"/>
      <c r="H61" s="518"/>
      <c r="I61" s="518"/>
      <c r="J61" s="518"/>
      <c r="K61" s="518"/>
      <c r="L61" s="518"/>
      <c r="M61" s="519"/>
      <c r="N61" s="518"/>
      <c r="O61" s="519"/>
      <c r="P61" s="2675"/>
      <c r="Q61" s="504"/>
    </row>
    <row r="62" spans="1:29" s="117" customFormat="1" ht="15">
      <c r="A62" s="521" t="s">
        <v>2547</v>
      </c>
      <c r="B62" s="510"/>
      <c r="C62" s="522" t="s">
        <v>2649</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2585</v>
      </c>
      <c r="B64" s="528" t="s">
        <v>2551</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2555</v>
      </c>
      <c r="C68" s="547" t="str">
        <f>C69&amp;"（含）"&amp;"-"&amp;D69</f>
        <v>0（含）-</v>
      </c>
      <c r="D68" s="547" t="str">
        <f t="shared" ref="D68:L68" si="20">D69&amp;"（含）"&amp;"-"&amp;E69</f>
        <v>（含）-</v>
      </c>
      <c r="E68" s="547" t="str">
        <f t="shared" si="20"/>
        <v>（含）-</v>
      </c>
      <c r="F68" s="547" t="str">
        <f t="shared" si="20"/>
        <v>（含）-</v>
      </c>
      <c r="G68" s="547" t="str">
        <f t="shared" si="20"/>
        <v>（含）-</v>
      </c>
      <c r="H68" s="547" t="str">
        <f t="shared" si="20"/>
        <v>（含）-</v>
      </c>
      <c r="I68" s="547" t="str">
        <f t="shared" si="20"/>
        <v>（含）-</v>
      </c>
      <c r="J68" s="547" t="str">
        <f t="shared" si="20"/>
        <v>（含）-</v>
      </c>
      <c r="K68" s="547" t="str">
        <f t="shared" si="20"/>
        <v>（含）-</v>
      </c>
      <c r="L68" s="547" t="str">
        <f t="shared" si="20"/>
        <v>（含）-</v>
      </c>
      <c r="M68" s="448" t="str">
        <f>M69&amp;"（含）"&amp;"-"&amp;P69</f>
        <v>（含）-</v>
      </c>
      <c r="N68" s="1153"/>
      <c r="O68" s="1153"/>
      <c r="P68" s="2677"/>
      <c r="Q68" s="504"/>
    </row>
    <row r="69" spans="1:17" ht="15">
      <c r="A69" s="534"/>
      <c r="B69" s="548"/>
      <c r="C69" s="549">
        <v>0</v>
      </c>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21">C70-$K11</f>
        <v>100</v>
      </c>
      <c r="E70" s="544">
        <f t="shared" si="21"/>
        <v>100</v>
      </c>
      <c r="F70" s="544">
        <f t="shared" si="21"/>
        <v>100</v>
      </c>
      <c r="G70" s="544">
        <f t="shared" si="21"/>
        <v>100</v>
      </c>
      <c r="H70" s="544">
        <f t="shared" si="21"/>
        <v>100</v>
      </c>
      <c r="I70" s="544">
        <f t="shared" si="21"/>
        <v>100</v>
      </c>
      <c r="J70" s="544">
        <f t="shared" si="21"/>
        <v>100</v>
      </c>
      <c r="K70" s="544">
        <f t="shared" si="21"/>
        <v>100</v>
      </c>
      <c r="L70" s="544">
        <f t="shared" si="21"/>
        <v>100</v>
      </c>
      <c r="M70" s="545">
        <f t="shared" si="21"/>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2696</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22">C88-$K25</f>
        <v>100</v>
      </c>
      <c r="E88" s="544">
        <f t="shared" si="22"/>
        <v>100</v>
      </c>
      <c r="F88" s="544">
        <f t="shared" si="22"/>
        <v>100</v>
      </c>
      <c r="G88" s="544">
        <f t="shared" si="22"/>
        <v>100</v>
      </c>
      <c r="H88" s="544">
        <f t="shared" si="22"/>
        <v>100</v>
      </c>
      <c r="I88" s="544">
        <f t="shared" si="22"/>
        <v>100</v>
      </c>
      <c r="J88" s="544">
        <f t="shared" si="22"/>
        <v>100</v>
      </c>
      <c r="K88" s="544">
        <f t="shared" si="22"/>
        <v>100</v>
      </c>
      <c r="L88" s="544">
        <f t="shared" si="22"/>
        <v>100</v>
      </c>
      <c r="M88" s="544">
        <f t="shared" si="22"/>
        <v>100</v>
      </c>
      <c r="N88" s="1153"/>
      <c r="O88" s="1153"/>
      <c r="P88" s="2677"/>
      <c r="Q88" s="504"/>
    </row>
    <row r="89" spans="1:17" s="117" customFormat="1" ht="15.75" thickTop="1">
      <c r="A89" s="579"/>
      <c r="B89" s="538" t="str">
        <f>B27</f>
        <v>楼层</v>
      </c>
      <c r="C89" s="2980" t="s">
        <v>3104</v>
      </c>
      <c r="D89" s="2980" t="s">
        <v>3106</v>
      </c>
      <c r="E89" s="2980" t="s">
        <v>3108</v>
      </c>
      <c r="F89" s="2628"/>
      <c r="G89" s="554"/>
      <c r="H89" s="554"/>
      <c r="I89" s="554"/>
      <c r="J89" s="554"/>
      <c r="K89" s="554"/>
      <c r="L89" s="554"/>
      <c r="M89" s="581"/>
      <c r="N89" s="1151"/>
      <c r="O89" s="1151"/>
      <c r="P89" s="2677"/>
      <c r="Q89" s="504"/>
    </row>
    <row r="90" spans="1:17" s="117" customFormat="1" ht="15.75" thickBot="1">
      <c r="A90" s="579"/>
      <c r="B90" s="543"/>
      <c r="C90" s="582">
        <v>100</v>
      </c>
      <c r="D90" s="544">
        <f>C90-$K27</f>
        <v>98</v>
      </c>
      <c r="E90" s="544">
        <f t="shared" ref="E90:M90" si="23">D90-$K27</f>
        <v>96</v>
      </c>
      <c r="F90" s="544">
        <f t="shared" si="23"/>
        <v>94</v>
      </c>
      <c r="G90" s="544">
        <f t="shared" si="23"/>
        <v>92</v>
      </c>
      <c r="H90" s="544">
        <f t="shared" si="23"/>
        <v>90</v>
      </c>
      <c r="I90" s="544">
        <f t="shared" si="23"/>
        <v>88</v>
      </c>
      <c r="J90" s="544">
        <f t="shared" si="23"/>
        <v>86</v>
      </c>
      <c r="K90" s="544">
        <f t="shared" si="23"/>
        <v>84</v>
      </c>
      <c r="L90" s="544">
        <f t="shared" si="23"/>
        <v>82</v>
      </c>
      <c r="M90" s="544">
        <f t="shared" si="23"/>
        <v>80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4">C92-$K28</f>
        <v>100</v>
      </c>
      <c r="E92" s="544">
        <f t="shared" si="24"/>
        <v>100</v>
      </c>
      <c r="F92" s="544">
        <f t="shared" si="24"/>
        <v>100</v>
      </c>
      <c r="G92" s="544">
        <f t="shared" si="24"/>
        <v>100</v>
      </c>
      <c r="H92" s="544">
        <f t="shared" si="24"/>
        <v>100</v>
      </c>
      <c r="I92" s="544">
        <f t="shared" si="24"/>
        <v>100</v>
      </c>
      <c r="J92" s="544">
        <f t="shared" si="24"/>
        <v>100</v>
      </c>
      <c r="K92" s="544">
        <f t="shared" si="24"/>
        <v>100</v>
      </c>
      <c r="L92" s="544">
        <f t="shared" si="24"/>
        <v>100</v>
      </c>
      <c r="M92" s="544">
        <f t="shared" si="24"/>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2560</v>
      </c>
      <c r="B101" s="528" t="s">
        <v>2609</v>
      </c>
      <c r="C101" s="2982" t="s">
        <v>3103</v>
      </c>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5">C102-$K33</f>
        <v>100</v>
      </c>
      <c r="E102" s="544">
        <f t="shared" si="25"/>
        <v>100</v>
      </c>
      <c r="F102" s="544">
        <f t="shared" si="25"/>
        <v>100</v>
      </c>
      <c r="G102" s="544">
        <f t="shared" si="25"/>
        <v>100</v>
      </c>
      <c r="H102" s="544">
        <f t="shared" si="25"/>
        <v>100</v>
      </c>
      <c r="I102" s="544">
        <f t="shared" si="25"/>
        <v>100</v>
      </c>
      <c r="J102" s="544">
        <f t="shared" si="25"/>
        <v>100</v>
      </c>
      <c r="K102" s="544">
        <f t="shared" si="25"/>
        <v>100</v>
      </c>
      <c r="L102" s="544">
        <f t="shared" si="25"/>
        <v>100</v>
      </c>
      <c r="M102" s="545">
        <f t="shared" si="25"/>
        <v>100</v>
      </c>
      <c r="N102" s="1153"/>
      <c r="O102" s="1153"/>
      <c r="P102" s="2677"/>
      <c r="Q102" s="504"/>
    </row>
    <row r="103" spans="1:17" ht="15.75" thickTop="1">
      <c r="A103" s="534"/>
      <c r="B103" s="538" t="s">
        <v>2610</v>
      </c>
      <c r="C103" s="578" t="str">
        <f>C104&amp;"(含)"&amp;"-"&amp;D104</f>
        <v>0(含)-</v>
      </c>
      <c r="D103" s="578" t="str">
        <f t="shared" ref="D103:L103" si="26">D104&amp;"(含)"&amp;"-"&amp;E104</f>
        <v>(含)-</v>
      </c>
      <c r="E103" s="578" t="str">
        <f t="shared" si="26"/>
        <v>(含)-</v>
      </c>
      <c r="F103" s="578" t="str">
        <f t="shared" si="26"/>
        <v>(含)-</v>
      </c>
      <c r="G103" s="578" t="str">
        <f t="shared" si="26"/>
        <v>(含)-</v>
      </c>
      <c r="H103" s="578" t="str">
        <f t="shared" si="26"/>
        <v>(含)-</v>
      </c>
      <c r="I103" s="578" t="str">
        <f t="shared" si="26"/>
        <v>(含)-</v>
      </c>
      <c r="J103" s="578" t="str">
        <f t="shared" si="26"/>
        <v>(含)-</v>
      </c>
      <c r="K103" s="578" t="str">
        <f t="shared" si="26"/>
        <v>(含)-</v>
      </c>
      <c r="L103" s="578" t="str">
        <f t="shared" si="26"/>
        <v>(含)-</v>
      </c>
      <c r="M103" s="622" t="str">
        <f>M104&amp;"(含)"&amp;"-"&amp;P104</f>
        <v>(含)-</v>
      </c>
      <c r="N103" s="1151"/>
      <c r="O103" s="1151"/>
      <c r="P103" s="2677"/>
      <c r="Q103" s="504"/>
    </row>
    <row r="104" spans="1:17" s="471" customFormat="1">
      <c r="A104" s="593"/>
      <c r="B104" s="594"/>
      <c r="C104" s="595">
        <v>0</v>
      </c>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2611</v>
      </c>
      <c r="C106" s="2980" t="s">
        <v>3110</v>
      </c>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7">C107-$K35</f>
        <v>100</v>
      </c>
      <c r="E107" s="544">
        <f t="shared" si="27"/>
        <v>100</v>
      </c>
      <c r="F107" s="544">
        <f t="shared" si="27"/>
        <v>100</v>
      </c>
      <c r="G107" s="544">
        <f t="shared" si="27"/>
        <v>100</v>
      </c>
      <c r="H107" s="544">
        <f t="shared" si="27"/>
        <v>100</v>
      </c>
      <c r="I107" s="544">
        <f t="shared" si="27"/>
        <v>100</v>
      </c>
      <c r="J107" s="544">
        <f t="shared" si="27"/>
        <v>100</v>
      </c>
      <c r="K107" s="544">
        <f t="shared" si="27"/>
        <v>100</v>
      </c>
      <c r="L107" s="544">
        <f t="shared" si="27"/>
        <v>100</v>
      </c>
      <c r="M107" s="545">
        <f t="shared" si="27"/>
        <v>100</v>
      </c>
      <c r="N107" s="1153"/>
      <c r="O107" s="1153"/>
      <c r="P107" s="2677"/>
      <c r="Q107" s="504"/>
    </row>
    <row r="108" spans="1:17" ht="15" thickTop="1">
      <c r="A108" s="599"/>
      <c r="B108" s="538" t="s">
        <v>2613</v>
      </c>
      <c r="C108" s="2980" t="s">
        <v>3111</v>
      </c>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8">C109-$K36</f>
        <v>100</v>
      </c>
      <c r="E109" s="544">
        <f t="shared" si="28"/>
        <v>100</v>
      </c>
      <c r="F109" s="544">
        <f t="shared" si="28"/>
        <v>100</v>
      </c>
      <c r="G109" s="544">
        <f t="shared" si="28"/>
        <v>100</v>
      </c>
      <c r="H109" s="544">
        <f t="shared" si="28"/>
        <v>100</v>
      </c>
      <c r="I109" s="544">
        <f t="shared" si="28"/>
        <v>100</v>
      </c>
      <c r="J109" s="544">
        <f t="shared" si="28"/>
        <v>100</v>
      </c>
      <c r="K109" s="544">
        <f t="shared" si="28"/>
        <v>100</v>
      </c>
      <c r="L109" s="544">
        <f t="shared" si="28"/>
        <v>100</v>
      </c>
      <c r="M109" s="545">
        <f t="shared" si="28"/>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9">D112+$K37</f>
        <v>100</v>
      </c>
      <c r="F112" s="544">
        <f t="shared" si="29"/>
        <v>100</v>
      </c>
      <c r="G112" s="544">
        <f t="shared" si="29"/>
        <v>100</v>
      </c>
      <c r="H112" s="544">
        <f t="shared" si="29"/>
        <v>100</v>
      </c>
      <c r="I112" s="544">
        <f t="shared" si="29"/>
        <v>100</v>
      </c>
      <c r="J112" s="544">
        <f t="shared" si="29"/>
        <v>100</v>
      </c>
      <c r="K112" s="544">
        <f t="shared" si="29"/>
        <v>100</v>
      </c>
      <c r="L112" s="544">
        <f t="shared" si="29"/>
        <v>100</v>
      </c>
      <c r="M112" s="544">
        <f t="shared" si="29"/>
        <v>100</v>
      </c>
      <c r="N112" s="1153"/>
      <c r="O112" s="1153"/>
      <c r="P112" s="2677"/>
      <c r="Q112" s="504"/>
    </row>
    <row r="113" spans="1:17" s="471" customFormat="1" ht="15" thickTop="1">
      <c r="A113" s="593"/>
      <c r="B113" s="538" t="s">
        <v>2697</v>
      </c>
      <c r="C113" s="2980" t="s">
        <v>3085</v>
      </c>
      <c r="D113" s="2980" t="s">
        <v>3086</v>
      </c>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30">D114-$K38</f>
        <v>100</v>
      </c>
      <c r="F114" s="544">
        <f t="shared" si="30"/>
        <v>100</v>
      </c>
      <c r="G114" s="544">
        <f t="shared" si="30"/>
        <v>100</v>
      </c>
      <c r="H114" s="544">
        <f t="shared" si="30"/>
        <v>100</v>
      </c>
      <c r="I114" s="544">
        <f t="shared" si="30"/>
        <v>100</v>
      </c>
      <c r="J114" s="544">
        <f t="shared" si="30"/>
        <v>100</v>
      </c>
      <c r="K114" s="544">
        <f t="shared" si="30"/>
        <v>100</v>
      </c>
      <c r="L114" s="544">
        <f t="shared" si="30"/>
        <v>100</v>
      </c>
      <c r="M114" s="544">
        <f t="shared" si="30"/>
        <v>100</v>
      </c>
      <c r="N114" s="1154"/>
      <c r="O114" s="1154"/>
      <c r="P114" s="2678"/>
      <c r="Q114" s="559"/>
    </row>
    <row r="115" spans="1:17" ht="15" thickTop="1">
      <c r="A115" s="599"/>
      <c r="B115" s="538" t="s">
        <v>2614</v>
      </c>
      <c r="C115" s="2980" t="s">
        <v>3088</v>
      </c>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31">C116-$K39</f>
        <v>100</v>
      </c>
      <c r="E116" s="544">
        <f t="shared" si="31"/>
        <v>100</v>
      </c>
      <c r="F116" s="544">
        <f t="shared" si="31"/>
        <v>100</v>
      </c>
      <c r="G116" s="544">
        <f t="shared" si="31"/>
        <v>100</v>
      </c>
      <c r="H116" s="544">
        <f t="shared" si="31"/>
        <v>100</v>
      </c>
      <c r="I116" s="544">
        <f t="shared" si="31"/>
        <v>100</v>
      </c>
      <c r="J116" s="544">
        <f t="shared" si="31"/>
        <v>100</v>
      </c>
      <c r="K116" s="544">
        <f t="shared" si="31"/>
        <v>100</v>
      </c>
      <c r="L116" s="544">
        <f t="shared" si="31"/>
        <v>100</v>
      </c>
      <c r="M116" s="545">
        <f t="shared" si="31"/>
        <v>100</v>
      </c>
      <c r="N116" s="1153"/>
      <c r="O116" s="1153"/>
      <c r="P116" s="2677"/>
      <c r="Q116" s="504"/>
    </row>
    <row r="117" spans="1:17" ht="15" thickTop="1">
      <c r="A117" s="599"/>
      <c r="B117" s="538" t="s">
        <v>2615</v>
      </c>
      <c r="C117" s="2980" t="s">
        <v>3090</v>
      </c>
      <c r="D117" s="2980" t="s">
        <v>3091</v>
      </c>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2698</v>
      </c>
      <c r="C119" s="2981" t="s">
        <v>3092</v>
      </c>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32">D120-$K41</f>
        <v>100</v>
      </c>
      <c r="F120" s="544">
        <f t="shared" si="32"/>
        <v>100</v>
      </c>
      <c r="G120" s="544">
        <f t="shared" si="32"/>
        <v>100</v>
      </c>
      <c r="H120" s="544">
        <f t="shared" si="32"/>
        <v>100</v>
      </c>
      <c r="I120" s="544">
        <f t="shared" si="32"/>
        <v>100</v>
      </c>
      <c r="J120" s="544">
        <f t="shared" si="32"/>
        <v>100</v>
      </c>
      <c r="K120" s="544">
        <f t="shared" si="32"/>
        <v>100</v>
      </c>
      <c r="L120" s="544">
        <f t="shared" si="32"/>
        <v>100</v>
      </c>
      <c r="M120" s="544">
        <f t="shared" si="32"/>
        <v>100</v>
      </c>
      <c r="N120" s="1153"/>
      <c r="O120" s="1153"/>
      <c r="P120" s="2677"/>
      <c r="Q120" s="504"/>
    </row>
    <row r="121" spans="1:17" s="471" customFormat="1" ht="15" thickTop="1">
      <c r="A121" s="593"/>
      <c r="B121" s="538" t="s">
        <v>2681</v>
      </c>
      <c r="C121" s="554" t="s">
        <v>3093</v>
      </c>
      <c r="D121" s="554" t="s">
        <v>3094</v>
      </c>
      <c r="E121" s="554" t="s">
        <v>3095</v>
      </c>
      <c r="F121" s="583" t="s">
        <v>3096</v>
      </c>
      <c r="G121" s="555"/>
      <c r="H121" s="555"/>
      <c r="I121" s="555"/>
      <c r="J121" s="555"/>
      <c r="K121" s="555"/>
      <c r="L121" s="556"/>
      <c r="M121" s="557"/>
      <c r="N121" s="1154"/>
      <c r="O121" s="1154"/>
      <c r="P121" s="2678"/>
      <c r="Q121" s="559"/>
    </row>
    <row r="122" spans="1:17" s="471" customFormat="1" ht="15.75" thickBot="1">
      <c r="A122" s="553"/>
      <c r="B122" s="535"/>
      <c r="C122" s="560">
        <v>100</v>
      </c>
      <c r="D122" s="560">
        <v>98</v>
      </c>
      <c r="E122" s="560">
        <v>96</v>
      </c>
      <c r="F122" s="560">
        <v>94</v>
      </c>
      <c r="G122" s="560"/>
      <c r="H122" s="560"/>
      <c r="I122" s="560"/>
      <c r="J122" s="560"/>
      <c r="K122" s="560"/>
      <c r="L122" s="560"/>
      <c r="M122" s="560"/>
      <c r="N122" s="1154"/>
      <c r="O122" s="1154"/>
      <c r="P122" s="2678"/>
      <c r="Q122" s="559"/>
    </row>
    <row r="123" spans="1:17" ht="15" thickTop="1">
      <c r="A123" s="599"/>
      <c r="B123" s="538" t="s">
        <v>2617</v>
      </c>
      <c r="C123" s="2980" t="s">
        <v>3098</v>
      </c>
      <c r="D123" s="2980" t="s">
        <v>3100</v>
      </c>
      <c r="E123" s="2980" t="s">
        <v>3101</v>
      </c>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3">C124-$K43</f>
        <v>98</v>
      </c>
      <c r="E124" s="544">
        <f t="shared" si="33"/>
        <v>96</v>
      </c>
      <c r="F124" s="544">
        <f t="shared" si="33"/>
        <v>94</v>
      </c>
      <c r="G124" s="544">
        <f t="shared" si="33"/>
        <v>92</v>
      </c>
      <c r="H124" s="544">
        <f t="shared" si="33"/>
        <v>90</v>
      </c>
      <c r="I124" s="544">
        <f t="shared" si="33"/>
        <v>88</v>
      </c>
      <c r="J124" s="544">
        <f t="shared" si="33"/>
        <v>86</v>
      </c>
      <c r="K124" s="544">
        <f t="shared" si="33"/>
        <v>84</v>
      </c>
      <c r="L124" s="544">
        <f t="shared" si="33"/>
        <v>82</v>
      </c>
      <c r="M124" s="545">
        <f t="shared" si="33"/>
        <v>80</v>
      </c>
      <c r="N124" s="1153"/>
      <c r="O124" s="1153"/>
      <c r="P124" s="267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0</v>
      </c>
      <c r="C127" s="2980" t="s">
        <v>3112</v>
      </c>
      <c r="D127" s="2980" t="s">
        <v>3113</v>
      </c>
      <c r="E127" s="554"/>
      <c r="F127" s="554"/>
      <c r="G127" s="554"/>
      <c r="H127" s="555"/>
      <c r="I127" s="555"/>
      <c r="J127" s="555"/>
      <c r="K127" s="555"/>
      <c r="L127" s="556"/>
      <c r="M127" s="557"/>
      <c r="N127" s="1154"/>
      <c r="O127" s="1154"/>
      <c r="P127" s="2678"/>
      <c r="Q127" s="559"/>
    </row>
    <row r="128" spans="1:17" s="471" customFormat="1" ht="15.75" thickBot="1">
      <c r="A128" s="553"/>
      <c r="B128" s="543"/>
      <c r="C128" s="560">
        <v>100</v>
      </c>
      <c r="D128" s="536">
        <v>98</v>
      </c>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85" zoomScaleNormal="85" zoomScaleSheetLayoutView="90" workbookViewId="0">
      <selection activeCell="F19" sqref="F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27</v>
      </c>
      <c r="D1" s="1811" t="s">
        <v>70</v>
      </c>
      <c r="E1" s="1812" t="s">
        <v>1381</v>
      </c>
      <c r="F1" s="1283">
        <f ca="1">J53</f>
        <v>32.61</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4586</v>
      </c>
      <c r="C2" s="1836" t="s">
        <v>1585</v>
      </c>
      <c r="D2" s="1928">
        <f ca="1">C40+J29+L46</f>
        <v>45857697</v>
      </c>
      <c r="E2" s="1837" t="s">
        <v>1586</v>
      </c>
      <c r="F2" s="1838"/>
      <c r="G2" s="1839"/>
      <c r="H2" s="1831"/>
      <c r="I2" s="1831"/>
      <c r="J2" s="1831"/>
      <c r="K2" s="1832"/>
      <c r="L2" s="1831"/>
      <c r="M2" s="1831"/>
    </row>
    <row r="3" spans="1:37" ht="18" customHeight="1" thickBot="1">
      <c r="A3" s="1840" t="s">
        <v>1587</v>
      </c>
      <c r="B3" s="1841">
        <f ca="1">IF(ISERROR(D2/F43),0,ROUND(D2/F43,0))</f>
        <v>36038</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2720438</v>
      </c>
      <c r="D5" s="1813" t="s">
        <v>1595</v>
      </c>
      <c r="E5" s="1293"/>
      <c r="F5" s="1294"/>
      <c r="G5" s="1842"/>
      <c r="H5" s="344">
        <v>1</v>
      </c>
      <c r="I5" s="345" t="s">
        <v>1594</v>
      </c>
      <c r="J5" s="1292">
        <f ca="1">J6+J10+J12</f>
        <v>0</v>
      </c>
      <c r="K5" s="1813" t="s">
        <v>1595</v>
      </c>
      <c r="L5" s="1293"/>
      <c r="M5" s="1294"/>
    </row>
    <row r="6" spans="1:37" ht="18" customHeight="1">
      <c r="A6" s="1291" t="s">
        <v>1031</v>
      </c>
      <c r="B6" s="3187" t="s">
        <v>1397</v>
      </c>
      <c r="C6" s="1296">
        <f ca="1">ROUND(F6*F8*F7*(1-F9),0)</f>
        <v>2717042</v>
      </c>
      <c r="D6" s="164" t="s">
        <v>3025</v>
      </c>
      <c r="E6" s="347" t="s">
        <v>1399</v>
      </c>
      <c r="F6" s="348">
        <f ca="1">INDIRECT("'数据-取费表'!u"&amp;$G$1)</f>
        <v>6.5</v>
      </c>
      <c r="G6" s="1842"/>
      <c r="H6" s="1291" t="s">
        <v>1031</v>
      </c>
      <c r="I6" s="3187" t="s">
        <v>1397</v>
      </c>
      <c r="J6" s="346">
        <f ca="1">ROUND(M6*M8*M7*(1-M9),0)</f>
        <v>0</v>
      </c>
      <c r="K6" s="1825" t="s">
        <v>3026</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1272.47</v>
      </c>
      <c r="G7" s="1842"/>
      <c r="H7" s="349"/>
      <c r="I7" s="3188"/>
      <c r="J7" s="351"/>
      <c r="K7" s="352"/>
      <c r="L7" s="347" t="s">
        <v>1400</v>
      </c>
      <c r="M7" s="348">
        <f ca="1">F7</f>
        <v>1272.47</v>
      </c>
    </row>
    <row r="8" spans="1:37" ht="18" customHeight="1">
      <c r="A8" s="349"/>
      <c r="B8" s="3188"/>
      <c r="C8" s="351"/>
      <c r="D8" s="352"/>
      <c r="E8" s="347" t="s">
        <v>1401</v>
      </c>
      <c r="F8" s="348">
        <f ca="1">INDIRECT("'数据-取费表'!ai"&amp;$G$1)</f>
        <v>365</v>
      </c>
      <c r="G8" s="1842"/>
      <c r="H8" s="349"/>
      <c r="I8" s="3188"/>
      <c r="J8" s="351"/>
      <c r="K8" s="352"/>
      <c r="L8" s="347" t="s">
        <v>1401</v>
      </c>
      <c r="M8" s="348">
        <f ca="1">INDIRECT("'数据-取费表'!ai"&amp;$G$1)</f>
        <v>365</v>
      </c>
    </row>
    <row r="9" spans="1:37" ht="18" customHeight="1">
      <c r="A9" s="349"/>
      <c r="B9" s="3189"/>
      <c r="C9" s="351"/>
      <c r="D9" s="352"/>
      <c r="E9" s="347" t="s">
        <v>1402</v>
      </c>
      <c r="F9" s="357">
        <f ca="1">INDIRECT("'数据-取费表'!w"&amp;$G$1)</f>
        <v>0.1</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3396</v>
      </c>
      <c r="D10" s="1815" t="s">
        <v>3036</v>
      </c>
      <c r="E10" s="358" t="s">
        <v>1404</v>
      </c>
      <c r="F10" s="1366" t="s">
        <v>3074</v>
      </c>
      <c r="G10" s="1842"/>
      <c r="H10" s="1291" t="s">
        <v>1035</v>
      </c>
      <c r="I10" s="1814" t="s">
        <v>1403</v>
      </c>
      <c r="J10" s="346">
        <f ca="1">ROUND(IF(M10="押一",J6/12*M11,IF(M10="押二",J6/12*2*M11,IF(M10="押三",J6/12*3*M11,J11*M11))),0)</f>
        <v>0</v>
      </c>
      <c r="K10" s="1826" t="s">
        <v>3038</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5654925</v>
      </c>
      <c r="D13" s="1331" t="s">
        <v>1409</v>
      </c>
      <c r="E13" s="1331" t="s">
        <v>1410</v>
      </c>
      <c r="F13" s="1332">
        <f ca="1">INDIRECT("'数据-取费表'!y"&amp;$G$1)</f>
        <v>0.73</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5089880</v>
      </c>
      <c r="D14" s="1791" t="s">
        <v>1412</v>
      </c>
      <c r="E14" s="1785"/>
      <c r="F14" s="364"/>
      <c r="G14" s="1842"/>
      <c r="H14" s="1201" t="s">
        <v>1031</v>
      </c>
      <c r="I14" s="347" t="s">
        <v>1413</v>
      </c>
      <c r="J14" s="24">
        <f ca="1">C29</f>
        <v>7746472</v>
      </c>
      <c r="K14" s="15"/>
      <c r="L14" s="979"/>
      <c r="M14" s="980"/>
    </row>
    <row r="15" spans="1:37" s="1849" customFormat="1" ht="18" customHeight="1" thickBot="1">
      <c r="A15" s="1201" t="s">
        <v>1032</v>
      </c>
      <c r="B15" s="347" t="s">
        <v>1414</v>
      </c>
      <c r="C15" s="24">
        <f ca="1">ROUND(C14*F15,0)</f>
        <v>152696</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181267</v>
      </c>
      <c r="K16" s="1337" t="s">
        <v>1419</v>
      </c>
      <c r="L16" s="1338"/>
      <c r="M16" s="1294"/>
    </row>
    <row r="17" spans="1:37" s="1849" customFormat="1" ht="18" customHeight="1">
      <c r="A17" s="1201" t="s">
        <v>1384</v>
      </c>
      <c r="B17" s="347" t="s">
        <v>1420</v>
      </c>
      <c r="C17" s="24">
        <f ca="1">ROUND(F17*(F43+INDIRECT("'数据-取费表'!S"&amp;$G$1)),0)</f>
        <v>254494</v>
      </c>
      <c r="D17" s="347" t="s">
        <v>1421</v>
      </c>
      <c r="E17" s="347" t="s">
        <v>1422</v>
      </c>
      <c r="F17" s="26">
        <f>'数据-取费表'!B35</f>
        <v>200</v>
      </c>
      <c r="G17" s="1845"/>
      <c r="H17" s="1201" t="s">
        <v>1031</v>
      </c>
      <c r="I17" s="347" t="s">
        <v>1423</v>
      </c>
      <c r="J17" s="24">
        <f ca="1">ROUND(IF(项目基本情况!B11="自然人",J6*M17/(1+'数据-取费表'!C42),J18+J19+J20),0)</f>
        <v>65070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76348</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5573418</v>
      </c>
      <c r="D19" s="140" t="s">
        <v>1430</v>
      </c>
      <c r="E19" s="1809"/>
      <c r="F19" s="26"/>
      <c r="G19" s="1842"/>
      <c r="H19" s="1201" t="s">
        <v>1032</v>
      </c>
      <c r="I19" s="347" t="s">
        <v>1431</v>
      </c>
      <c r="J19" s="24">
        <f ca="1">IF(K19="按租金收入计税",ROUND(J6*M19/(1+'数据-取费表'!C42),0),ROUND(C29*M19*0.7,0))</f>
        <v>65070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111468</v>
      </c>
      <c r="D20" s="369" t="s">
        <v>1434</v>
      </c>
      <c r="E20" s="347" t="s">
        <v>1416</v>
      </c>
      <c r="F20" s="367">
        <f>'数据-取费表'!B37</f>
        <v>0.02</v>
      </c>
      <c r="G20" s="1845"/>
      <c r="H20" s="1201" t="s">
        <v>1383</v>
      </c>
      <c r="I20" s="164" t="s">
        <v>1435</v>
      </c>
      <c r="J20" s="25">
        <f ca="1">ROUND(M20*M21,0)</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116197</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270032</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-181267</v>
      </c>
      <c r="K25" s="1345" t="s">
        <v>1458</v>
      </c>
      <c r="L25" s="1346"/>
      <c r="M25" s="1347"/>
    </row>
    <row r="26" spans="1:37" ht="18" customHeight="1">
      <c r="A26" s="1201" t="s">
        <v>1030</v>
      </c>
      <c r="B26" s="347" t="s">
        <v>1459</v>
      </c>
      <c r="C26" s="24">
        <f ca="1">ROUND((C19+C20)*F26,0)</f>
        <v>1136977</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5.0000000000000001E-3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7746472</v>
      </c>
      <c r="D29" s="1342"/>
      <c r="E29" s="1340"/>
      <c r="F29" s="1343"/>
      <c r="G29" s="1845"/>
      <c r="H29" s="380" t="s">
        <v>1029</v>
      </c>
      <c r="I29" s="381" t="s">
        <v>1473</v>
      </c>
      <c r="J29" s="382">
        <f ca="1">ROUND(J26/(1+F40)^F41,0)</f>
        <v>0</v>
      </c>
      <c r="K29" s="383" t="s">
        <v>1474</v>
      </c>
      <c r="L29" s="384"/>
      <c r="M29" s="385">
        <f ca="1">INDIRECT("'数据-取费表'!k"&amp;$G$1)</f>
        <v>1272.47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607311</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455428</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144909</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310519</v>
      </c>
      <c r="D33" s="1819" t="s">
        <v>3075</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116197</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8482</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27204.400000000001</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2113127</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45857697</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32.61</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ROUND(C40/F43,0)</f>
        <v>36038</v>
      </c>
      <c r="D43" s="383" t="s">
        <v>1482</v>
      </c>
      <c r="E43" s="384" t="s">
        <v>1483</v>
      </c>
      <c r="F43" s="385">
        <f ca="1">INDIRECT("'数据-取费表'!k"&amp;$G$1)</f>
        <v>1272.47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-62684551</v>
      </c>
      <c r="D45" s="1930" t="s">
        <v>1598</v>
      </c>
      <c r="E45" s="1857"/>
      <c r="F45" s="1857"/>
      <c r="O45" s="1860" t="s">
        <v>1513</v>
      </c>
      <c r="P45" s="1830"/>
      <c r="Q45" s="1830"/>
      <c r="R45" s="1830"/>
    </row>
    <row r="46" spans="1:18" s="1833" customFormat="1" ht="13.5" thickBot="1">
      <c r="A46" s="1861" t="s">
        <v>1514</v>
      </c>
      <c r="C46" s="1862">
        <f ca="1">ROUND(C45/10000,0)</f>
        <v>-6268</v>
      </c>
      <c r="D46" s="1863" t="str">
        <f>C2</f>
        <v>万元</v>
      </c>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t="s">
        <v>3076</v>
      </c>
      <c r="K47" s="1873" t="s">
        <v>1521</v>
      </c>
      <c r="L47" s="1874">
        <f ca="1">INDIRECT("'数据-取费表'!d"&amp;$G$1)</f>
        <v>50</v>
      </c>
      <c r="M47" s="1829" t="str">
        <f>IF(ISNUMBER(FIND("住宅",C1)),"住宅","非住宅")</f>
        <v>非住宅</v>
      </c>
      <c r="O47" s="1875" t="s">
        <v>1036</v>
      </c>
      <c r="P47" s="1876" t="s">
        <v>1522</v>
      </c>
      <c r="Q47" s="1877">
        <f ca="1">C40+J29</f>
        <v>45857697</v>
      </c>
      <c r="R47" s="1877" t="s">
        <v>1523</v>
      </c>
    </row>
    <row r="48" spans="1:18" s="1833" customFormat="1" ht="28.5" thickBot="1">
      <c r="A48" s="1360" t="s">
        <v>1131</v>
      </c>
      <c r="B48" s="345" t="s">
        <v>1395</v>
      </c>
      <c r="C48" s="1808">
        <f ca="1">C49+C53+C55</f>
        <v>0</v>
      </c>
      <c r="D48" s="1362"/>
      <c r="E48" s="1363"/>
      <c r="F48" s="1181"/>
      <c r="G48" s="792"/>
      <c r="H48" s="793"/>
      <c r="I48" s="1878" t="s">
        <v>1524</v>
      </c>
      <c r="J48" s="1879" t="s">
        <v>3077</v>
      </c>
      <c r="K48" s="1880" t="s">
        <v>1525</v>
      </c>
      <c r="L48" s="1881">
        <f ca="1">INDIRECT("'数据-取费表'!f"&amp;$G$1)</f>
        <v>32.61</v>
      </c>
      <c r="O48" s="1875" t="s">
        <v>1037</v>
      </c>
      <c r="P48" s="1876" t="s">
        <v>1526</v>
      </c>
      <c r="Q48" s="1877" t="str">
        <f ca="1">J60</f>
        <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v>2004</v>
      </c>
      <c r="K49" s="1880" t="s">
        <v>1529</v>
      </c>
      <c r="L49" s="1884"/>
      <c r="O49" s="1885" t="s">
        <v>1038</v>
      </c>
      <c r="P49" s="1876" t="s">
        <v>1530</v>
      </c>
      <c r="Q49" s="1877">
        <f ca="1">C29</f>
        <v>7746472</v>
      </c>
      <c r="R49" s="1877" t="s">
        <v>1523</v>
      </c>
    </row>
    <row r="50" spans="1:18" s="1833" customFormat="1" ht="13.5" thickBot="1">
      <c r="A50" s="1195"/>
      <c r="B50" s="1198"/>
      <c r="C50" s="1199"/>
      <c r="D50" s="1172"/>
      <c r="E50" s="1277" t="s">
        <v>1400</v>
      </c>
      <c r="F50" s="1278">
        <f ca="1">F7</f>
        <v>1272.47</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365</v>
      </c>
      <c r="I51" s="1889" t="s">
        <v>1534</v>
      </c>
      <c r="J51" s="1890">
        <f>IF(J49="",J50,J49+J50-YEAR('数据-取费表'!B2))</f>
        <v>44</v>
      </c>
      <c r="K51" s="1891" t="s">
        <v>1535</v>
      </c>
      <c r="L51" s="1892">
        <f ca="1">ROUND(-PV(INDIRECT("'数据-取费表'!h"&amp;$G$1),J51,(C39-C13*C76),0),0)</f>
        <v>28833742</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32.61</v>
      </c>
      <c r="R52" s="1877" t="s">
        <v>1540</v>
      </c>
    </row>
    <row r="53" spans="1:18" s="1833" customFormat="1" ht="30.75" customHeight="1" thickBot="1">
      <c r="A53" s="1361" t="s">
        <v>1133</v>
      </c>
      <c r="B53" s="369" t="s">
        <v>1403</v>
      </c>
      <c r="C53" s="361">
        <f ca="1">ROUND(IF(F53="押一",C49/12*F11,IF(F53="押二",C49/12*2*F11,IF(F53="押三",C49/12*3*F11,C54*F11))),0)</f>
        <v>0</v>
      </c>
      <c r="D53" s="1815" t="s">
        <v>3039</v>
      </c>
      <c r="E53" s="358" t="s">
        <v>1404</v>
      </c>
      <c r="F53" s="1366"/>
      <c r="I53" s="1896" t="s">
        <v>1541</v>
      </c>
      <c r="J53" s="2943">
        <f ca="1">IF(M47="住宅",IF(D1="——",MAX(J51,L48),MAX(J51,L48-'数据-取费表'!B24)),IF(D1="——",MIN(J51,L48),MIN(J51,L48-'数据-取费表'!B24)))</f>
        <v>32.61</v>
      </c>
      <c r="K53" s="3185" t="s">
        <v>1542</v>
      </c>
      <c r="L53" s="3186"/>
      <c r="O53" s="1875" t="s">
        <v>1042</v>
      </c>
      <c r="P53" s="1876" t="s">
        <v>1543</v>
      </c>
      <c r="Q53" s="1877">
        <f ca="1">Q47+Q48</f>
        <v>45857697</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5654925</v>
      </c>
      <c r="D56" s="1904"/>
      <c r="E56" s="1905"/>
      <c r="F56" s="1897"/>
      <c r="I56" s="1906" t="s">
        <v>1548</v>
      </c>
      <c r="J56" s="1907" t="s">
        <v>3064</v>
      </c>
      <c r="K56" s="1878" t="s">
        <v>1549</v>
      </c>
      <c r="L56" s="1881" t="str">
        <f ca="1">IF(L48&lt;J51,"——",L48-J51)</f>
        <v>——</v>
      </c>
      <c r="O56" s="1875" t="s">
        <v>1036</v>
      </c>
      <c r="P56" s="1876" t="s">
        <v>1522</v>
      </c>
      <c r="Q56" s="1877">
        <f ca="1">C40+J29</f>
        <v>45857697</v>
      </c>
      <c r="R56" s="1877" t="s">
        <v>1523</v>
      </c>
    </row>
    <row r="57" spans="1:18" s="1833" customFormat="1" ht="24.75" thickBot="1">
      <c r="A57" s="1908"/>
      <c r="B57" s="1169" t="s">
        <v>1472</v>
      </c>
      <c r="C57" s="282">
        <f ca="1">C29</f>
        <v>7746472</v>
      </c>
      <c r="D57" s="1909"/>
      <c r="E57" s="1910"/>
      <c r="F57" s="1911"/>
      <c r="I57" s="1912" t="s">
        <v>1550</v>
      </c>
      <c r="J57" s="1913" t="str">
        <f ca="1">IF(OR(M47="住宅",J51&lt;L48,J56="是"),"——",J51-L48)</f>
        <v>——</v>
      </c>
      <c r="K57" s="1878" t="s">
        <v>1599</v>
      </c>
      <c r="L57" s="1881" t="str">
        <f ca="1">IF(L48&lt;J51,"——",IF(L55="比较法",L49,IF(L55="基准地价",L50,L51)))</f>
        <v>——</v>
      </c>
      <c r="O57" s="1875" t="s">
        <v>1037</v>
      </c>
      <c r="P57" s="1876" t="s">
        <v>1600</v>
      </c>
      <c r="Q57" s="1877">
        <f ca="1">L60</f>
        <v>0</v>
      </c>
      <c r="R57" s="1877" t="s">
        <v>1601</v>
      </c>
    </row>
    <row r="58" spans="1:18" s="1833" customFormat="1" ht="24.75" thickBot="1">
      <c r="A58" s="360" t="s">
        <v>1026</v>
      </c>
      <c r="B58" s="1177" t="s">
        <v>1418</v>
      </c>
      <c r="C58" s="361">
        <f ca="1">ROUND(C59+C64+C65+C66,0)</f>
        <v>775383</v>
      </c>
      <c r="D58" s="1179" t="s">
        <v>1419</v>
      </c>
      <c r="E58" s="1180"/>
      <c r="F58" s="1181"/>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650704</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650704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IF(项目基本情况!B11="自然人","——",ROUND(F62*F63,0))</f>
        <v>0</v>
      </c>
      <c r="D62" s="1184" t="s">
        <v>1491</v>
      </c>
      <c r="E62" s="1169" t="s">
        <v>1492</v>
      </c>
      <c r="F62" s="371">
        <f t="shared" si="0"/>
        <v>18</v>
      </c>
      <c r="I62" s="1919" t="s">
        <v>1564</v>
      </c>
      <c r="J62" s="1920" t="s">
        <v>1565</v>
      </c>
      <c r="K62" s="1920" t="s">
        <v>1566</v>
      </c>
      <c r="L62" s="1920" t="s">
        <v>1567</v>
      </c>
      <c r="M62" s="1921" t="s">
        <v>1568</v>
      </c>
      <c r="O62" s="1875" t="s">
        <v>1042</v>
      </c>
      <c r="P62" s="1876" t="s">
        <v>1569</v>
      </c>
      <c r="Q62" s="1877">
        <f ca="1">Q56+Q57</f>
        <v>45857697</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116197</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8482</v>
      </c>
      <c r="D65" s="1183" t="s">
        <v>1448</v>
      </c>
      <c r="E65" s="1169" t="s">
        <v>1449</v>
      </c>
      <c r="F65" s="376">
        <f t="shared" ca="1" si="0"/>
        <v>1.5E-3</v>
      </c>
      <c r="I65" s="1919" t="s">
        <v>1573</v>
      </c>
      <c r="J65" s="1920">
        <v>40</v>
      </c>
      <c r="K65" s="1920">
        <v>30</v>
      </c>
      <c r="L65" s="1920">
        <v>50</v>
      </c>
      <c r="M65" s="1922">
        <v>0.02</v>
      </c>
      <c r="O65" s="1875" t="s">
        <v>1036</v>
      </c>
      <c r="P65" s="1876" t="s">
        <v>1574</v>
      </c>
      <c r="Q65" s="1877">
        <f ca="1">C40+J29</f>
        <v>45857697</v>
      </c>
      <c r="R65" s="1877" t="s">
        <v>1523</v>
      </c>
    </row>
    <row r="66" spans="1:18" s="1833" customFormat="1" ht="16.5" thickBot="1">
      <c r="A66" s="1201" t="s">
        <v>1498</v>
      </c>
      <c r="B66" s="1169" t="s">
        <v>1433</v>
      </c>
      <c r="C66" s="24">
        <f ca="1">ROUND(C48*F66,0)</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-775383</v>
      </c>
      <c r="D67" s="1182" t="s">
        <v>1458</v>
      </c>
      <c r="E67" s="1187"/>
      <c r="F67" s="1188"/>
      <c r="O67" s="1885" t="s">
        <v>1038</v>
      </c>
      <c r="P67" s="1876" t="s">
        <v>1556</v>
      </c>
      <c r="Q67" s="1923">
        <f ca="1">L51</f>
        <v>28833742</v>
      </c>
      <c r="R67" s="1877" t="s">
        <v>1576</v>
      </c>
    </row>
    <row r="68" spans="1:18" s="1833" customFormat="1" ht="16.5" thickBot="1">
      <c r="A68" s="1166" t="s">
        <v>1028</v>
      </c>
      <c r="B68" s="1167" t="s">
        <v>1479</v>
      </c>
      <c r="C68" s="346">
        <f ca="1">ROUND(C67*(1-((1+F70)/(1+F68))^F69)/(F68-F70),0)</f>
        <v>-16826854</v>
      </c>
      <c r="D68" s="1184" t="s">
        <v>1463</v>
      </c>
      <c r="E68" s="1169" t="s">
        <v>1464</v>
      </c>
      <c r="F68" s="357">
        <f ca="1">F40</f>
        <v>5.5E-2</v>
      </c>
      <c r="O68" s="1885" t="s">
        <v>1039</v>
      </c>
      <c r="P68" s="1924" t="s">
        <v>1577</v>
      </c>
      <c r="Q68" s="1877">
        <f ca="1">ROUND(Q69-Q70*Q71,0)</f>
        <v>1632458</v>
      </c>
      <c r="R68" s="1877" t="s">
        <v>1047</v>
      </c>
    </row>
    <row r="69" spans="1:18" s="1833" customFormat="1" ht="13.5" thickBot="1">
      <c r="A69" s="1170"/>
      <c r="B69" s="1171"/>
      <c r="C69" s="351"/>
      <c r="D69" s="1189" t="s">
        <v>1467</v>
      </c>
      <c r="E69" s="1169" t="s">
        <v>1468</v>
      </c>
      <c r="F69" s="379">
        <f ca="1">F41</f>
        <v>32.61</v>
      </c>
      <c r="O69" s="1885" t="s">
        <v>1044</v>
      </c>
      <c r="P69" s="1924" t="s">
        <v>1578</v>
      </c>
      <c r="Q69" s="1877">
        <f ca="1">C39</f>
        <v>2113127</v>
      </c>
      <c r="R69" s="1877" t="s">
        <v>1523</v>
      </c>
    </row>
    <row r="70" spans="1:18" s="1833" customFormat="1" ht="13.5" thickBot="1">
      <c r="A70" s="1173"/>
      <c r="B70" s="1174"/>
      <c r="C70" s="355"/>
      <c r="D70" s="1185"/>
      <c r="E70" s="1169" t="s">
        <v>1471</v>
      </c>
      <c r="F70" s="1275">
        <f ca="1">F42</f>
        <v>0.03</v>
      </c>
      <c r="O70" s="1885" t="s">
        <v>1045</v>
      </c>
      <c r="P70" s="1924" t="s">
        <v>1579</v>
      </c>
      <c r="Q70" s="1877">
        <f ca="1">C13</f>
        <v>5654925</v>
      </c>
      <c r="R70" s="1877" t="s">
        <v>1523</v>
      </c>
    </row>
    <row r="71" spans="1:18" s="1833" customFormat="1" ht="13.5" thickBot="1">
      <c r="A71" s="1190" t="s">
        <v>1029</v>
      </c>
      <c r="B71" s="1191" t="s">
        <v>1481</v>
      </c>
      <c r="C71" s="382">
        <f ca="1">ROUND(C68/F71,0)</f>
        <v>-13224</v>
      </c>
      <c r="D71" s="1192" t="s">
        <v>1482</v>
      </c>
      <c r="E71" s="1193" t="s">
        <v>1483</v>
      </c>
      <c r="F71" s="385">
        <f ca="1">F43</f>
        <v>1272.47</v>
      </c>
      <c r="O71" s="1885" t="s">
        <v>1046</v>
      </c>
      <c r="P71" s="1924" t="s">
        <v>1580</v>
      </c>
      <c r="Q71" s="1888">
        <f ca="1">C76</f>
        <v>8.5000000000000006E-2</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480669</v>
      </c>
      <c r="D75" s="1833"/>
      <c r="E75" s="1833"/>
      <c r="F75" s="1833"/>
      <c r="K75" s="1859"/>
      <c r="L75" s="1833"/>
      <c r="O75" s="1875" t="s">
        <v>1042</v>
      </c>
      <c r="P75" s="1876" t="s">
        <v>1543</v>
      </c>
      <c r="Q75" s="1877">
        <f ca="1">Q65+Q66</f>
        <v>45857697</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0.77300000000000002</v>
      </c>
    </row>
    <row r="80" spans="1:18">
      <c r="B80" s="386" t="s">
        <v>1505</v>
      </c>
      <c r="C80" s="318">
        <f ca="1">ROUND(C75/C39,3)</f>
        <v>0.22700000000000001</v>
      </c>
    </row>
    <row r="81" spans="2:3">
      <c r="B81" s="314" t="s">
        <v>1506</v>
      </c>
      <c r="C81" s="282"/>
    </row>
    <row r="82" spans="2:3">
      <c r="B82" s="317" t="s">
        <v>1507</v>
      </c>
      <c r="C82" s="319">
        <f ca="1">1-C83</f>
        <v>0.877</v>
      </c>
    </row>
    <row r="83" spans="2:3">
      <c r="B83" s="317" t="s">
        <v>1508</v>
      </c>
      <c r="C83" s="318">
        <f ca="1">ROUND(C13/C40,3)</f>
        <v>0.123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2523</v>
      </c>
      <c r="B1" s="2555"/>
      <c r="C1" s="2555"/>
      <c r="D1" s="2555"/>
      <c r="E1" s="2556"/>
    </row>
    <row r="2" spans="1:6" ht="15.75">
      <c r="A2" s="2557" t="s">
        <v>2327</v>
      </c>
      <c r="B2" s="2558">
        <f ca="1">SUMIF(B6:B13,"&lt;&gt;#ref!",B6:B13)</f>
        <v>4738</v>
      </c>
      <c r="C2" s="2559" t="s">
        <v>2516</v>
      </c>
      <c r="D2" s="2560" t="s">
        <v>2517</v>
      </c>
      <c r="E2" s="2561">
        <f>SUM(E6:E13)</f>
        <v>1724.67</v>
      </c>
    </row>
    <row r="3" spans="1:6" ht="15.75">
      <c r="A3" s="2557" t="s">
        <v>1389</v>
      </c>
      <c r="B3" s="2558">
        <f ca="1">ROUND(B2*10000/E2,0)</f>
        <v>27472</v>
      </c>
      <c r="C3" s="2559" t="s">
        <v>2524</v>
      </c>
      <c r="D3" s="2562"/>
      <c r="E3" s="2563"/>
    </row>
    <row r="4" spans="1:6" ht="15.75">
      <c r="A4" s="2564"/>
      <c r="B4" s="2562"/>
      <c r="C4" s="2562"/>
      <c r="D4" s="2562"/>
      <c r="E4" s="2563"/>
    </row>
    <row r="5" spans="1:6" ht="15">
      <c r="A5" s="2565" t="s">
        <v>2518</v>
      </c>
      <c r="B5" s="3241" t="s">
        <v>2519</v>
      </c>
      <c r="C5" s="3241"/>
      <c r="D5" s="2566"/>
      <c r="E5" s="2567" t="s">
        <v>2520</v>
      </c>
      <c r="F5" s="2568" t="s">
        <v>2521</v>
      </c>
    </row>
    <row r="6" spans="1:6">
      <c r="A6" s="2569" t="str">
        <f>'数据-取费表'!AN6</f>
        <v>收益法 (元)</v>
      </c>
      <c r="B6" s="2568">
        <f ca="1">IF(F6="是",'数据-取费表'!AO6,0)</f>
        <v>4586</v>
      </c>
      <c r="C6" s="2559" t="s">
        <v>2516</v>
      </c>
      <c r="D6" s="2562"/>
      <c r="E6" s="2570">
        <f>IF(OR(A6=0,F6="否"),0,'数据-取费表'!K6+'数据-取费表'!S6)</f>
        <v>1272.47</v>
      </c>
      <c r="F6" s="2571" t="s">
        <v>2522</v>
      </c>
    </row>
    <row r="7" spans="1:6">
      <c r="A7" s="2569" t="str">
        <f>'数据-取费表'!AN7</f>
        <v>收益法 (元) (车位)</v>
      </c>
      <c r="B7" s="2568">
        <f ca="1">IF(F7="是",'数据-取费表'!AO7,0)</f>
        <v>152</v>
      </c>
      <c r="C7" s="2559" t="s">
        <v>2516</v>
      </c>
      <c r="D7" s="2562"/>
      <c r="E7" s="2570">
        <f>IF(OR(A7=0,F7="否"),0,'数据-取费表'!K7+'数据-取费表'!S7)</f>
        <v>452.2</v>
      </c>
      <c r="F7" s="2571" t="s">
        <v>2522</v>
      </c>
    </row>
    <row r="8" spans="1:6">
      <c r="A8" s="2569">
        <f>'数据-取费表'!AN8</f>
        <v>0</v>
      </c>
      <c r="B8" s="2568" t="e">
        <f ca="1">IF(F8="是",'数据-取费表'!AO8,0)</f>
        <v>#REF!</v>
      </c>
      <c r="C8" s="2559" t="s">
        <v>2516</v>
      </c>
      <c r="D8" s="2562"/>
      <c r="E8" s="2570">
        <f>IF(OR(A8=0,F8="否"),0,'数据-取费表'!K8+'数据-取费表'!S8)</f>
        <v>0</v>
      </c>
      <c r="F8" s="2571" t="s">
        <v>2522</v>
      </c>
    </row>
    <row r="9" spans="1:6">
      <c r="A9" s="2569">
        <f>'数据-取费表'!AN9</f>
        <v>0</v>
      </c>
      <c r="B9" s="2568" t="e">
        <f ca="1">IF(F9="是",'数据-取费表'!AO9,0)</f>
        <v>#REF!</v>
      </c>
      <c r="C9" s="2559" t="s">
        <v>2516</v>
      </c>
      <c r="D9" s="2562"/>
      <c r="E9" s="2570">
        <f>IF(OR(A9=0,F9="否"),0,'数据-取费表'!K9+'数据-取费表'!S9)</f>
        <v>0</v>
      </c>
      <c r="F9" s="2571" t="s">
        <v>2522</v>
      </c>
    </row>
    <row r="10" spans="1:6">
      <c r="A10" s="2569">
        <f>'数据-取费表'!AN10</f>
        <v>0</v>
      </c>
      <c r="B10" s="2568" t="e">
        <f ca="1">IF(F10="是",'数据-取费表'!AO10,0)</f>
        <v>#REF!</v>
      </c>
      <c r="C10" s="2559" t="s">
        <v>2516</v>
      </c>
      <c r="D10" s="2562"/>
      <c r="E10" s="2570">
        <f>IF(OR(A10=0,F10="否"),0,'数据-取费表'!K10+'数据-取费表'!S10)</f>
        <v>0</v>
      </c>
      <c r="F10" s="2571" t="s">
        <v>2522</v>
      </c>
    </row>
    <row r="11" spans="1:6">
      <c r="A11" s="2569">
        <f>'数据-取费表'!AN11</f>
        <v>0</v>
      </c>
      <c r="B11" s="2568" t="e">
        <f ca="1">IF(F11="是",'数据-取费表'!AO11,0)</f>
        <v>#REF!</v>
      </c>
      <c r="C11" s="2559" t="s">
        <v>2516</v>
      </c>
      <c r="D11" s="2562"/>
      <c r="E11" s="2570">
        <f>IF(OR(A11=0,F11="否"),0,'数据-取费表'!K11+'数据-取费表'!S11)</f>
        <v>0</v>
      </c>
      <c r="F11" s="2571" t="s">
        <v>2522</v>
      </c>
    </row>
    <row r="12" spans="1:6">
      <c r="A12" s="2569">
        <f>'数据-取费表'!AN12</f>
        <v>0</v>
      </c>
      <c r="B12" s="2568" t="e">
        <f ca="1">IF(F12="是",'数据-取费表'!AO12,0)</f>
        <v>#REF!</v>
      </c>
      <c r="C12" s="2559" t="s">
        <v>2516</v>
      </c>
      <c r="D12" s="2562"/>
      <c r="E12" s="2570">
        <f>IF(OR(A12=0,F12="否"),0,'数据-取费表'!K12+'数据-取费表'!S12)</f>
        <v>0</v>
      </c>
      <c r="F12" s="2571" t="s">
        <v>2522</v>
      </c>
    </row>
    <row r="13" spans="1:6" ht="15" thickBot="1">
      <c r="A13" s="2572">
        <f>'数据-取费表'!AN13</f>
        <v>0</v>
      </c>
      <c r="B13" s="2568" t="e">
        <f ca="1">IF(F13="是",'数据-取费表'!AO13,0)</f>
        <v>#REF!</v>
      </c>
      <c r="C13" s="2573" t="s">
        <v>2516</v>
      </c>
      <c r="D13" s="2574"/>
      <c r="E13" s="2570">
        <f>IF(OR(A13=0,F13="否"),0,'数据-取费表'!K13+'数据-取费表'!S13)</f>
        <v>0</v>
      </c>
      <c r="F13" s="257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1072</v>
      </c>
      <c r="B1" s="3243"/>
      <c r="C1" s="3244"/>
      <c r="D1" s="3245">
        <f>SUM(I10,I15,I20,I21,I23)</f>
        <v>0</v>
      </c>
      <c r="E1" s="3245"/>
      <c r="F1" s="3245"/>
      <c r="G1" s="3245"/>
      <c r="H1" s="3245"/>
      <c r="I1" s="3246"/>
    </row>
    <row r="2" spans="1:9">
      <c r="A2" s="3247" t="s">
        <v>1073</v>
      </c>
      <c r="B2" s="3248" t="s">
        <v>1074</v>
      </c>
      <c r="C2" s="3248"/>
      <c r="D2" s="1301" t="s">
        <v>1075</v>
      </c>
      <c r="E2" s="1301" t="s">
        <v>1076</v>
      </c>
      <c r="F2" s="1301" t="s">
        <v>1077</v>
      </c>
      <c r="G2" s="1301" t="s">
        <v>1078</v>
      </c>
      <c r="H2" s="1301" t="s">
        <v>1079</v>
      </c>
      <c r="I2" s="1302" t="s">
        <v>1080</v>
      </c>
    </row>
    <row r="3" spans="1:9">
      <c r="A3" s="3247"/>
      <c r="B3" s="3248" t="s">
        <v>1081</v>
      </c>
      <c r="C3" s="3248"/>
      <c r="D3" s="1303"/>
      <c r="E3" s="1301"/>
      <c r="F3" s="1304"/>
      <c r="G3" s="1304"/>
      <c r="H3" s="1305"/>
      <c r="I3" s="1306">
        <f>ROUND(D3*E3*F3*G3*H3/10000,0)</f>
        <v>0</v>
      </c>
    </row>
    <row r="4" spans="1:9">
      <c r="A4" s="3247"/>
      <c r="B4" s="3248" t="s">
        <v>1082</v>
      </c>
      <c r="C4" s="3248"/>
      <c r="D4" s="1303"/>
      <c r="E4" s="1301"/>
      <c r="F4" s="1304"/>
      <c r="G4" s="1304"/>
      <c r="H4" s="1305"/>
      <c r="I4" s="1306">
        <f t="shared" ref="I4:I9" si="0">ROUND(D4*E4*F4*G4*H4/10000,0)</f>
        <v>0</v>
      </c>
    </row>
    <row r="5" spans="1:9">
      <c r="A5" s="3247"/>
      <c r="B5" s="3248" t="s">
        <v>1083</v>
      </c>
      <c r="C5" s="3248"/>
      <c r="D5" s="1303"/>
      <c r="E5" s="1301"/>
      <c r="F5" s="1304"/>
      <c r="G5" s="1304"/>
      <c r="H5" s="1305"/>
      <c r="I5" s="1306">
        <f t="shared" si="0"/>
        <v>0</v>
      </c>
    </row>
    <row r="6" spans="1:9">
      <c r="A6" s="3247"/>
      <c r="B6" s="3248" t="s">
        <v>1084</v>
      </c>
      <c r="C6" s="3248"/>
      <c r="D6" s="1303"/>
      <c r="E6" s="1301"/>
      <c r="F6" s="1304"/>
      <c r="G6" s="1304"/>
      <c r="H6" s="1305"/>
      <c r="I6" s="1306">
        <f t="shared" si="0"/>
        <v>0</v>
      </c>
    </row>
    <row r="7" spans="1:9">
      <c r="A7" s="3247"/>
      <c r="B7" s="3248" t="s">
        <v>1085</v>
      </c>
      <c r="C7" s="3248"/>
      <c r="D7" s="1303"/>
      <c r="E7" s="1301"/>
      <c r="F7" s="1304"/>
      <c r="G7" s="1304"/>
      <c r="H7" s="1305"/>
      <c r="I7" s="1306">
        <f t="shared" si="0"/>
        <v>0</v>
      </c>
    </row>
    <row r="8" spans="1:9">
      <c r="A8" s="3247"/>
      <c r="B8" s="3248" t="s">
        <v>1086</v>
      </c>
      <c r="C8" s="3248"/>
      <c r="D8" s="1303"/>
      <c r="E8" s="1301"/>
      <c r="F8" s="1304"/>
      <c r="G8" s="1304"/>
      <c r="H8" s="1305"/>
      <c r="I8" s="1306">
        <f t="shared" si="0"/>
        <v>0</v>
      </c>
    </row>
    <row r="9" spans="1:9">
      <c r="A9" s="3247"/>
      <c r="B9" s="3248" t="s">
        <v>1087</v>
      </c>
      <c r="C9" s="3248"/>
      <c r="D9" s="1303"/>
      <c r="E9" s="1301"/>
      <c r="F9" s="1304"/>
      <c r="G9" s="1304"/>
      <c r="H9" s="1305"/>
      <c r="I9" s="1306">
        <f t="shared" si="0"/>
        <v>0</v>
      </c>
    </row>
    <row r="10" spans="1:9">
      <c r="A10" s="3247"/>
      <c r="B10" s="3249" t="s">
        <v>1088</v>
      </c>
      <c r="C10" s="3249"/>
      <c r="D10" s="1307"/>
      <c r="E10" s="1307" t="e">
        <f>ROUND(D1*10000/D10/H9,0)</f>
        <v>#DIV/0!</v>
      </c>
      <c r="F10" s="1308"/>
      <c r="G10" s="1308"/>
      <c r="H10" s="1309"/>
      <c r="I10" s="1310">
        <f>SUM(I3:I9)</f>
        <v>0</v>
      </c>
    </row>
    <row r="11" spans="1:9" ht="14.25">
      <c r="A11" s="3247" t="s">
        <v>1089</v>
      </c>
      <c r="B11" s="3248" t="s">
        <v>1090</v>
      </c>
      <c r="C11" s="3248"/>
      <c r="D11" s="1303" t="s">
        <v>1091</v>
      </c>
      <c r="E11" s="1303" t="s">
        <v>1092</v>
      </c>
      <c r="F11" s="1304" t="s">
        <v>1093</v>
      </c>
      <c r="G11" s="1304" t="s">
        <v>1079</v>
      </c>
      <c r="H11" s="1311" t="s">
        <v>1094</v>
      </c>
      <c r="I11" s="1302" t="s">
        <v>1080</v>
      </c>
    </row>
    <row r="12" spans="1:9">
      <c r="A12" s="3247"/>
      <c r="B12" s="3248" t="s">
        <v>1095</v>
      </c>
      <c r="C12" s="3248"/>
      <c r="D12" s="1303"/>
      <c r="E12" s="1303"/>
      <c r="F12" s="1304"/>
      <c r="G12" s="1305"/>
      <c r="H12" s="1312"/>
      <c r="I12" s="1302">
        <f>ROUND(D12*E12*F12*G12/10000,0)</f>
        <v>0</v>
      </c>
    </row>
    <row r="13" spans="1:9">
      <c r="A13" s="3247"/>
      <c r="B13" s="3248" t="s">
        <v>1096</v>
      </c>
      <c r="C13" s="3248"/>
      <c r="D13" s="1303"/>
      <c r="E13" s="1303"/>
      <c r="F13" s="1304"/>
      <c r="G13" s="1305"/>
      <c r="H13" s="1312"/>
      <c r="I13" s="1302">
        <f>ROUND(D13*E13*F13*G13/10000,0)</f>
        <v>0</v>
      </c>
    </row>
    <row r="14" spans="1:9">
      <c r="A14" s="3247"/>
      <c r="B14" s="3248" t="s">
        <v>1097</v>
      </c>
      <c r="C14" s="3248"/>
      <c r="D14" s="1303"/>
      <c r="E14" s="1303"/>
      <c r="F14" s="1304"/>
      <c r="G14" s="1305"/>
      <c r="H14" s="1312"/>
      <c r="I14" s="1302">
        <f>ROUND(D14*E14*F14*G14/10000,0)</f>
        <v>0</v>
      </c>
    </row>
    <row r="15" spans="1:9">
      <c r="A15" s="3247"/>
      <c r="B15" s="3249" t="s">
        <v>1088</v>
      </c>
      <c r="C15" s="3249"/>
      <c r="D15" s="1307"/>
      <c r="E15" s="1307">
        <f>SUM(E12:E14)</f>
        <v>0</v>
      </c>
      <c r="F15" s="1308"/>
      <c r="G15" s="1305"/>
      <c r="H15" s="1312"/>
      <c r="I15" s="1313">
        <f>SUM(I12:I14)</f>
        <v>0</v>
      </c>
    </row>
    <row r="16" spans="1:9" ht="24">
      <c r="A16" s="3247" t="s">
        <v>1098</v>
      </c>
      <c r="B16" s="3248" t="s">
        <v>1099</v>
      </c>
      <c r="C16" s="3248"/>
      <c r="D16" s="1303" t="s">
        <v>1075</v>
      </c>
      <c r="E16" s="1314" t="s">
        <v>1100</v>
      </c>
      <c r="F16" s="1304" t="s">
        <v>1101</v>
      </c>
      <c r="G16" s="1305" t="s">
        <v>1079</v>
      </c>
      <c r="H16" s="1311" t="s">
        <v>1094</v>
      </c>
      <c r="I16" s="1302" t="s">
        <v>1080</v>
      </c>
    </row>
    <row r="17" spans="1:9" ht="14.25">
      <c r="A17" s="3247"/>
      <c r="B17" s="3248" t="s">
        <v>1102</v>
      </c>
      <c r="C17" s="3248"/>
      <c r="D17" s="1303"/>
      <c r="E17" s="1303"/>
      <c r="F17" s="1304"/>
      <c r="G17" s="1305"/>
      <c r="H17" s="1315"/>
      <c r="I17" s="1316">
        <f>ROUND(D17*E17*F17*G17/10000,0)</f>
        <v>0</v>
      </c>
    </row>
    <row r="18" spans="1:9" ht="14.25">
      <c r="A18" s="3247"/>
      <c r="B18" s="3248" t="s">
        <v>1103</v>
      </c>
      <c r="C18" s="3248"/>
      <c r="D18" s="1303"/>
      <c r="E18" s="1303"/>
      <c r="F18" s="1304"/>
      <c r="G18" s="1305"/>
      <c r="H18" s="1315"/>
      <c r="I18" s="1316">
        <f>ROUND(D18*E18*F18*G18/10000,0)</f>
        <v>0</v>
      </c>
    </row>
    <row r="19" spans="1:9" ht="14.25">
      <c r="A19" s="3247"/>
      <c r="B19" s="3248" t="s">
        <v>1104</v>
      </c>
      <c r="C19" s="3248"/>
      <c r="D19" s="1303"/>
      <c r="E19" s="1303"/>
      <c r="F19" s="1304"/>
      <c r="G19" s="1305"/>
      <c r="H19" s="1315"/>
      <c r="I19" s="1316">
        <f>ROUND(D19*E19*F19*G19/10000,0)</f>
        <v>0</v>
      </c>
    </row>
    <row r="20" spans="1:9">
      <c r="A20" s="3247"/>
      <c r="B20" s="3249" t="s">
        <v>1088</v>
      </c>
      <c r="C20" s="3249"/>
      <c r="D20" s="1307">
        <f>SUM(D17:D19)</f>
        <v>0</v>
      </c>
      <c r="E20" s="1307"/>
      <c r="F20" s="1308"/>
      <c r="G20" s="1305"/>
      <c r="H20" s="1312"/>
      <c r="I20" s="1313">
        <f>SUM(I17:I19)</f>
        <v>0</v>
      </c>
    </row>
    <row r="21" spans="1:9">
      <c r="A21" s="3247" t="s">
        <v>1105</v>
      </c>
      <c r="B21" s="3251"/>
      <c r="C21" s="3251"/>
      <c r="D21" s="3251"/>
      <c r="E21" s="3251"/>
      <c r="F21" s="3251"/>
      <c r="G21" s="3251"/>
      <c r="H21" s="1756">
        <v>0.1</v>
      </c>
      <c r="I21" s="1310">
        <f>ROUND(I10*H21,0)</f>
        <v>0</v>
      </c>
    </row>
    <row r="22" spans="1:9" ht="14.25">
      <c r="A22" s="3252" t="s">
        <v>1106</v>
      </c>
      <c r="B22" s="3253"/>
      <c r="C22" s="3254"/>
      <c r="D22" s="1317" t="s">
        <v>1107</v>
      </c>
      <c r="E22" s="1317" t="s">
        <v>1108</v>
      </c>
      <c r="F22" s="1318" t="s">
        <v>1109</v>
      </c>
      <c r="G22" s="1318" t="s">
        <v>1110</v>
      </c>
      <c r="H22" s="1311" t="s">
        <v>1111</v>
      </c>
      <c r="I22" s="1302" t="s">
        <v>1112</v>
      </c>
    </row>
    <row r="23" spans="1:9" ht="14.25" thickBot="1">
      <c r="A23" s="3255"/>
      <c r="B23" s="3256"/>
      <c r="C23" s="3257"/>
      <c r="D23" s="1319"/>
      <c r="E23" s="1319"/>
      <c r="F23" s="1319"/>
      <c r="G23" s="1320"/>
      <c r="H23" s="1321"/>
      <c r="I23" s="1322">
        <f>ROUND(E23*D23*F23*(1-G23)/10000,0)</f>
        <v>0</v>
      </c>
    </row>
    <row r="26" spans="1:9">
      <c r="A26" s="1323" t="s">
        <v>1113</v>
      </c>
      <c r="B26" s="1323"/>
      <c r="C26" s="1323"/>
      <c r="D26" s="1323"/>
      <c r="E26" s="3258">
        <f>C27-C30-C31-C32</f>
        <v>0</v>
      </c>
      <c r="F26" s="3258"/>
      <c r="G26" s="3258"/>
      <c r="H26" s="1736" t="s">
        <v>1335</v>
      </c>
    </row>
    <row r="27" spans="1:9">
      <c r="A27" s="1324">
        <v>1</v>
      </c>
      <c r="B27" s="1325" t="s">
        <v>1114</v>
      </c>
      <c r="C27" s="1325">
        <f>C28+C29</f>
        <v>0</v>
      </c>
      <c r="D27" s="1325"/>
      <c r="E27" s="3259"/>
      <c r="F27" s="3259"/>
      <c r="G27" s="3259"/>
    </row>
    <row r="28" spans="1:9">
      <c r="A28" s="1326" t="s">
        <v>1115</v>
      </c>
      <c r="B28" s="1325" t="s">
        <v>1116</v>
      </c>
      <c r="C28" s="1325"/>
      <c r="D28" s="1325"/>
      <c r="E28" s="3259"/>
      <c r="F28" s="3259"/>
      <c r="G28" s="325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0"/>
      <c r="F32" s="3250"/>
      <c r="G32" s="3250"/>
    </row>
    <row r="33" spans="1:7" hidden="1">
      <c r="A33" s="3260" t="s">
        <v>1125</v>
      </c>
      <c r="B33" s="3261"/>
      <c r="C33" s="3261"/>
      <c r="D33" s="3262"/>
      <c r="E33" s="3258"/>
      <c r="F33" s="3258"/>
      <c r="G33" s="3258"/>
    </row>
    <row r="34" spans="1:7" hidden="1">
      <c r="A34" s="1328">
        <v>1</v>
      </c>
      <c r="B34" s="1325" t="s">
        <v>1126</v>
      </c>
      <c r="C34" s="1325"/>
      <c r="D34" s="1325"/>
      <c r="E34" s="3259"/>
      <c r="F34" s="3259"/>
      <c r="G34" s="3259"/>
    </row>
    <row r="35" spans="1:7" hidden="1">
      <c r="A35" s="1328">
        <v>2</v>
      </c>
      <c r="B35" s="1325" t="s">
        <v>1127</v>
      </c>
      <c r="C35" s="1325"/>
      <c r="D35" s="1325"/>
      <c r="E35" s="3259"/>
      <c r="F35" s="3259"/>
      <c r="G35" s="3259"/>
    </row>
    <row r="36" spans="1:7" hidden="1">
      <c r="A36" s="1328">
        <v>3</v>
      </c>
      <c r="B36" s="1325" t="s">
        <v>1128</v>
      </c>
      <c r="C36" s="1325"/>
      <c r="D36" s="1325"/>
      <c r="E36" s="3259"/>
      <c r="F36" s="3259"/>
      <c r="G36" s="3259"/>
    </row>
    <row r="37" spans="1:7" hidden="1">
      <c r="A37" s="1328">
        <v>4</v>
      </c>
      <c r="B37" s="1325" t="s">
        <v>1129</v>
      </c>
      <c r="C37" s="1325"/>
      <c r="D37" s="1325"/>
      <c r="E37" s="3259"/>
      <c r="F37" s="3259"/>
      <c r="G37" s="3259"/>
    </row>
    <row r="38" spans="1:7" hidden="1">
      <c r="A38" s="3260" t="s">
        <v>1130</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5" t="s">
        <v>2526</v>
      </c>
      <c r="C1" s="1633" t="s">
        <v>2527</v>
      </c>
      <c r="D1" s="1620"/>
      <c r="E1" s="2576"/>
      <c r="F1" s="2577" t="s">
        <v>2528</v>
      </c>
      <c r="G1" s="1630" t="s">
        <v>2529</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9"/>
      <c r="D2" s="1365" t="e">
        <f ca="1">SUMIF(INDIRECT("'"&amp;F2&amp;"'"&amp;"!A:A"),"承租人权益价值",INDIRECT("'"&amp;F2&amp;"'"&amp;"!c:c"))</f>
        <v>#REF!</v>
      </c>
      <c r="E2" s="2580" t="s">
        <v>2530</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2531</v>
      </c>
      <c r="D3" s="399">
        <f>IF(D1="",'数据-汇总表'!E3,SUMIF('数据-汇总表'!$C19:$C33,D1,'数据-汇总表'!$E19:$E33))</f>
        <v>1724.67</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2532</v>
      </c>
      <c r="B4" s="402"/>
      <c r="C4" s="3211" t="s">
        <v>2533</v>
      </c>
      <c r="D4" s="3212"/>
      <c r="E4" s="3213" t="s">
        <v>2534</v>
      </c>
      <c r="F4" s="3214"/>
      <c r="G4" s="3211" t="s">
        <v>2535</v>
      </c>
      <c r="H4" s="3212"/>
      <c r="I4" s="3211" t="s">
        <v>2536</v>
      </c>
      <c r="J4" s="3212"/>
      <c r="K4" s="2589" t="s">
        <v>2537</v>
      </c>
      <c r="L4" s="1130"/>
      <c r="M4" s="1131"/>
      <c r="N4" s="1131"/>
      <c r="O4" s="1131"/>
      <c r="P4" s="3267" t="s">
        <v>2538</v>
      </c>
      <c r="Q4" s="3268"/>
      <c r="R4" s="3264" t="s">
        <v>2534</v>
      </c>
      <c r="S4" s="3265"/>
      <c r="T4" s="3264" t="s">
        <v>2535</v>
      </c>
      <c r="U4" s="3265"/>
      <c r="V4" s="3224" t="s">
        <v>2536</v>
      </c>
      <c r="W4" s="3224"/>
      <c r="X4" s="1804"/>
      <c r="Y4" s="3264" t="s">
        <v>2538</v>
      </c>
      <c r="Z4" s="3265"/>
      <c r="AA4" s="3263" t="s">
        <v>2534</v>
      </c>
      <c r="AB4" s="3263" t="s">
        <v>2535</v>
      </c>
      <c r="AC4" s="3263" t="s">
        <v>2536</v>
      </c>
    </row>
    <row r="5" spans="1:29" ht="15">
      <c r="A5" s="404"/>
      <c r="B5" s="405"/>
      <c r="C5" s="3201" t="s">
        <v>2539</v>
      </c>
      <c r="D5" s="3202"/>
      <c r="E5" s="3266" t="s">
        <v>2540</v>
      </c>
      <c r="F5" s="3200"/>
      <c r="G5" s="3201" t="s">
        <v>2541</v>
      </c>
      <c r="H5" s="3202"/>
      <c r="I5" s="3201" t="s">
        <v>2542</v>
      </c>
      <c r="J5" s="3202"/>
      <c r="K5" s="259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03" t="s">
        <v>2543</v>
      </c>
      <c r="D6" s="3204"/>
      <c r="E6" s="3205" t="s">
        <v>2543</v>
      </c>
      <c r="F6" s="3206"/>
      <c r="G6" s="3203" t="s">
        <v>2543</v>
      </c>
      <c r="H6" s="3204"/>
      <c r="I6" s="3203" t="s">
        <v>2543</v>
      </c>
      <c r="J6" s="3204"/>
      <c r="K6" s="259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193" t="s">
        <v>2546</v>
      </c>
      <c r="Q7" s="3226"/>
      <c r="R7" s="770" t="s">
        <v>23</v>
      </c>
      <c r="S7" s="771">
        <f t="shared" ref="S7:S15" si="0">F7</f>
        <v>0</v>
      </c>
      <c r="T7" s="770" t="s">
        <v>23</v>
      </c>
      <c r="U7" s="771">
        <f t="shared" ref="U7:U15" si="1">H7</f>
        <v>0</v>
      </c>
      <c r="V7" s="770" t="s">
        <v>23</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2548</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193" t="s">
        <v>2549</v>
      </c>
      <c r="Q8" s="3194"/>
      <c r="R8" s="770" t="s">
        <v>23</v>
      </c>
      <c r="S8" s="771">
        <f t="shared" si="0"/>
        <v>0</v>
      </c>
      <c r="T8" s="770" t="s">
        <v>23</v>
      </c>
      <c r="U8" s="771">
        <f t="shared" si="1"/>
        <v>0</v>
      </c>
      <c r="V8" s="770" t="s">
        <v>23</v>
      </c>
      <c r="W8" s="771">
        <f t="shared" si="2"/>
        <v>0</v>
      </c>
      <c r="X8" s="772"/>
      <c r="Y8" s="3193" t="s">
        <v>2549</v>
      </c>
      <c r="Z8" s="319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7"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86" t="str">
        <f t="shared" si="6"/>
        <v>容积率</v>
      </c>
      <c r="R11" s="770" t="s">
        <v>21</v>
      </c>
      <c r="S11" s="771" t="e">
        <f t="shared" si="0"/>
        <v>#N/A</v>
      </c>
      <c r="T11" s="770" t="s">
        <v>21</v>
      </c>
      <c r="U11" s="771" t="e">
        <f t="shared" si="1"/>
        <v>#N/A</v>
      </c>
      <c r="V11" s="770" t="s">
        <v>21</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7"/>
      <c r="Q12" s="1786">
        <f t="shared" si="6"/>
        <v>111</v>
      </c>
      <c r="R12" s="770" t="s">
        <v>21</v>
      </c>
      <c r="S12" s="771">
        <f t="shared" si="0"/>
        <v>100</v>
      </c>
      <c r="T12" s="770" t="s">
        <v>21</v>
      </c>
      <c r="U12" s="771">
        <f t="shared" si="1"/>
        <v>100</v>
      </c>
      <c r="V12" s="770" t="s">
        <v>21</v>
      </c>
      <c r="W12" s="771">
        <f t="shared" si="2"/>
        <v>100</v>
      </c>
      <c r="X12" s="772"/>
      <c r="Y12" s="306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7"/>
      <c r="Q13" s="1786">
        <f t="shared" si="6"/>
        <v>111</v>
      </c>
      <c r="R13" s="770" t="s">
        <v>21</v>
      </c>
      <c r="S13" s="771">
        <f t="shared" si="0"/>
        <v>100</v>
      </c>
      <c r="T13" s="770" t="s">
        <v>21</v>
      </c>
      <c r="U13" s="771">
        <f t="shared" si="1"/>
        <v>100</v>
      </c>
      <c r="V13" s="770" t="s">
        <v>21</v>
      </c>
      <c r="W13" s="771">
        <f t="shared" si="2"/>
        <v>100</v>
      </c>
      <c r="X13" s="772"/>
      <c r="Y13" s="3060"/>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7"/>
      <c r="Q14" s="1786">
        <f t="shared" si="6"/>
        <v>111</v>
      </c>
      <c r="R14" s="770" t="s">
        <v>21</v>
      </c>
      <c r="S14" s="771">
        <f t="shared" si="0"/>
        <v>100</v>
      </c>
      <c r="T14" s="770" t="s">
        <v>21</v>
      </c>
      <c r="U14" s="771">
        <f t="shared" si="1"/>
        <v>100</v>
      </c>
      <c r="V14" s="770" t="s">
        <v>21</v>
      </c>
      <c r="W14" s="771">
        <f t="shared" si="2"/>
        <v>100</v>
      </c>
      <c r="X14" s="772"/>
      <c r="Y14" s="3060"/>
      <c r="Z14" s="55">
        <f t="shared" si="7"/>
        <v>111</v>
      </c>
      <c r="AA14" s="773">
        <f t="shared" si="3"/>
        <v>1</v>
      </c>
      <c r="AB14" s="773">
        <f t="shared" si="4"/>
        <v>1</v>
      </c>
      <c r="AC14" s="773">
        <f t="shared" si="5"/>
        <v>1</v>
      </c>
    </row>
    <row r="15" spans="1:29" ht="99.75">
      <c r="A15" s="440" t="s">
        <v>2556</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2557</v>
      </c>
      <c r="Q15" s="1801" t="str">
        <f t="shared" si="6"/>
        <v>居住社区成熟度</v>
      </c>
      <c r="R15" s="774" t="s">
        <v>21</v>
      </c>
      <c r="S15" s="775">
        <f t="shared" si="0"/>
        <v>100</v>
      </c>
      <c r="T15" s="774" t="s">
        <v>21</v>
      </c>
      <c r="U15" s="775">
        <f t="shared" si="1"/>
        <v>100</v>
      </c>
      <c r="V15" s="774" t="s">
        <v>21</v>
      </c>
      <c r="W15" s="775">
        <f t="shared" si="2"/>
        <v>100</v>
      </c>
      <c r="X15" s="1804"/>
      <c r="Y15" s="3229" t="s">
        <v>2557</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28"/>
      <c r="Q16" s="1801"/>
      <c r="R16" s="774"/>
      <c r="S16" s="775"/>
      <c r="T16" s="774"/>
      <c r="U16" s="775"/>
      <c r="V16" s="774"/>
      <c r="W16" s="775"/>
      <c r="X16" s="1804"/>
      <c r="Y16" s="3230"/>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01" t="str">
        <f>B17</f>
        <v>交通便捷度</v>
      </c>
      <c r="R17" s="774" t="s">
        <v>21</v>
      </c>
      <c r="S17" s="775">
        <f>F17</f>
        <v>100</v>
      </c>
      <c r="T17" s="774" t="s">
        <v>21</v>
      </c>
      <c r="U17" s="775">
        <f>H17</f>
        <v>100</v>
      </c>
      <c r="V17" s="774" t="s">
        <v>21</v>
      </c>
      <c r="W17" s="775">
        <f>J17</f>
        <v>100</v>
      </c>
      <c r="X17" s="1804"/>
      <c r="Y17" s="3230"/>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28"/>
      <c r="Q18" s="1801"/>
      <c r="R18" s="774"/>
      <c r="S18" s="775"/>
      <c r="T18" s="774"/>
      <c r="U18" s="775"/>
      <c r="V18" s="774"/>
      <c r="W18" s="775"/>
      <c r="X18" s="1804"/>
      <c r="Y18" s="3230"/>
      <c r="Z18" s="1805"/>
      <c r="AA18" s="1802">
        <v>1</v>
      </c>
      <c r="AB18" s="1802">
        <v>1</v>
      </c>
      <c r="AC18" s="1802">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01" t="str">
        <f>B19</f>
        <v>公共配套设施</v>
      </c>
      <c r="R19" s="774" t="s">
        <v>21</v>
      </c>
      <c r="S19" s="775">
        <f>F19</f>
        <v>100</v>
      </c>
      <c r="T19" s="774" t="s">
        <v>21</v>
      </c>
      <c r="U19" s="775">
        <f>H19</f>
        <v>100</v>
      </c>
      <c r="V19" s="774" t="s">
        <v>21</v>
      </c>
      <c r="W19" s="775">
        <f>J19</f>
        <v>100</v>
      </c>
      <c r="X19" s="1804"/>
      <c r="Y19" s="3230"/>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28"/>
      <c r="Q20" s="1801"/>
      <c r="R20" s="774"/>
      <c r="S20" s="775"/>
      <c r="T20" s="774"/>
      <c r="U20" s="775"/>
      <c r="V20" s="774"/>
      <c r="W20" s="775"/>
      <c r="X20" s="1804"/>
      <c r="Y20" s="3230"/>
      <c r="Z20" s="1805"/>
      <c r="AA20" s="1802">
        <v>1</v>
      </c>
      <c r="AB20" s="1802">
        <v>1</v>
      </c>
      <c r="AC20" s="1802">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01" t="str">
        <f>B21</f>
        <v>基础设施水平</v>
      </c>
      <c r="R21" s="774" t="s">
        <v>17</v>
      </c>
      <c r="S21" s="775">
        <f>F21</f>
        <v>100</v>
      </c>
      <c r="T21" s="774" t="s">
        <v>17</v>
      </c>
      <c r="U21" s="775">
        <f>H21</f>
        <v>100</v>
      </c>
      <c r="V21" s="774" t="s">
        <v>17</v>
      </c>
      <c r="W21" s="775">
        <f>J21</f>
        <v>100</v>
      </c>
      <c r="X21" s="1804"/>
      <c r="Y21" s="323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8"/>
      <c r="G22" s="2604"/>
      <c r="H22" s="448"/>
      <c r="I22" s="447"/>
      <c r="J22" s="448"/>
      <c r="K22" s="2605"/>
      <c r="L22" s="1140"/>
      <c r="M22" s="1131"/>
      <c r="N22" s="1131"/>
      <c r="O22" s="1131"/>
      <c r="P22" s="3228"/>
      <c r="Q22" s="1801"/>
      <c r="R22" s="774"/>
      <c r="S22" s="775"/>
      <c r="T22" s="774"/>
      <c r="U22" s="775"/>
      <c r="V22" s="774"/>
      <c r="W22" s="775"/>
      <c r="X22" s="1804"/>
      <c r="Y22" s="3230"/>
      <c r="Z22" s="1805"/>
      <c r="AA22" s="1802">
        <v>1</v>
      </c>
      <c r="AB22" s="1802">
        <v>1</v>
      </c>
      <c r="AC22" s="1802">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01" t="str">
        <f>B23</f>
        <v>自然及人文环境</v>
      </c>
      <c r="R23" s="774" t="s">
        <v>21</v>
      </c>
      <c r="S23" s="775">
        <f>F23</f>
        <v>100</v>
      </c>
      <c r="T23" s="774" t="s">
        <v>21</v>
      </c>
      <c r="U23" s="775">
        <f>H23</f>
        <v>100</v>
      </c>
      <c r="V23" s="774" t="s">
        <v>21</v>
      </c>
      <c r="W23" s="775">
        <f>J23</f>
        <v>100</v>
      </c>
      <c r="X23" s="1804"/>
      <c r="Y23" s="3230"/>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28"/>
      <c r="Q24" s="1801"/>
      <c r="R24" s="774"/>
      <c r="S24" s="775"/>
      <c r="T24" s="774"/>
      <c r="U24" s="775"/>
      <c r="V24" s="774"/>
      <c r="W24" s="775"/>
      <c r="X24" s="1804"/>
      <c r="Y24" s="3230"/>
      <c r="Z24" s="1805"/>
      <c r="AA24" s="1802">
        <v>1</v>
      </c>
      <c r="AB24" s="1802">
        <v>1</v>
      </c>
      <c r="AC24" s="1802">
        <v>1</v>
      </c>
    </row>
    <row r="25" spans="1:29" ht="15">
      <c r="A25" s="428"/>
      <c r="B25" s="422" t="s">
        <v>2558</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28"/>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0"/>
      <c r="Z25" s="1805" t="str">
        <f>Q25</f>
        <v>楼层-1</v>
      </c>
      <c r="AA25" s="1802">
        <f t="shared" ref="AA25:AA46" si="15">D25/F25</f>
        <v>1</v>
      </c>
      <c r="AB25" s="1802">
        <f t="shared" ref="AB25:AB46" si="16">D25/H25</f>
        <v>1</v>
      </c>
      <c r="AC25" s="1802">
        <f t="shared" ref="AC25:AC46" si="17">D25/J25</f>
        <v>1</v>
      </c>
    </row>
    <row r="26" spans="1:29" ht="15">
      <c r="A26" s="428"/>
      <c r="B26" s="422" t="s">
        <v>2559</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28"/>
      <c r="Q26" s="1801" t="str">
        <f t="shared" si="11"/>
        <v>朝向</v>
      </c>
      <c r="R26" s="774" t="s">
        <v>21</v>
      </c>
      <c r="S26" s="775">
        <f t="shared" si="12"/>
        <v>100</v>
      </c>
      <c r="T26" s="774" t="s">
        <v>21</v>
      </c>
      <c r="U26" s="775">
        <f t="shared" si="13"/>
        <v>100</v>
      </c>
      <c r="V26" s="774" t="s">
        <v>21</v>
      </c>
      <c r="W26" s="775">
        <f t="shared" si="14"/>
        <v>100</v>
      </c>
      <c r="X26" s="1804"/>
      <c r="Y26" s="3230"/>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28"/>
      <c r="Q27" s="1786">
        <f t="shared" si="11"/>
        <v>111</v>
      </c>
      <c r="R27" s="770" t="s">
        <v>21</v>
      </c>
      <c r="S27" s="771">
        <f t="shared" si="12"/>
        <v>100</v>
      </c>
      <c r="T27" s="770" t="s">
        <v>21</v>
      </c>
      <c r="U27" s="771">
        <f t="shared" si="13"/>
        <v>100</v>
      </c>
      <c r="V27" s="770" t="s">
        <v>21</v>
      </c>
      <c r="W27" s="771">
        <f t="shared" si="14"/>
        <v>100</v>
      </c>
      <c r="X27" s="772"/>
      <c r="Y27" s="3230"/>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28"/>
      <c r="Q28" s="1801">
        <f t="shared" si="11"/>
        <v>111</v>
      </c>
      <c r="R28" s="774" t="s">
        <v>21</v>
      </c>
      <c r="S28" s="775">
        <f t="shared" si="12"/>
        <v>100</v>
      </c>
      <c r="T28" s="774" t="s">
        <v>21</v>
      </c>
      <c r="U28" s="775">
        <f t="shared" si="13"/>
        <v>100</v>
      </c>
      <c r="V28" s="774" t="s">
        <v>21</v>
      </c>
      <c r="W28" s="775">
        <f t="shared" si="14"/>
        <v>100</v>
      </c>
      <c r="X28" s="1804"/>
      <c r="Y28" s="3230"/>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28"/>
      <c r="Q29" s="1801">
        <f t="shared" si="11"/>
        <v>111</v>
      </c>
      <c r="R29" s="774" t="s">
        <v>21</v>
      </c>
      <c r="S29" s="775">
        <f t="shared" si="12"/>
        <v>100</v>
      </c>
      <c r="T29" s="774" t="s">
        <v>21</v>
      </c>
      <c r="U29" s="775">
        <f t="shared" si="13"/>
        <v>100</v>
      </c>
      <c r="V29" s="774" t="s">
        <v>21</v>
      </c>
      <c r="W29" s="775">
        <f t="shared" si="14"/>
        <v>100</v>
      </c>
      <c r="X29" s="1804"/>
      <c r="Y29" s="3230"/>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28"/>
      <c r="Q30" s="1801">
        <f t="shared" si="11"/>
        <v>111</v>
      </c>
      <c r="R30" s="774" t="s">
        <v>21</v>
      </c>
      <c r="S30" s="775">
        <f t="shared" si="12"/>
        <v>100</v>
      </c>
      <c r="T30" s="774" t="s">
        <v>21</v>
      </c>
      <c r="U30" s="775">
        <f t="shared" si="13"/>
        <v>100</v>
      </c>
      <c r="V30" s="774" t="s">
        <v>21</v>
      </c>
      <c r="W30" s="775">
        <f t="shared" si="14"/>
        <v>100</v>
      </c>
      <c r="X30" s="1804"/>
      <c r="Y30" s="3230"/>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28"/>
      <c r="Q31" s="1801">
        <f t="shared" si="11"/>
        <v>111</v>
      </c>
      <c r="R31" s="774" t="s">
        <v>21</v>
      </c>
      <c r="S31" s="775">
        <f t="shared" si="12"/>
        <v>100</v>
      </c>
      <c r="T31" s="774" t="s">
        <v>21</v>
      </c>
      <c r="U31" s="775">
        <f t="shared" si="13"/>
        <v>100</v>
      </c>
      <c r="V31" s="774" t="s">
        <v>21</v>
      </c>
      <c r="W31" s="775">
        <f t="shared" si="14"/>
        <v>100</v>
      </c>
      <c r="X31" s="1804"/>
      <c r="Y31" s="3230"/>
      <c r="Z31" s="1805">
        <f t="shared" si="18"/>
        <v>111</v>
      </c>
      <c r="AA31" s="1802">
        <f t="shared" si="15"/>
        <v>1</v>
      </c>
      <c r="AB31" s="1802">
        <f t="shared" si="16"/>
        <v>1</v>
      </c>
      <c r="AC31" s="1802">
        <f t="shared" si="17"/>
        <v>1</v>
      </c>
    </row>
    <row r="32" spans="1:29" ht="15">
      <c r="A32" s="440" t="s">
        <v>2560</v>
      </c>
      <c r="B32" s="71" t="s">
        <v>2561</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31" t="s">
        <v>2562</v>
      </c>
      <c r="Q32" s="1801" t="str">
        <f t="shared" si="11"/>
        <v>建筑类型</v>
      </c>
      <c r="R32" s="774" t="s">
        <v>21</v>
      </c>
      <c r="S32" s="775">
        <f t="shared" si="12"/>
        <v>100</v>
      </c>
      <c r="T32" s="774" t="s">
        <v>21</v>
      </c>
      <c r="U32" s="775">
        <f t="shared" si="13"/>
        <v>100</v>
      </c>
      <c r="V32" s="774" t="s">
        <v>21</v>
      </c>
      <c r="W32" s="775">
        <f t="shared" si="14"/>
        <v>100</v>
      </c>
      <c r="X32" s="1804"/>
      <c r="Y32" s="3234" t="s">
        <v>2562</v>
      </c>
      <c r="Z32" s="1805" t="str">
        <f t="shared" si="18"/>
        <v>建筑类型</v>
      </c>
      <c r="AA32" s="1802">
        <f t="shared" si="15"/>
        <v>1</v>
      </c>
      <c r="AB32" s="1802">
        <f t="shared" si="16"/>
        <v>1</v>
      </c>
      <c r="AC32" s="1802">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02" t="e">
        <f t="shared" si="15"/>
        <v>#N/A</v>
      </c>
      <c r="AB33" s="1802" t="e">
        <f t="shared" si="16"/>
        <v>#N/A</v>
      </c>
      <c r="AC33" s="1802" t="e">
        <f t="shared" si="17"/>
        <v>#N/A</v>
      </c>
    </row>
    <row r="34" spans="1:29" ht="15">
      <c r="A34" s="472"/>
      <c r="B34" s="422" t="s">
        <v>2564</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32"/>
      <c r="Q34" s="1801" t="str">
        <f t="shared" si="11"/>
        <v>建筑结构</v>
      </c>
      <c r="R34" s="774" t="s">
        <v>21</v>
      </c>
      <c r="S34" s="775">
        <f t="shared" si="12"/>
        <v>100</v>
      </c>
      <c r="T34" s="774" t="s">
        <v>21</v>
      </c>
      <c r="U34" s="775">
        <f t="shared" si="13"/>
        <v>100</v>
      </c>
      <c r="V34" s="774" t="s">
        <v>21</v>
      </c>
      <c r="W34" s="775">
        <f t="shared" si="14"/>
        <v>100</v>
      </c>
      <c r="X34" s="1804"/>
      <c r="Y34" s="3234"/>
      <c r="Z34" s="1805" t="str">
        <f t="shared" si="18"/>
        <v>建筑结构</v>
      </c>
      <c r="AA34" s="1802">
        <f t="shared" si="15"/>
        <v>1</v>
      </c>
      <c r="AB34" s="1802">
        <f t="shared" si="16"/>
        <v>1</v>
      </c>
      <c r="AC34" s="1802">
        <f t="shared" si="17"/>
        <v>1</v>
      </c>
    </row>
    <row r="35" spans="1:29" ht="15">
      <c r="A35" s="472"/>
      <c r="B35" s="422" t="s">
        <v>2565</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32"/>
      <c r="Q35" s="1801" t="str">
        <f t="shared" si="11"/>
        <v>建筑品质</v>
      </c>
      <c r="R35" s="774" t="s">
        <v>21</v>
      </c>
      <c r="S35" s="775">
        <f t="shared" si="12"/>
        <v>100</v>
      </c>
      <c r="T35" s="774" t="s">
        <v>21</v>
      </c>
      <c r="U35" s="775">
        <f t="shared" si="13"/>
        <v>100</v>
      </c>
      <c r="V35" s="774" t="s">
        <v>21</v>
      </c>
      <c r="W35" s="775">
        <f t="shared" si="14"/>
        <v>100</v>
      </c>
      <c r="X35" s="1804"/>
      <c r="Y35" s="3234"/>
      <c r="Z35" s="1805" t="str">
        <f t="shared" si="18"/>
        <v>建筑品质</v>
      </c>
      <c r="AA35" s="1802">
        <f t="shared" si="15"/>
        <v>1</v>
      </c>
      <c r="AB35" s="1802">
        <f t="shared" si="16"/>
        <v>1</v>
      </c>
      <c r="AC35" s="1802">
        <f t="shared" si="17"/>
        <v>1</v>
      </c>
    </row>
    <row r="36" spans="1:29" ht="15">
      <c r="A36" s="472"/>
      <c r="B36" s="422" t="s">
        <v>2566</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32"/>
      <c r="Q36" s="1801" t="str">
        <f t="shared" si="11"/>
        <v>公共部分装修</v>
      </c>
      <c r="R36" s="774" t="s">
        <v>21</v>
      </c>
      <c r="S36" s="775">
        <f t="shared" si="12"/>
        <v>100</v>
      </c>
      <c r="T36" s="774" t="s">
        <v>21</v>
      </c>
      <c r="U36" s="775">
        <f t="shared" si="13"/>
        <v>100</v>
      </c>
      <c r="V36" s="774" t="s">
        <v>21</v>
      </c>
      <c r="W36" s="775">
        <f t="shared" si="14"/>
        <v>100</v>
      </c>
      <c r="X36" s="1804"/>
      <c r="Y36" s="3234"/>
      <c r="Z36" s="1805" t="str">
        <f t="shared" si="18"/>
        <v>公共部分装修</v>
      </c>
      <c r="AA36" s="1802">
        <f t="shared" si="15"/>
        <v>1</v>
      </c>
      <c r="AB36" s="1802">
        <f t="shared" si="16"/>
        <v>1</v>
      </c>
      <c r="AC36" s="1802">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86"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2568</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32" t="s">
        <v>2562</v>
      </c>
      <c r="Q38" s="1801" t="str">
        <f t="shared" si="11"/>
        <v>物业管理</v>
      </c>
      <c r="R38" s="774" t="s">
        <v>21</v>
      </c>
      <c r="S38" s="775">
        <f t="shared" si="12"/>
        <v>100</v>
      </c>
      <c r="T38" s="774" t="s">
        <v>21</v>
      </c>
      <c r="U38" s="775">
        <f t="shared" si="13"/>
        <v>100</v>
      </c>
      <c r="V38" s="774" t="s">
        <v>21</v>
      </c>
      <c r="W38" s="775">
        <f t="shared" si="14"/>
        <v>100</v>
      </c>
      <c r="X38" s="1804"/>
      <c r="Y38" s="3234" t="s">
        <v>2562</v>
      </c>
      <c r="Z38" s="1805" t="str">
        <f t="shared" si="18"/>
        <v>物业管理</v>
      </c>
      <c r="AA38" s="1802">
        <f t="shared" si="15"/>
        <v>1</v>
      </c>
      <c r="AB38" s="1802">
        <f t="shared" si="16"/>
        <v>1</v>
      </c>
      <c r="AC38" s="1802">
        <f t="shared" si="17"/>
        <v>1</v>
      </c>
    </row>
    <row r="39" spans="1:29" ht="15">
      <c r="A39" s="472"/>
      <c r="B39" s="422" t="s">
        <v>2569</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32"/>
      <c r="Q39" s="1801" t="str">
        <f t="shared" si="11"/>
        <v>市政基础设施</v>
      </c>
      <c r="R39" s="774" t="s">
        <v>21</v>
      </c>
      <c r="S39" s="775">
        <f t="shared" si="12"/>
        <v>100</v>
      </c>
      <c r="T39" s="774" t="s">
        <v>21</v>
      </c>
      <c r="U39" s="775">
        <f t="shared" si="13"/>
        <v>100</v>
      </c>
      <c r="V39" s="774" t="s">
        <v>21</v>
      </c>
      <c r="W39" s="775">
        <f t="shared" si="14"/>
        <v>100</v>
      </c>
      <c r="X39" s="1804"/>
      <c r="Y39" s="3234"/>
      <c r="Z39" s="1805" t="str">
        <f t="shared" si="18"/>
        <v>市政基础设施</v>
      </c>
      <c r="AA39" s="1802">
        <f t="shared" si="15"/>
        <v>1</v>
      </c>
      <c r="AB39" s="1802">
        <f t="shared" si="16"/>
        <v>1</v>
      </c>
      <c r="AC39" s="1802">
        <f t="shared" si="17"/>
        <v>1</v>
      </c>
    </row>
    <row r="40" spans="1:29" ht="15">
      <c r="A40" s="472"/>
      <c r="B40" s="422" t="s">
        <v>2570</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32"/>
      <c r="Q40" s="1801" t="str">
        <f t="shared" si="11"/>
        <v>房型</v>
      </c>
      <c r="R40" s="774" t="s">
        <v>21</v>
      </c>
      <c r="S40" s="775">
        <f t="shared" si="12"/>
        <v>100</v>
      </c>
      <c r="T40" s="774" t="s">
        <v>21</v>
      </c>
      <c r="U40" s="775">
        <f t="shared" si="13"/>
        <v>100</v>
      </c>
      <c r="V40" s="774" t="s">
        <v>21</v>
      </c>
      <c r="W40" s="775">
        <f t="shared" si="14"/>
        <v>100</v>
      </c>
      <c r="X40" s="1804"/>
      <c r="Y40" s="3234"/>
      <c r="Z40" s="1805" t="str">
        <f t="shared" si="18"/>
        <v>房型</v>
      </c>
      <c r="AA40" s="1802">
        <f t="shared" si="15"/>
        <v>1</v>
      </c>
      <c r="AB40" s="1802">
        <f t="shared" si="16"/>
        <v>1</v>
      </c>
      <c r="AC40" s="180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02">
        <f t="shared" si="15"/>
        <v>1</v>
      </c>
      <c r="AB41" s="1802">
        <f t="shared" si="16"/>
        <v>1</v>
      </c>
      <c r="AC41" s="1802">
        <f t="shared" si="17"/>
        <v>1</v>
      </c>
    </row>
    <row r="42" spans="1:29" ht="15">
      <c r="A42" s="472"/>
      <c r="B42" s="422" t="s">
        <v>2572</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32"/>
      <c r="Q42" s="1801" t="str">
        <f t="shared" si="11"/>
        <v>内部装修</v>
      </c>
      <c r="R42" s="774" t="s">
        <v>21</v>
      </c>
      <c r="S42" s="775">
        <f t="shared" si="12"/>
        <v>100</v>
      </c>
      <c r="T42" s="774" t="s">
        <v>21</v>
      </c>
      <c r="U42" s="775">
        <f t="shared" si="13"/>
        <v>100</v>
      </c>
      <c r="V42" s="774" t="s">
        <v>21</v>
      </c>
      <c r="W42" s="775">
        <f t="shared" si="14"/>
        <v>100</v>
      </c>
      <c r="X42" s="1804"/>
      <c r="Y42" s="3234"/>
      <c r="Z42" s="1805" t="str">
        <f t="shared" si="18"/>
        <v>内部装修</v>
      </c>
      <c r="AA42" s="1802">
        <f t="shared" si="15"/>
        <v>1</v>
      </c>
      <c r="AB42" s="1802">
        <f t="shared" si="16"/>
        <v>1</v>
      </c>
      <c r="AC42" s="1802">
        <f t="shared" si="17"/>
        <v>1</v>
      </c>
    </row>
    <row r="43" spans="1:29" ht="15">
      <c r="A43" s="472"/>
      <c r="B43" s="422" t="s">
        <v>2573</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32"/>
      <c r="Q43" s="1801" t="str">
        <f t="shared" si="11"/>
        <v>内部装修维护情况</v>
      </c>
      <c r="R43" s="774" t="s">
        <v>21</v>
      </c>
      <c r="S43" s="775">
        <f t="shared" si="12"/>
        <v>100</v>
      </c>
      <c r="T43" s="774" t="s">
        <v>21</v>
      </c>
      <c r="U43" s="775">
        <f t="shared" si="13"/>
        <v>100</v>
      </c>
      <c r="V43" s="774" t="s">
        <v>21</v>
      </c>
      <c r="W43" s="775">
        <f t="shared" si="14"/>
        <v>100</v>
      </c>
      <c r="X43" s="1804"/>
      <c r="Y43" s="3234"/>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32"/>
      <c r="Q44" s="1786">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32"/>
      <c r="Q45" s="1801">
        <f t="shared" si="11"/>
        <v>111</v>
      </c>
      <c r="R45" s="774" t="s">
        <v>21</v>
      </c>
      <c r="S45" s="775">
        <f t="shared" si="12"/>
        <v>100</v>
      </c>
      <c r="T45" s="774" t="s">
        <v>21</v>
      </c>
      <c r="U45" s="775">
        <f t="shared" si="13"/>
        <v>100</v>
      </c>
      <c r="V45" s="774" t="s">
        <v>21</v>
      </c>
      <c r="W45" s="775">
        <f t="shared" si="14"/>
        <v>100</v>
      </c>
      <c r="X45" s="1804"/>
      <c r="Y45" s="3234"/>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33"/>
      <c r="Q46" s="1801">
        <f t="shared" si="11"/>
        <v>111</v>
      </c>
      <c r="R46" s="774" t="s">
        <v>20</v>
      </c>
      <c r="S46" s="775">
        <f t="shared" si="12"/>
        <v>100</v>
      </c>
      <c r="T46" s="774" t="s">
        <v>20</v>
      </c>
      <c r="U46" s="775">
        <f t="shared" si="13"/>
        <v>100</v>
      </c>
      <c r="V46" s="774" t="s">
        <v>20</v>
      </c>
      <c r="W46" s="775">
        <f t="shared" si="14"/>
        <v>100</v>
      </c>
      <c r="X46" s="1804"/>
      <c r="Y46" s="3235"/>
      <c r="Z46" s="1805">
        <f t="shared" si="18"/>
        <v>111</v>
      </c>
      <c r="AA46" s="1802">
        <f t="shared" si="15"/>
        <v>1</v>
      </c>
      <c r="AB46" s="1802">
        <f t="shared" si="16"/>
        <v>1</v>
      </c>
      <c r="AC46" s="1802">
        <f t="shared" si="17"/>
        <v>1</v>
      </c>
    </row>
    <row r="47" spans="1:29" ht="15">
      <c r="A47" s="479" t="s">
        <v>2574</v>
      </c>
      <c r="B47" s="480"/>
      <c r="C47" s="1407" t="s">
        <v>19</v>
      </c>
      <c r="D47" s="1408"/>
      <c r="E47" s="1409"/>
      <c r="F47" s="1410"/>
      <c r="G47" s="1411"/>
      <c r="H47" s="1412"/>
      <c r="I47" s="1409"/>
      <c r="J47" s="1412"/>
      <c r="K47" s="2614"/>
      <c r="L47" s="1143"/>
      <c r="M47" s="1144"/>
      <c r="N47" s="1131"/>
      <c r="O47" s="1144"/>
      <c r="P47" s="3236" t="str">
        <f>A47</f>
        <v>成交单价（元/平方米）</v>
      </c>
      <c r="Q47" s="3236"/>
      <c r="R47" s="3237">
        <f>E47</f>
        <v>0</v>
      </c>
      <c r="S47" s="3237"/>
      <c r="T47" s="3237">
        <f>G47</f>
        <v>0</v>
      </c>
      <c r="U47" s="3237"/>
      <c r="V47" s="3237">
        <f>I47</f>
        <v>0</v>
      </c>
      <c r="W47" s="3237"/>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5"/>
      <c r="L48" s="1143"/>
      <c r="M48" s="1144"/>
      <c r="N48" s="1144"/>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16"/>
      <c r="L49" s="1143"/>
      <c r="M49" s="1144"/>
      <c r="N49" s="1144"/>
      <c r="O49" s="1144"/>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19"/>
      <c r="Q57" s="504"/>
    </row>
    <row r="58" spans="1:29" s="508" customFormat="1" ht="15">
      <c r="A58" s="505" t="s">
        <v>2581</v>
      </c>
      <c r="B58" s="506"/>
      <c r="C58" s="1575" t="str">
        <f>YEAR(C7)&amp;"-"&amp;MONTH(C7)</f>
        <v>2020-7</v>
      </c>
      <c r="D58" s="1574">
        <f>EDATE(C58,-1)</f>
        <v>43983</v>
      </c>
      <c r="E58" s="1574">
        <f>EDATE(D58,-1)</f>
        <v>43952</v>
      </c>
      <c r="F58" s="1574">
        <f t="shared" ref="F58:O58" si="19">EDATE(E58,-1)</f>
        <v>43922</v>
      </c>
      <c r="G58" s="1574">
        <f t="shared" si="19"/>
        <v>43891</v>
      </c>
      <c r="H58" s="1574">
        <f t="shared" si="19"/>
        <v>43862</v>
      </c>
      <c r="I58" s="1574">
        <f t="shared" si="19"/>
        <v>43831</v>
      </c>
      <c r="J58" s="1574">
        <f t="shared" si="19"/>
        <v>43800</v>
      </c>
      <c r="K58" s="1574">
        <f t="shared" si="19"/>
        <v>43770</v>
      </c>
      <c r="L58" s="1574">
        <f t="shared" si="19"/>
        <v>43739</v>
      </c>
      <c r="M58" s="1574">
        <f t="shared" si="19"/>
        <v>43709</v>
      </c>
      <c r="N58" s="1574">
        <f t="shared" si="19"/>
        <v>43678</v>
      </c>
      <c r="O58" s="1574">
        <f t="shared" si="19"/>
        <v>43647</v>
      </c>
      <c r="P58" s="1570"/>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2582</v>
      </c>
      <c r="B60" s="516"/>
      <c r="C60" s="517"/>
      <c r="D60" s="518"/>
      <c r="E60" s="518"/>
      <c r="F60" s="518"/>
      <c r="G60" s="518"/>
      <c r="H60" s="518"/>
      <c r="I60" s="518"/>
      <c r="J60" s="518"/>
      <c r="K60" s="518"/>
      <c r="L60" s="518"/>
      <c r="M60" s="519"/>
      <c r="N60" s="518"/>
      <c r="O60" s="519"/>
      <c r="P60" s="2621"/>
      <c r="Q60" s="504"/>
    </row>
    <row r="61" spans="1:29" s="117" customFormat="1" ht="15">
      <c r="A61" s="521" t="s">
        <v>2583</v>
      </c>
      <c r="B61" s="510"/>
      <c r="C61" s="522" t="s">
        <v>2584</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2585</v>
      </c>
      <c r="B63" s="528" t="s">
        <v>2551</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2601</v>
      </c>
      <c r="D82" s="539" t="s">
        <v>2602</v>
      </c>
      <c r="E82" s="539" t="s">
        <v>2603</v>
      </c>
      <c r="F82" s="539" t="s">
        <v>2604</v>
      </c>
      <c r="G82" s="539" t="s">
        <v>2605</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2607</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2608</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2560</v>
      </c>
      <c r="B100" s="528" t="s">
        <v>2609</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2611</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2612</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2613</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2614</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2615</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2616</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2617</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2619</v>
      </c>
    </row>
    <row r="137" spans="1:17" ht="15">
      <c r="B137" s="2631" t="s">
        <v>2620</v>
      </c>
      <c r="C137" s="2632"/>
      <c r="D137" s="2632"/>
      <c r="E137" s="2632"/>
      <c r="F137" s="2632"/>
      <c r="G137" s="2633"/>
      <c r="H137" s="2634"/>
      <c r="I137" s="2635" t="s">
        <v>2621</v>
      </c>
      <c r="J137" s="2632"/>
      <c r="K137" s="2636"/>
    </row>
    <row r="138" spans="1:17" ht="15">
      <c r="B138" s="2637"/>
      <c r="C138" s="146" t="s">
        <v>2622</v>
      </c>
      <c r="D138" s="146" t="s">
        <v>2623</v>
      </c>
      <c r="E138" s="2638" t="s">
        <v>2624</v>
      </c>
      <c r="F138" s="2639" t="s">
        <v>2625</v>
      </c>
      <c r="G138" s="146" t="s">
        <v>2623</v>
      </c>
      <c r="H138" s="147" t="s">
        <v>2624</v>
      </c>
      <c r="I138" s="2640"/>
      <c r="J138" s="146" t="s">
        <v>2626</v>
      </c>
      <c r="K138" s="147" t="s">
        <v>2627</v>
      </c>
    </row>
    <row r="139" spans="1:17" ht="15">
      <c r="B139" s="1084">
        <v>6</v>
      </c>
      <c r="C139" s="1085">
        <v>96</v>
      </c>
      <c r="D139" s="2641" t="s">
        <v>2628</v>
      </c>
      <c r="E139" s="1086">
        <v>100</v>
      </c>
      <c r="F139" s="1087">
        <v>102.5</v>
      </c>
      <c r="G139" s="2641" t="s">
        <v>2628</v>
      </c>
      <c r="H139" s="1088">
        <v>105</v>
      </c>
      <c r="I139" s="2642" t="s">
        <v>2629</v>
      </c>
      <c r="J139" s="1085">
        <v>20</v>
      </c>
      <c r="K139" s="1089">
        <f>C145/(J139-2)</f>
        <v>4.0555555555555553E-3</v>
      </c>
    </row>
    <row r="140" spans="1:17" ht="15">
      <c r="B140" s="1090">
        <v>5</v>
      </c>
      <c r="C140" s="1091">
        <v>100</v>
      </c>
      <c r="D140" s="1091"/>
      <c r="E140" s="1092"/>
      <c r="F140" s="1093">
        <v>102</v>
      </c>
      <c r="G140" s="1091"/>
      <c r="H140" s="1094"/>
      <c r="I140" s="2643" t="s">
        <v>2630</v>
      </c>
      <c r="J140" s="315">
        <f>ROUNDUP((J139-1)/2,0)</f>
        <v>10</v>
      </c>
      <c r="K140" s="1095">
        <v>100</v>
      </c>
    </row>
    <row r="141" spans="1:17" ht="15">
      <c r="B141" s="1090">
        <v>4</v>
      </c>
      <c r="C141" s="1091">
        <v>102</v>
      </c>
      <c r="D141" s="1091"/>
      <c r="E141" s="1092"/>
      <c r="F141" s="1093">
        <v>101.5</v>
      </c>
      <c r="G141" s="1091"/>
      <c r="H141" s="1094"/>
      <c r="I141" s="2643" t="s">
        <v>2631</v>
      </c>
      <c r="J141" s="315">
        <v>1</v>
      </c>
      <c r="K141" s="1096">
        <f>ROUND(100+(J141-J140)*K139*100,1)</f>
        <v>96.4</v>
      </c>
    </row>
    <row r="142" spans="1:17" ht="15">
      <c r="B142" s="1090">
        <v>3</v>
      </c>
      <c r="C142" s="1091">
        <v>103</v>
      </c>
      <c r="D142" s="1091"/>
      <c r="E142" s="1092"/>
      <c r="F142" s="1093">
        <v>101</v>
      </c>
      <c r="G142" s="1091"/>
      <c r="H142" s="1094"/>
      <c r="I142" s="2643" t="s">
        <v>2632</v>
      </c>
      <c r="J142" s="315">
        <f>J139</f>
        <v>20</v>
      </c>
      <c r="K142" s="1097">
        <v>95</v>
      </c>
    </row>
    <row r="143" spans="1:17" ht="15">
      <c r="B143" s="1090">
        <v>2</v>
      </c>
      <c r="C143" s="1091">
        <v>100</v>
      </c>
      <c r="D143" s="1091"/>
      <c r="E143" s="1092"/>
      <c r="F143" s="1093">
        <v>100.5</v>
      </c>
      <c r="G143" s="1091"/>
      <c r="H143" s="1094"/>
      <c r="I143" s="2643" t="s">
        <v>2633</v>
      </c>
      <c r="J143" s="1091">
        <v>15</v>
      </c>
      <c r="K143" s="1096">
        <f>ROUND(100+(J143-J140)*K139*100,1)</f>
        <v>102</v>
      </c>
    </row>
    <row r="144" spans="1:17" ht="15">
      <c r="B144" s="1090">
        <v>1</v>
      </c>
      <c r="C144" s="1091">
        <v>98</v>
      </c>
      <c r="D144" s="2644" t="s">
        <v>2634</v>
      </c>
      <c r="E144" s="1092">
        <v>102</v>
      </c>
      <c r="F144" s="1098">
        <v>100</v>
      </c>
      <c r="G144" s="2644" t="s">
        <v>2634</v>
      </c>
      <c r="H144" s="1094">
        <v>105</v>
      </c>
      <c r="I144" s="2643" t="s">
        <v>2633</v>
      </c>
      <c r="J144" s="1091">
        <v>18</v>
      </c>
      <c r="K144" s="1096">
        <f>ROUND(100+(J144-J140)*K139*100,1)</f>
        <v>103.2</v>
      </c>
    </row>
    <row r="145" spans="2:11" ht="15.75" thickBot="1">
      <c r="B145" s="2645" t="s">
        <v>2635</v>
      </c>
      <c r="C145" s="1099">
        <f>ROUND(MAX(C139:C144)/MIN(C139:C144)-1,3)</f>
        <v>7.2999999999999995E-2</v>
      </c>
      <c r="D145" s="1100"/>
      <c r="E145" s="1100"/>
      <c r="F145" s="2646" t="s">
        <v>2636</v>
      </c>
      <c r="G145" s="2647"/>
      <c r="H145" s="2648"/>
      <c r="I145" s="2649" t="s">
        <v>2633</v>
      </c>
      <c r="J145" s="1101">
        <v>8</v>
      </c>
      <c r="K145" s="1102">
        <f>ROUND(100+(J145-J140)*K139*100,1)</f>
        <v>99.2</v>
      </c>
    </row>
    <row r="147" spans="2:11">
      <c r="B147" s="2630" t="s">
        <v>2637</v>
      </c>
    </row>
    <row r="148" spans="2:11">
      <c r="B148" s="263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5" t="s">
        <v>2639</v>
      </c>
      <c r="C1" s="1633" t="s">
        <v>2527</v>
      </c>
      <c r="D1" s="1620"/>
      <c r="E1" s="2650"/>
      <c r="F1" s="2577"/>
      <c r="G1" s="1630" t="s">
        <v>2640</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8" t="e">
        <f ca="1">IF(C2="——",ROUND(C49*D3/10000,0),ROUND(C49*D3/10000,0)-D2)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2641</v>
      </c>
      <c r="D3" s="399">
        <f>IF(D1="",'数据-汇总表'!E3,SUMIF('数据-汇总表'!$C19:$C33,D1,'数据-汇总表'!$E19:$E33))</f>
        <v>1724.67</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224"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224"/>
      <c r="AC5" s="3191"/>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224"/>
      <c r="AC6" s="3192"/>
    </row>
    <row r="7" spans="1:29" s="117" customFormat="1" ht="15.75" thickBot="1">
      <c r="A7" s="408" t="s">
        <v>2545</v>
      </c>
      <c r="B7" s="409"/>
      <c r="C7" s="410">
        <f>'数据-取费表'!B2</f>
        <v>44020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3" t="s">
        <v>2546</v>
      </c>
      <c r="Q7" s="322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7"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7"/>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7"/>
      <c r="Q11" s="1786"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86">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71.25">
      <c r="A15" s="440" t="s">
        <v>2556</v>
      </c>
      <c r="B15" s="69" t="s">
        <v>2650</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2557</v>
      </c>
      <c r="Q15" s="1801" t="str">
        <f t="shared" si="6"/>
        <v>商业繁华度</v>
      </c>
      <c r="R15" s="774" t="s">
        <v>17</v>
      </c>
      <c r="S15" s="775">
        <f t="shared" si="0"/>
        <v>100</v>
      </c>
      <c r="T15" s="774" t="s">
        <v>17</v>
      </c>
      <c r="U15" s="775">
        <f t="shared" si="1"/>
        <v>100</v>
      </c>
      <c r="V15" s="774" t="s">
        <v>17</v>
      </c>
      <c r="W15" s="775">
        <f t="shared" si="2"/>
        <v>100</v>
      </c>
      <c r="X15" s="1804"/>
      <c r="Y15" s="3229" t="s">
        <v>2557</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28"/>
      <c r="Q16" s="1801"/>
      <c r="R16" s="774"/>
      <c r="S16" s="775"/>
      <c r="T16" s="774"/>
      <c r="U16" s="775"/>
      <c r="V16" s="774"/>
      <c r="W16" s="775"/>
      <c r="X16" s="1804"/>
      <c r="Y16" s="3230"/>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01" t="str">
        <f>B17</f>
        <v>交通便捷度</v>
      </c>
      <c r="R17" s="774" t="s">
        <v>17</v>
      </c>
      <c r="S17" s="775">
        <f>F17</f>
        <v>100</v>
      </c>
      <c r="T17" s="774" t="s">
        <v>17</v>
      </c>
      <c r="U17" s="775">
        <f>H17</f>
        <v>100</v>
      </c>
      <c r="V17" s="774" t="s">
        <v>17</v>
      </c>
      <c r="W17" s="775">
        <f>J17</f>
        <v>100</v>
      </c>
      <c r="X17" s="1804"/>
      <c r="Y17" s="3230"/>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228"/>
      <c r="Q18" s="1801"/>
      <c r="R18" s="774"/>
      <c r="S18" s="775"/>
      <c r="T18" s="774"/>
      <c r="U18" s="775"/>
      <c r="V18" s="774"/>
      <c r="W18" s="775"/>
      <c r="X18" s="1804"/>
      <c r="Y18" s="3230"/>
      <c r="Z18" s="1805"/>
      <c r="AA18" s="1802">
        <v>1</v>
      </c>
      <c r="AB18" s="1802">
        <v>1</v>
      </c>
      <c r="AC18" s="1802">
        <v>1</v>
      </c>
    </row>
    <row r="19" spans="1:29" ht="42.75">
      <c r="A19" s="428"/>
      <c r="B19" s="451" t="s">
        <v>2651</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01" t="str">
        <f>B19</f>
        <v>公共配套设施</v>
      </c>
      <c r="R19" s="774" t="s">
        <v>17</v>
      </c>
      <c r="S19" s="775">
        <f>F19</f>
        <v>100</v>
      </c>
      <c r="T19" s="774" t="s">
        <v>17</v>
      </c>
      <c r="U19" s="775">
        <f>H19</f>
        <v>100</v>
      </c>
      <c r="V19" s="774" t="s">
        <v>17</v>
      </c>
      <c r="W19" s="775">
        <f>J19</f>
        <v>100</v>
      </c>
      <c r="X19" s="1804"/>
      <c r="Y19" s="3230"/>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228"/>
      <c r="Q20" s="1801"/>
      <c r="R20" s="774"/>
      <c r="S20" s="775"/>
      <c r="T20" s="774"/>
      <c r="U20" s="775"/>
      <c r="V20" s="774"/>
      <c r="W20" s="775"/>
      <c r="X20" s="1804"/>
      <c r="Y20" s="3230"/>
      <c r="Z20" s="1805"/>
      <c r="AA20" s="1802">
        <v>1</v>
      </c>
      <c r="AB20" s="1802">
        <v>1</v>
      </c>
      <c r="AC20" s="1802">
        <v>1</v>
      </c>
    </row>
    <row r="21" spans="1:29" ht="28.5">
      <c r="A21" s="428"/>
      <c r="B21" s="1384" t="s">
        <v>2652</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01" t="str">
        <f>B21</f>
        <v>基础设施水平</v>
      </c>
      <c r="R21" s="774" t="s">
        <v>17</v>
      </c>
      <c r="S21" s="775">
        <f>F21</f>
        <v>100</v>
      </c>
      <c r="T21" s="774" t="s">
        <v>17</v>
      </c>
      <c r="U21" s="775">
        <f>H21</f>
        <v>100</v>
      </c>
      <c r="V21" s="774" t="s">
        <v>17</v>
      </c>
      <c r="W21" s="775">
        <f>J21</f>
        <v>100</v>
      </c>
      <c r="X21" s="1804"/>
      <c r="Y21" s="323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1"/>
      <c r="P22" s="3228"/>
      <c r="Q22" s="1801"/>
      <c r="R22" s="774"/>
      <c r="S22" s="775"/>
      <c r="T22" s="774"/>
      <c r="U22" s="775"/>
      <c r="V22" s="774"/>
      <c r="W22" s="775"/>
      <c r="X22" s="1804"/>
      <c r="Y22" s="3230"/>
      <c r="Z22" s="1805"/>
      <c r="AA22" s="1802">
        <v>1</v>
      </c>
      <c r="AB22" s="1802">
        <v>1</v>
      </c>
      <c r="AC22" s="1802">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01" t="str">
        <f>B23</f>
        <v>自然及人文环境</v>
      </c>
      <c r="R23" s="774" t="s">
        <v>17</v>
      </c>
      <c r="S23" s="775">
        <f>F23</f>
        <v>100</v>
      </c>
      <c r="T23" s="774" t="s">
        <v>17</v>
      </c>
      <c r="U23" s="775">
        <f>H23</f>
        <v>100</v>
      </c>
      <c r="V23" s="774" t="s">
        <v>17</v>
      </c>
      <c r="W23" s="775">
        <f>J23</f>
        <v>100</v>
      </c>
      <c r="X23" s="1804"/>
      <c r="Y23" s="3230"/>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228"/>
      <c r="Q24" s="1801"/>
      <c r="R24" s="774"/>
      <c r="S24" s="775"/>
      <c r="T24" s="774"/>
      <c r="U24" s="775"/>
      <c r="V24" s="774"/>
      <c r="W24" s="775"/>
      <c r="X24" s="1804"/>
      <c r="Y24" s="3230"/>
      <c r="Z24" s="1805"/>
      <c r="AA24" s="1802">
        <v>1</v>
      </c>
      <c r="AB24" s="1802">
        <v>1</v>
      </c>
      <c r="AC24" s="180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01" t="str">
        <f t="shared" ref="Q25:Q46" si="11">B25</f>
        <v>临街状况</v>
      </c>
      <c r="R25" s="774" t="s">
        <v>17</v>
      </c>
      <c r="S25" s="775">
        <f>F25</f>
        <v>100</v>
      </c>
      <c r="T25" s="774" t="s">
        <v>17</v>
      </c>
      <c r="U25" s="775">
        <f>H25</f>
        <v>100</v>
      </c>
      <c r="V25" s="774" t="s">
        <v>17</v>
      </c>
      <c r="W25" s="775">
        <f>J25</f>
        <v>100</v>
      </c>
      <c r="X25" s="1804"/>
      <c r="Y25" s="3230"/>
      <c r="Z25" s="1805" t="str">
        <f>Q25</f>
        <v>临街状况</v>
      </c>
      <c r="AA25" s="1802">
        <f t="shared" si="3"/>
        <v>1</v>
      </c>
      <c r="AB25" s="1802">
        <f t="shared" si="4"/>
        <v>1</v>
      </c>
      <c r="AC25" s="1802">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01" t="str">
        <f t="shared" si="11"/>
        <v>平面位置/可视性</v>
      </c>
      <c r="R26" s="774" t="s">
        <v>17</v>
      </c>
      <c r="S26" s="775">
        <f>F26</f>
        <v>100</v>
      </c>
      <c r="T26" s="774" t="s">
        <v>17</v>
      </c>
      <c r="U26" s="775">
        <f>H26</f>
        <v>100</v>
      </c>
      <c r="V26" s="774" t="s">
        <v>17</v>
      </c>
      <c r="W26" s="775">
        <f>J26</f>
        <v>100</v>
      </c>
      <c r="X26" s="1804"/>
      <c r="Y26" s="3230"/>
      <c r="Z26" s="1805" t="str">
        <f>Q26</f>
        <v>平面位置/可视性</v>
      </c>
      <c r="AA26" s="1802">
        <f t="shared" si="3"/>
        <v>1</v>
      </c>
      <c r="AB26" s="1802">
        <f t="shared" si="4"/>
        <v>1</v>
      </c>
      <c r="AC26" s="1802">
        <f t="shared" si="5"/>
        <v>1</v>
      </c>
    </row>
    <row r="27" spans="1:29" s="117" customFormat="1" ht="15">
      <c r="A27" s="431"/>
      <c r="B27" s="451" t="s">
        <v>2655</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28"/>
      <c r="Q27" s="1786" t="str">
        <f t="shared" si="11"/>
        <v>人流量</v>
      </c>
      <c r="R27" s="770" t="s">
        <v>17</v>
      </c>
      <c r="S27" s="771">
        <f>F27</f>
        <v>100</v>
      </c>
      <c r="T27" s="770" t="s">
        <v>17</v>
      </c>
      <c r="U27" s="771">
        <f>H27</f>
        <v>100</v>
      </c>
      <c r="V27" s="770" t="s">
        <v>17</v>
      </c>
      <c r="W27" s="771">
        <f>J27</f>
        <v>100</v>
      </c>
      <c r="X27" s="772"/>
      <c r="Y27" s="3230"/>
      <c r="Z27" s="55" t="str">
        <f>Q27</f>
        <v>人流量</v>
      </c>
      <c r="AA27" s="1802">
        <f>D27/F27</f>
        <v>1</v>
      </c>
      <c r="AB27" s="1802">
        <f>D27/H27</f>
        <v>1</v>
      </c>
      <c r="AC27" s="180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0"/>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01">
        <f t="shared" si="11"/>
        <v>111</v>
      </c>
      <c r="R29" s="774" t="s">
        <v>17</v>
      </c>
      <c r="S29" s="775">
        <f t="shared" si="12"/>
        <v>100</v>
      </c>
      <c r="T29" s="774" t="s">
        <v>17</v>
      </c>
      <c r="U29" s="775">
        <f t="shared" si="13"/>
        <v>100</v>
      </c>
      <c r="V29" s="774" t="s">
        <v>17</v>
      </c>
      <c r="W29" s="775">
        <f t="shared" si="14"/>
        <v>100</v>
      </c>
      <c r="X29" s="1804"/>
      <c r="Y29" s="3230"/>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01">
        <f t="shared" si="11"/>
        <v>111</v>
      </c>
      <c r="R30" s="774" t="s">
        <v>17</v>
      </c>
      <c r="S30" s="775">
        <f t="shared" si="12"/>
        <v>100</v>
      </c>
      <c r="T30" s="774" t="s">
        <v>17</v>
      </c>
      <c r="U30" s="775">
        <f t="shared" si="13"/>
        <v>100</v>
      </c>
      <c r="V30" s="774" t="s">
        <v>17</v>
      </c>
      <c r="W30" s="775">
        <f t="shared" si="14"/>
        <v>100</v>
      </c>
      <c r="X30" s="1804"/>
      <c r="Y30" s="3230"/>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01">
        <f t="shared" si="11"/>
        <v>111</v>
      </c>
      <c r="R31" s="774" t="s">
        <v>17</v>
      </c>
      <c r="S31" s="775">
        <f t="shared" si="12"/>
        <v>100</v>
      </c>
      <c r="T31" s="774" t="s">
        <v>17</v>
      </c>
      <c r="U31" s="775">
        <f t="shared" si="13"/>
        <v>100</v>
      </c>
      <c r="V31" s="774" t="s">
        <v>17</v>
      </c>
      <c r="W31" s="775">
        <f t="shared" si="14"/>
        <v>100</v>
      </c>
      <c r="X31" s="1804"/>
      <c r="Y31" s="3230"/>
      <c r="Z31" s="1805">
        <f t="shared" si="15"/>
        <v>111</v>
      </c>
      <c r="AA31" s="1802">
        <f t="shared" si="3"/>
        <v>1</v>
      </c>
      <c r="AB31" s="1802">
        <f t="shared" si="4"/>
        <v>1</v>
      </c>
      <c r="AC31" s="1802">
        <f t="shared" si="5"/>
        <v>1</v>
      </c>
    </row>
    <row r="32" spans="1:29" ht="15">
      <c r="A32" s="440" t="s">
        <v>2560</v>
      </c>
      <c r="B32" s="71" t="s">
        <v>2657</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31" t="s">
        <v>2562</v>
      </c>
      <c r="Q32" s="1801" t="str">
        <f t="shared" si="11"/>
        <v>商业类型</v>
      </c>
      <c r="R32" s="774" t="s">
        <v>17</v>
      </c>
      <c r="S32" s="775">
        <f t="shared" si="12"/>
        <v>100</v>
      </c>
      <c r="T32" s="774" t="s">
        <v>17</v>
      </c>
      <c r="U32" s="775">
        <f t="shared" si="13"/>
        <v>100</v>
      </c>
      <c r="V32" s="774" t="s">
        <v>17</v>
      </c>
      <c r="W32" s="775">
        <f t="shared" si="14"/>
        <v>100</v>
      </c>
      <c r="X32" s="1804"/>
      <c r="Y32" s="3234" t="s">
        <v>2562</v>
      </c>
      <c r="Z32" s="1805" t="str">
        <f t="shared" si="15"/>
        <v>商业类型</v>
      </c>
      <c r="AA32" s="1802">
        <f t="shared" si="3"/>
        <v>1</v>
      </c>
      <c r="AB32" s="1802">
        <f t="shared" si="4"/>
        <v>1</v>
      </c>
      <c r="AC32" s="180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02" t="e">
        <f t="shared" si="3"/>
        <v>#N/A</v>
      </c>
      <c r="AB33" s="1802" t="e">
        <f t="shared" si="4"/>
        <v>#N/A</v>
      </c>
      <c r="AC33" s="1802" t="e">
        <f t="shared" si="5"/>
        <v>#N/A</v>
      </c>
    </row>
    <row r="34" spans="1:29" ht="15">
      <c r="A34" s="472"/>
      <c r="B34" s="422" t="s">
        <v>2564</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32"/>
      <c r="Q34" s="1801" t="str">
        <f t="shared" si="11"/>
        <v>建筑结构</v>
      </c>
      <c r="R34" s="774" t="s">
        <v>17</v>
      </c>
      <c r="S34" s="775">
        <f t="shared" si="12"/>
        <v>100</v>
      </c>
      <c r="T34" s="774" t="s">
        <v>17</v>
      </c>
      <c r="U34" s="775">
        <f t="shared" si="13"/>
        <v>100</v>
      </c>
      <c r="V34" s="774" t="s">
        <v>17</v>
      </c>
      <c r="W34" s="775">
        <f t="shared" si="14"/>
        <v>100</v>
      </c>
      <c r="X34" s="1804"/>
      <c r="Y34" s="3234"/>
      <c r="Z34" s="1805" t="str">
        <f t="shared" si="15"/>
        <v>建筑结构</v>
      </c>
      <c r="AA34" s="1802">
        <f t="shared" si="3"/>
        <v>1</v>
      </c>
      <c r="AB34" s="1802">
        <f t="shared" si="4"/>
        <v>1</v>
      </c>
      <c r="AC34" s="1802">
        <f t="shared" si="5"/>
        <v>1</v>
      </c>
    </row>
    <row r="35" spans="1:29" ht="15">
      <c r="A35" s="472"/>
      <c r="B35" s="422" t="s">
        <v>2658</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32"/>
      <c r="Q35" s="1801" t="str">
        <f t="shared" si="11"/>
        <v>公共部分装修</v>
      </c>
      <c r="R35" s="774" t="s">
        <v>17</v>
      </c>
      <c r="S35" s="775">
        <f t="shared" si="12"/>
        <v>100</v>
      </c>
      <c r="T35" s="774" t="s">
        <v>17</v>
      </c>
      <c r="U35" s="775">
        <f t="shared" si="13"/>
        <v>100</v>
      </c>
      <c r="V35" s="774" t="s">
        <v>17</v>
      </c>
      <c r="W35" s="775">
        <f t="shared" si="14"/>
        <v>100</v>
      </c>
      <c r="X35" s="1804"/>
      <c r="Y35" s="3234"/>
      <c r="Z35" s="1805" t="str">
        <f t="shared" si="15"/>
        <v>公共部分装修</v>
      </c>
      <c r="AA35" s="1802">
        <f t="shared" si="3"/>
        <v>1</v>
      </c>
      <c r="AB35" s="1802">
        <f t="shared" si="4"/>
        <v>1</v>
      </c>
      <c r="AC35" s="180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01" t="str">
        <f t="shared" si="11"/>
        <v>成新度</v>
      </c>
      <c r="R36" s="774" t="s">
        <v>17</v>
      </c>
      <c r="S36" s="775" t="e">
        <f t="shared" si="12"/>
        <v>#N/A</v>
      </c>
      <c r="T36" s="774" t="s">
        <v>17</v>
      </c>
      <c r="U36" s="775" t="e">
        <f t="shared" si="13"/>
        <v>#N/A</v>
      </c>
      <c r="V36" s="774" t="s">
        <v>17</v>
      </c>
      <c r="W36" s="775" t="e">
        <f t="shared" si="14"/>
        <v>#N/A</v>
      </c>
      <c r="X36" s="1804"/>
      <c r="Y36" s="3234"/>
      <c r="Z36" s="1805" t="str">
        <f t="shared" si="15"/>
        <v>成新度</v>
      </c>
      <c r="AA36" s="1802" t="e">
        <f t="shared" si="3"/>
        <v>#N/A</v>
      </c>
      <c r="AB36" s="1802" t="e">
        <f t="shared" si="4"/>
        <v>#N/A</v>
      </c>
      <c r="AC36" s="1802" t="e">
        <f t="shared" si="5"/>
        <v>#N/A</v>
      </c>
    </row>
    <row r="37" spans="1:29" s="117" customFormat="1" ht="15">
      <c r="A37" s="473"/>
      <c r="B37" s="422" t="s">
        <v>2660</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32"/>
      <c r="Q37" s="1786"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2661</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32" t="s">
        <v>2562</v>
      </c>
      <c r="Q38" s="1801" t="str">
        <f t="shared" si="11"/>
        <v>业态</v>
      </c>
      <c r="R38" s="774" t="s">
        <v>17</v>
      </c>
      <c r="S38" s="775">
        <f t="shared" si="12"/>
        <v>100</v>
      </c>
      <c r="T38" s="774" t="s">
        <v>17</v>
      </c>
      <c r="U38" s="775">
        <f t="shared" si="13"/>
        <v>100</v>
      </c>
      <c r="V38" s="774" t="s">
        <v>17</v>
      </c>
      <c r="W38" s="775">
        <f t="shared" si="14"/>
        <v>100</v>
      </c>
      <c r="X38" s="1804"/>
      <c r="Y38" s="3234" t="s">
        <v>2562</v>
      </c>
      <c r="Z38" s="1805" t="str">
        <f t="shared" si="15"/>
        <v>业态</v>
      </c>
      <c r="AA38" s="1802">
        <f t="shared" si="3"/>
        <v>1</v>
      </c>
      <c r="AB38" s="1802">
        <f t="shared" si="4"/>
        <v>1</v>
      </c>
      <c r="AC38" s="1802">
        <f t="shared" si="5"/>
        <v>1</v>
      </c>
    </row>
    <row r="39" spans="1:29" ht="15">
      <c r="A39" s="472"/>
      <c r="B39" s="422" t="s">
        <v>2662</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32"/>
      <c r="Q39" s="1801" t="str">
        <f t="shared" si="11"/>
        <v>层高</v>
      </c>
      <c r="R39" s="774" t="s">
        <v>17</v>
      </c>
      <c r="S39" s="775">
        <f t="shared" si="12"/>
        <v>100</v>
      </c>
      <c r="T39" s="774" t="s">
        <v>17</v>
      </c>
      <c r="U39" s="775">
        <f t="shared" si="13"/>
        <v>100</v>
      </c>
      <c r="V39" s="774" t="s">
        <v>17</v>
      </c>
      <c r="W39" s="775">
        <f t="shared" si="14"/>
        <v>100</v>
      </c>
      <c r="X39" s="1804"/>
      <c r="Y39" s="3234"/>
      <c r="Z39" s="1805" t="str">
        <f t="shared" si="15"/>
        <v>层高</v>
      </c>
      <c r="AA39" s="1802">
        <f t="shared" si="3"/>
        <v>1</v>
      </c>
      <c r="AB39" s="1802">
        <f t="shared" si="4"/>
        <v>1</v>
      </c>
      <c r="AC39" s="180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01" t="str">
        <f t="shared" si="11"/>
        <v>单套建筑面积</v>
      </c>
      <c r="R40" s="774" t="s">
        <v>17</v>
      </c>
      <c r="S40" s="775">
        <f t="shared" si="12"/>
        <v>100</v>
      </c>
      <c r="T40" s="774" t="s">
        <v>17</v>
      </c>
      <c r="U40" s="775">
        <f t="shared" si="13"/>
        <v>100</v>
      </c>
      <c r="V40" s="774" t="s">
        <v>17</v>
      </c>
      <c r="W40" s="775">
        <f t="shared" si="14"/>
        <v>100</v>
      </c>
      <c r="X40" s="1804"/>
      <c r="Y40" s="3234"/>
      <c r="Z40" s="1805" t="str">
        <f t="shared" si="15"/>
        <v>单套建筑面积</v>
      </c>
      <c r="AA40" s="1802">
        <f t="shared" si="3"/>
        <v>1</v>
      </c>
      <c r="AB40" s="1802">
        <f t="shared" si="4"/>
        <v>1</v>
      </c>
      <c r="AC40" s="1802">
        <f t="shared" si="5"/>
        <v>1</v>
      </c>
    </row>
    <row r="41" spans="1:29" s="471" customFormat="1" ht="15">
      <c r="A41" s="468"/>
      <c r="B41" s="180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02">
        <f t="shared" si="3"/>
        <v>1</v>
      </c>
      <c r="AB41" s="1802">
        <f t="shared" si="4"/>
        <v>1</v>
      </c>
      <c r="AC41" s="1802">
        <f t="shared" si="5"/>
        <v>1</v>
      </c>
    </row>
    <row r="42" spans="1:29" ht="15">
      <c r="A42" s="472"/>
      <c r="B42" s="422" t="s">
        <v>2665</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32"/>
      <c r="Q42" s="1801" t="str">
        <f t="shared" si="11"/>
        <v>内部装修</v>
      </c>
      <c r="R42" s="774" t="s">
        <v>17</v>
      </c>
      <c r="S42" s="775">
        <f t="shared" si="12"/>
        <v>100</v>
      </c>
      <c r="T42" s="774" t="s">
        <v>17</v>
      </c>
      <c r="U42" s="775">
        <f t="shared" si="13"/>
        <v>100</v>
      </c>
      <c r="V42" s="774" t="s">
        <v>17</v>
      </c>
      <c r="W42" s="775">
        <f t="shared" si="14"/>
        <v>100</v>
      </c>
      <c r="X42" s="1804"/>
      <c r="Y42" s="3234"/>
      <c r="Z42" s="1805" t="str">
        <f t="shared" si="15"/>
        <v>内部装修</v>
      </c>
      <c r="AA42" s="1802">
        <f t="shared" si="3"/>
        <v>1</v>
      </c>
      <c r="AB42" s="1802">
        <f t="shared" si="4"/>
        <v>1</v>
      </c>
      <c r="AC42" s="1802">
        <f t="shared" si="5"/>
        <v>1</v>
      </c>
    </row>
    <row r="43" spans="1:29" ht="15">
      <c r="A43" s="472"/>
      <c r="B43" s="422" t="s">
        <v>2573</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32"/>
      <c r="Q43" s="1801" t="str">
        <f t="shared" si="11"/>
        <v>内部装修维护情况</v>
      </c>
      <c r="R43" s="774" t="s">
        <v>17</v>
      </c>
      <c r="S43" s="775">
        <f t="shared" si="12"/>
        <v>100</v>
      </c>
      <c r="T43" s="774" t="s">
        <v>17</v>
      </c>
      <c r="U43" s="775">
        <f t="shared" si="13"/>
        <v>100</v>
      </c>
      <c r="V43" s="774" t="s">
        <v>17</v>
      </c>
      <c r="W43" s="775">
        <f t="shared" si="14"/>
        <v>100</v>
      </c>
      <c r="X43" s="1804"/>
      <c r="Y43" s="3234"/>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86">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01">
        <f t="shared" si="11"/>
        <v>111</v>
      </c>
      <c r="R45" s="774" t="s">
        <v>17</v>
      </c>
      <c r="S45" s="775">
        <f t="shared" si="12"/>
        <v>100</v>
      </c>
      <c r="T45" s="774" t="s">
        <v>17</v>
      </c>
      <c r="U45" s="775">
        <f t="shared" si="13"/>
        <v>100</v>
      </c>
      <c r="V45" s="774" t="s">
        <v>17</v>
      </c>
      <c r="W45" s="775">
        <f t="shared" si="14"/>
        <v>100</v>
      </c>
      <c r="X45" s="1804"/>
      <c r="Y45" s="3234"/>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01">
        <f t="shared" si="11"/>
        <v>111</v>
      </c>
      <c r="R46" s="774" t="s">
        <v>17</v>
      </c>
      <c r="S46" s="775">
        <f t="shared" si="12"/>
        <v>100</v>
      </c>
      <c r="T46" s="774" t="s">
        <v>17</v>
      </c>
      <c r="U46" s="775">
        <f t="shared" si="13"/>
        <v>100</v>
      </c>
      <c r="V46" s="774" t="s">
        <v>17</v>
      </c>
      <c r="W46" s="775">
        <f t="shared" si="14"/>
        <v>100</v>
      </c>
      <c r="X46" s="1804"/>
      <c r="Y46" s="3235"/>
      <c r="Z46" s="1805">
        <f t="shared" si="15"/>
        <v>111</v>
      </c>
      <c r="AA46" s="1802">
        <f t="shared" si="3"/>
        <v>1</v>
      </c>
      <c r="AB46" s="1802">
        <f t="shared" si="4"/>
        <v>1</v>
      </c>
      <c r="AC46" s="1802">
        <f t="shared" si="5"/>
        <v>1</v>
      </c>
    </row>
    <row r="47" spans="1:29" ht="15">
      <c r="A47" s="479" t="s">
        <v>2574</v>
      </c>
      <c r="B47" s="480"/>
      <c r="C47" s="1407" t="s">
        <v>1</v>
      </c>
      <c r="D47" s="1408"/>
      <c r="E47" s="1409"/>
      <c r="F47" s="1410"/>
      <c r="G47" s="1411"/>
      <c r="H47" s="1412"/>
      <c r="I47" s="1409"/>
      <c r="J47" s="1412"/>
      <c r="K47" s="783"/>
      <c r="L47" s="1143"/>
      <c r="M47" s="1144"/>
      <c r="N47" s="1131"/>
      <c r="O47" s="1144"/>
      <c r="P47" s="3236" t="str">
        <f>A47</f>
        <v>成交单价（元/平方米）</v>
      </c>
      <c r="Q47" s="3236"/>
      <c r="R47" s="3224">
        <f>E47</f>
        <v>0</v>
      </c>
      <c r="S47" s="3224"/>
      <c r="T47" s="3224">
        <f>G47</f>
        <v>0</v>
      </c>
      <c r="U47" s="3224"/>
      <c r="V47" s="3224">
        <f>I47</f>
        <v>0</v>
      </c>
      <c r="W47" s="3224"/>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2545</v>
      </c>
      <c r="B58" s="506"/>
      <c r="C58" s="1573" t="str">
        <f>YEAR(C7)&amp;"-"&amp;MONTH(C7)</f>
        <v>2020-7</v>
      </c>
      <c r="D58" s="1574">
        <f>EDATE(C58,-1)</f>
        <v>43983</v>
      </c>
      <c r="E58" s="1574">
        <f t="shared" ref="E58:N58" si="16">EDATE(D58,-1)</f>
        <v>43952</v>
      </c>
      <c r="F58" s="1574">
        <f t="shared" si="16"/>
        <v>43922</v>
      </c>
      <c r="G58" s="1574">
        <f t="shared" si="16"/>
        <v>43891</v>
      </c>
      <c r="H58" s="1574">
        <f t="shared" si="16"/>
        <v>43862</v>
      </c>
      <c r="I58" s="1574">
        <f t="shared" si="16"/>
        <v>43831</v>
      </c>
      <c r="J58" s="1574">
        <f t="shared" si="16"/>
        <v>43800</v>
      </c>
      <c r="K58" s="1574">
        <f t="shared" si="16"/>
        <v>43770</v>
      </c>
      <c r="L58" s="1574">
        <f t="shared" si="16"/>
        <v>43739</v>
      </c>
      <c r="M58" s="1574">
        <f t="shared" si="16"/>
        <v>43709</v>
      </c>
      <c r="N58" s="1574">
        <f t="shared" si="16"/>
        <v>43678</v>
      </c>
      <c r="O58" s="1574">
        <f>EDATE(N58,-1)</f>
        <v>43647</v>
      </c>
      <c r="P58" s="1570"/>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2582</v>
      </c>
      <c r="B60" s="516"/>
      <c r="C60" s="517"/>
      <c r="D60" s="518"/>
      <c r="E60" s="518"/>
      <c r="F60" s="518"/>
      <c r="G60" s="518"/>
      <c r="H60" s="518"/>
      <c r="I60" s="518"/>
      <c r="J60" s="518"/>
      <c r="K60" s="518"/>
      <c r="L60" s="518"/>
      <c r="M60" s="519"/>
      <c r="N60" s="518"/>
      <c r="O60" s="519"/>
      <c r="P60" s="2621"/>
      <c r="Q60" s="504"/>
    </row>
    <row r="61" spans="1:29" s="117" customFormat="1" ht="15">
      <c r="A61" s="521" t="s">
        <v>2547</v>
      </c>
      <c r="B61" s="510"/>
      <c r="C61" s="522" t="s">
        <v>2649</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2585</v>
      </c>
      <c r="B63" s="528" t="s">
        <v>2551</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2677</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2560</v>
      </c>
      <c r="B100" s="528" t="s">
        <v>2678</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2611</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2613</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2679</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2680</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2681</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2617</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2" t="s">
        <v>2699</v>
      </c>
      <c r="C1" s="1619" t="s">
        <v>2527</v>
      </c>
      <c r="D1" s="1620"/>
      <c r="E1" s="1629"/>
      <c r="F1" s="2577"/>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1724.67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3" t="s">
        <v>2546</v>
      </c>
      <c r="Q7" s="322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6"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6"/>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6"/>
      <c r="Q11" s="1786"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2556</v>
      </c>
      <c r="B15" s="69" t="s">
        <v>2700</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9" t="s">
        <v>2557</v>
      </c>
      <c r="Q15" s="1801" t="str">
        <f t="shared" si="6"/>
        <v>产业集聚程度</v>
      </c>
      <c r="R15" s="774" t="s">
        <v>17</v>
      </c>
      <c r="S15" s="775">
        <f t="shared" si="0"/>
        <v>100</v>
      </c>
      <c r="T15" s="774" t="s">
        <v>17</v>
      </c>
      <c r="U15" s="775">
        <f t="shared" si="1"/>
        <v>100</v>
      </c>
      <c r="V15" s="774" t="s">
        <v>17</v>
      </c>
      <c r="W15" s="775">
        <f t="shared" si="2"/>
        <v>100</v>
      </c>
      <c r="X15" s="1804"/>
      <c r="Y15" s="3229" t="s">
        <v>2557</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0"/>
      <c r="Q16" s="1801"/>
      <c r="R16" s="774"/>
      <c r="S16" s="775"/>
      <c r="T16" s="774"/>
      <c r="U16" s="775"/>
      <c r="V16" s="774"/>
      <c r="W16" s="775"/>
      <c r="X16" s="1804"/>
      <c r="Y16" s="3230"/>
      <c r="Z16" s="1805"/>
      <c r="AA16" s="1802">
        <v>1</v>
      </c>
      <c r="AB16" s="1802">
        <v>1</v>
      </c>
      <c r="AC16" s="1802">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0"/>
      <c r="Q17" s="1801" t="str">
        <f>B17</f>
        <v>交通便捷度</v>
      </c>
      <c r="R17" s="774" t="s">
        <v>17</v>
      </c>
      <c r="S17" s="775">
        <f>F17</f>
        <v>100</v>
      </c>
      <c r="T17" s="774" t="s">
        <v>17</v>
      </c>
      <c r="U17" s="775">
        <f>H17</f>
        <v>100</v>
      </c>
      <c r="V17" s="774" t="s">
        <v>17</v>
      </c>
      <c r="W17" s="775">
        <f>J17</f>
        <v>100</v>
      </c>
      <c r="X17" s="1804"/>
      <c r="Y17" s="3230"/>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30"/>
      <c r="Q18" s="1801"/>
      <c r="R18" s="774"/>
      <c r="S18" s="775"/>
      <c r="T18" s="774"/>
      <c r="U18" s="775"/>
      <c r="V18" s="774"/>
      <c r="W18" s="775"/>
      <c r="X18" s="1804"/>
      <c r="Y18" s="3230"/>
      <c r="Z18" s="1805"/>
      <c r="AA18" s="1802">
        <v>1</v>
      </c>
      <c r="AB18" s="1802">
        <v>1</v>
      </c>
      <c r="AC18" s="1802">
        <v>1</v>
      </c>
    </row>
    <row r="19" spans="1:29" ht="42.75">
      <c r="A19" s="428"/>
      <c r="B19" s="451" t="s">
        <v>2685</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0"/>
      <c r="Q19" s="1801" t="str">
        <f>B19</f>
        <v>公共配套设施</v>
      </c>
      <c r="R19" s="774" t="s">
        <v>17</v>
      </c>
      <c r="S19" s="775">
        <f>F19</f>
        <v>100</v>
      </c>
      <c r="T19" s="774" t="s">
        <v>17</v>
      </c>
      <c r="U19" s="775">
        <f>H19</f>
        <v>100</v>
      </c>
      <c r="V19" s="774" t="s">
        <v>17</v>
      </c>
      <c r="W19" s="775">
        <f>J19</f>
        <v>100</v>
      </c>
      <c r="X19" s="1804"/>
      <c r="Y19" s="3230"/>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30"/>
      <c r="Q20" s="1801"/>
      <c r="R20" s="774"/>
      <c r="S20" s="775"/>
      <c r="T20" s="774"/>
      <c r="U20" s="775"/>
      <c r="V20" s="774"/>
      <c r="W20" s="775"/>
      <c r="X20" s="1804"/>
      <c r="Y20" s="3230"/>
      <c r="Z20" s="1805"/>
      <c r="AA20" s="1802">
        <v>1</v>
      </c>
      <c r="AB20" s="1802">
        <v>1</v>
      </c>
      <c r="AC20" s="1802">
        <v>1</v>
      </c>
    </row>
    <row r="21" spans="1:29" ht="28.5">
      <c r="A21" s="428"/>
      <c r="B21" s="1384" t="s">
        <v>2686</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0"/>
      <c r="Q21" s="1801" t="str">
        <f>B21</f>
        <v>基础设施水平</v>
      </c>
      <c r="R21" s="774" t="s">
        <v>17</v>
      </c>
      <c r="S21" s="775">
        <f>F21</f>
        <v>100</v>
      </c>
      <c r="T21" s="774" t="s">
        <v>17</v>
      </c>
      <c r="U21" s="775">
        <f>H21</f>
        <v>100</v>
      </c>
      <c r="V21" s="774" t="s">
        <v>17</v>
      </c>
      <c r="W21" s="775">
        <f>J21</f>
        <v>100</v>
      </c>
      <c r="X21" s="1804"/>
      <c r="Y21" s="323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9"/>
      <c r="P22" s="3230"/>
      <c r="Q22" s="1801"/>
      <c r="R22" s="774"/>
      <c r="S22" s="775"/>
      <c r="T22" s="774"/>
      <c r="U22" s="775"/>
      <c r="V22" s="774"/>
      <c r="W22" s="775"/>
      <c r="X22" s="1804"/>
      <c r="Y22" s="3230"/>
      <c r="Z22" s="1805"/>
      <c r="AA22" s="1802">
        <v>1</v>
      </c>
      <c r="AB22" s="1802">
        <v>1</v>
      </c>
      <c r="AC22" s="1802">
        <v>1</v>
      </c>
    </row>
    <row r="23" spans="1:29" ht="71.25">
      <c r="A23" s="428"/>
      <c r="B23" s="451" t="s">
        <v>2687</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0"/>
      <c r="Q23" s="1801" t="str">
        <f>B23</f>
        <v>环境质量</v>
      </c>
      <c r="R23" s="774" t="s">
        <v>17</v>
      </c>
      <c r="S23" s="775">
        <f>F23</f>
        <v>100</v>
      </c>
      <c r="T23" s="774" t="s">
        <v>17</v>
      </c>
      <c r="U23" s="775">
        <f>H23</f>
        <v>100</v>
      </c>
      <c r="V23" s="774" t="s">
        <v>17</v>
      </c>
      <c r="W23" s="775">
        <f>J23</f>
        <v>100</v>
      </c>
      <c r="X23" s="1804"/>
      <c r="Y23" s="3230"/>
      <c r="Z23" s="1805" t="str">
        <f>Q23</f>
        <v>环境质量</v>
      </c>
      <c r="AA23" s="1802">
        <f t="shared" si="3"/>
        <v>1</v>
      </c>
      <c r="AB23" s="1802">
        <f t="shared" si="4"/>
        <v>1</v>
      </c>
      <c r="AC23" s="1802">
        <f t="shared" si="5"/>
        <v>1</v>
      </c>
    </row>
    <row r="24" spans="1:29" ht="15">
      <c r="A24" s="428"/>
      <c r="B24" s="1384"/>
      <c r="C24" s="447"/>
      <c r="D24" s="448"/>
      <c r="E24" s="2598"/>
      <c r="F24" s="449"/>
      <c r="G24" s="2597"/>
      <c r="H24" s="448"/>
      <c r="I24" s="2598"/>
      <c r="J24" s="448"/>
      <c r="K24" s="615"/>
      <c r="L24" s="1140"/>
      <c r="M24" s="1131"/>
      <c r="N24" s="1131"/>
      <c r="O24" s="1139"/>
      <c r="P24" s="3230"/>
      <c r="Q24" s="1801"/>
      <c r="R24" s="774"/>
      <c r="S24" s="775"/>
      <c r="T24" s="774"/>
      <c r="U24" s="775"/>
      <c r="V24" s="774"/>
      <c r="W24" s="775"/>
      <c r="X24" s="1804"/>
      <c r="Y24" s="3230"/>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0"/>
      <c r="Q25" s="1801">
        <f>B25</f>
        <v>111</v>
      </c>
      <c r="R25" s="774" t="s">
        <v>17</v>
      </c>
      <c r="S25" s="775">
        <f>F25</f>
        <v>100</v>
      </c>
      <c r="T25" s="774" t="s">
        <v>17</v>
      </c>
      <c r="U25" s="775">
        <f>H25</f>
        <v>100</v>
      </c>
      <c r="V25" s="774" t="s">
        <v>17</v>
      </c>
      <c r="W25" s="775">
        <f>J25</f>
        <v>100</v>
      </c>
      <c r="X25" s="1804"/>
      <c r="Y25" s="3230"/>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0"/>
      <c r="Q26" s="1801">
        <f t="shared" ref="Q26:Q40" si="11">B26</f>
        <v>111</v>
      </c>
      <c r="R26" s="774" t="s">
        <v>17</v>
      </c>
      <c r="S26" s="775">
        <f>F26</f>
        <v>100</v>
      </c>
      <c r="T26" s="774" t="s">
        <v>17</v>
      </c>
      <c r="U26" s="775">
        <f>H26</f>
        <v>100</v>
      </c>
      <c r="V26" s="774" t="s">
        <v>17</v>
      </c>
      <c r="W26" s="775">
        <f>J26</f>
        <v>100</v>
      </c>
      <c r="X26" s="1804"/>
      <c r="Y26" s="3230"/>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0"/>
      <c r="Q27" s="1786">
        <f t="shared" si="11"/>
        <v>111</v>
      </c>
      <c r="R27" s="770" t="s">
        <v>17</v>
      </c>
      <c r="S27" s="771">
        <f>F27</f>
        <v>100</v>
      </c>
      <c r="T27" s="770" t="s">
        <v>17</v>
      </c>
      <c r="U27" s="771">
        <f>H27</f>
        <v>100</v>
      </c>
      <c r="V27" s="770" t="s">
        <v>17</v>
      </c>
      <c r="W27" s="771">
        <f>J27</f>
        <v>100</v>
      </c>
      <c r="X27" s="772"/>
      <c r="Y27" s="3230"/>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0"/>
      <c r="Q28" s="1801">
        <f t="shared" si="11"/>
        <v>111</v>
      </c>
      <c r="R28" s="774" t="s">
        <v>17</v>
      </c>
      <c r="S28" s="775">
        <f t="shared" ref="S28:S40" si="12">F28</f>
        <v>100</v>
      </c>
      <c r="T28" s="774" t="s">
        <v>17</v>
      </c>
      <c r="U28" s="775">
        <f t="shared" ref="U28:U40" si="13">H28</f>
        <v>100</v>
      </c>
      <c r="V28" s="774" t="s">
        <v>17</v>
      </c>
      <c r="W28" s="775">
        <f t="shared" ref="W28:W40" si="14">J28</f>
        <v>100</v>
      </c>
      <c r="X28" s="1804"/>
      <c r="Y28" s="3230"/>
      <c r="Z28" s="1805">
        <f t="shared" ref="Z28:Z40" si="15">Q28</f>
        <v>111</v>
      </c>
      <c r="AA28" s="1802">
        <f t="shared" si="3"/>
        <v>1</v>
      </c>
      <c r="AB28" s="1802">
        <f t="shared" si="4"/>
        <v>1</v>
      </c>
      <c r="AC28" s="1802">
        <f t="shared" si="5"/>
        <v>1</v>
      </c>
    </row>
    <row r="29" spans="1:29" ht="28.5">
      <c r="A29" s="466" t="s">
        <v>2560</v>
      </c>
      <c r="B29" s="71" t="s">
        <v>2690</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74" t="s">
        <v>2562</v>
      </c>
      <c r="Q29" s="1801" t="str">
        <f t="shared" si="11"/>
        <v>建筑类型</v>
      </c>
      <c r="R29" s="774" t="s">
        <v>17</v>
      </c>
      <c r="S29" s="775">
        <f t="shared" si="12"/>
        <v>100</v>
      </c>
      <c r="T29" s="774" t="s">
        <v>17</v>
      </c>
      <c r="U29" s="775">
        <f t="shared" si="13"/>
        <v>100</v>
      </c>
      <c r="V29" s="774" t="s">
        <v>17</v>
      </c>
      <c r="W29" s="775">
        <f t="shared" si="14"/>
        <v>100</v>
      </c>
      <c r="X29" s="1804"/>
      <c r="Y29" s="3234" t="s">
        <v>2562</v>
      </c>
      <c r="Z29" s="1805" t="str">
        <f t="shared" si="15"/>
        <v>建筑类型</v>
      </c>
      <c r="AA29" s="1802">
        <f t="shared" si="3"/>
        <v>1</v>
      </c>
      <c r="AB29" s="1802">
        <f t="shared" si="4"/>
        <v>1</v>
      </c>
      <c r="AC29" s="180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02" t="e">
        <f t="shared" si="3"/>
        <v>#N/A</v>
      </c>
      <c r="AB30" s="1802" t="e">
        <f t="shared" si="4"/>
        <v>#N/A</v>
      </c>
      <c r="AC30" s="180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4"/>
      <c r="Q31" s="1801" t="str">
        <f t="shared" si="11"/>
        <v>建筑结构</v>
      </c>
      <c r="R31" s="774" t="s">
        <v>17</v>
      </c>
      <c r="S31" s="775">
        <f t="shared" si="12"/>
        <v>100</v>
      </c>
      <c r="T31" s="774" t="s">
        <v>17</v>
      </c>
      <c r="U31" s="775">
        <f t="shared" si="13"/>
        <v>100</v>
      </c>
      <c r="V31" s="774" t="s">
        <v>17</v>
      </c>
      <c r="W31" s="775">
        <f t="shared" si="14"/>
        <v>100</v>
      </c>
      <c r="X31" s="1804"/>
      <c r="Y31" s="3234"/>
      <c r="Z31" s="1805" t="str">
        <f t="shared" si="15"/>
        <v>建筑结构</v>
      </c>
      <c r="AA31" s="1802">
        <f t="shared" si="3"/>
        <v>1</v>
      </c>
      <c r="AB31" s="1802">
        <f t="shared" si="4"/>
        <v>1</v>
      </c>
      <c r="AC31" s="180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4"/>
      <c r="Q32" s="1801" t="str">
        <f t="shared" si="11"/>
        <v>公共部分装修</v>
      </c>
      <c r="R32" s="774" t="s">
        <v>17</v>
      </c>
      <c r="S32" s="775">
        <f t="shared" si="12"/>
        <v>100</v>
      </c>
      <c r="T32" s="774" t="s">
        <v>17</v>
      </c>
      <c r="U32" s="775">
        <f t="shared" si="13"/>
        <v>100</v>
      </c>
      <c r="V32" s="774" t="s">
        <v>17</v>
      </c>
      <c r="W32" s="775">
        <f t="shared" si="14"/>
        <v>100</v>
      </c>
      <c r="X32" s="1804"/>
      <c r="Y32" s="3234"/>
      <c r="Z32" s="1805" t="str">
        <f t="shared" si="15"/>
        <v>公共部分装修</v>
      </c>
      <c r="AA32" s="1802">
        <f t="shared" si="3"/>
        <v>1</v>
      </c>
      <c r="AB32" s="1802">
        <f t="shared" si="4"/>
        <v>1</v>
      </c>
      <c r="AC32" s="180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4"/>
      <c r="Q33" s="1801" t="str">
        <f t="shared" si="11"/>
        <v>成新度</v>
      </c>
      <c r="R33" s="774" t="s">
        <v>17</v>
      </c>
      <c r="S33" s="775" t="e">
        <f t="shared" si="12"/>
        <v>#N/A</v>
      </c>
      <c r="T33" s="774" t="s">
        <v>17</v>
      </c>
      <c r="U33" s="775" t="e">
        <f t="shared" si="13"/>
        <v>#N/A</v>
      </c>
      <c r="V33" s="774" t="s">
        <v>17</v>
      </c>
      <c r="W33" s="775" t="e">
        <f t="shared" si="14"/>
        <v>#N/A</v>
      </c>
      <c r="X33" s="1804"/>
      <c r="Y33" s="3234"/>
      <c r="Z33" s="1805" t="str">
        <f t="shared" si="15"/>
        <v>成新度</v>
      </c>
      <c r="AA33" s="1802" t="e">
        <f t="shared" si="3"/>
        <v>#N/A</v>
      </c>
      <c r="AB33" s="1802" t="e">
        <f t="shared" si="4"/>
        <v>#N/A</v>
      </c>
      <c r="AC33" s="180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4"/>
      <c r="Q34" s="1786"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4" t="s">
        <v>2562</v>
      </c>
      <c r="Q35" s="1801" t="str">
        <f t="shared" si="11"/>
        <v>市政基础设施</v>
      </c>
      <c r="R35" s="774" t="s">
        <v>17</v>
      </c>
      <c r="S35" s="775">
        <f t="shared" si="12"/>
        <v>100</v>
      </c>
      <c r="T35" s="774" t="s">
        <v>17</v>
      </c>
      <c r="U35" s="775">
        <f t="shared" si="13"/>
        <v>100</v>
      </c>
      <c r="V35" s="774" t="s">
        <v>17</v>
      </c>
      <c r="W35" s="775">
        <f t="shared" si="14"/>
        <v>100</v>
      </c>
      <c r="X35" s="1804"/>
      <c r="Y35" s="3234" t="s">
        <v>2562</v>
      </c>
      <c r="Z35" s="1805" t="str">
        <f t="shared" si="15"/>
        <v>市政基础设施</v>
      </c>
      <c r="AA35" s="1802">
        <f t="shared" si="3"/>
        <v>1</v>
      </c>
      <c r="AB35" s="1802">
        <f t="shared" si="4"/>
        <v>1</v>
      </c>
      <c r="AC35" s="180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4"/>
      <c r="Q36" s="1801" t="str">
        <f t="shared" si="11"/>
        <v>内部装修</v>
      </c>
      <c r="R36" s="774" t="s">
        <v>17</v>
      </c>
      <c r="S36" s="775">
        <f t="shared" si="12"/>
        <v>100</v>
      </c>
      <c r="T36" s="774" t="s">
        <v>17</v>
      </c>
      <c r="U36" s="775">
        <f t="shared" si="13"/>
        <v>100</v>
      </c>
      <c r="V36" s="774" t="s">
        <v>17</v>
      </c>
      <c r="W36" s="775">
        <f t="shared" si="14"/>
        <v>100</v>
      </c>
      <c r="X36" s="1804"/>
      <c r="Y36" s="3234"/>
      <c r="Z36" s="1805" t="str">
        <f t="shared" si="15"/>
        <v>内部装修</v>
      </c>
      <c r="AA36" s="1802">
        <f t="shared" si="3"/>
        <v>1</v>
      </c>
      <c r="AB36" s="1802">
        <f t="shared" si="4"/>
        <v>1</v>
      </c>
      <c r="AC36" s="180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4"/>
      <c r="Q37" s="1801" t="str">
        <f t="shared" si="11"/>
        <v>内部装修状况</v>
      </c>
      <c r="R37" s="774" t="s">
        <v>17</v>
      </c>
      <c r="S37" s="775">
        <f t="shared" si="12"/>
        <v>100</v>
      </c>
      <c r="T37" s="774" t="s">
        <v>17</v>
      </c>
      <c r="U37" s="775">
        <f t="shared" si="13"/>
        <v>100</v>
      </c>
      <c r="V37" s="774" t="s">
        <v>17</v>
      </c>
      <c r="W37" s="775">
        <f t="shared" si="14"/>
        <v>100</v>
      </c>
      <c r="X37" s="1804"/>
      <c r="Y37" s="3234"/>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4"/>
      <c r="Q39" s="1801">
        <f t="shared" si="11"/>
        <v>111</v>
      </c>
      <c r="R39" s="774" t="s">
        <v>17</v>
      </c>
      <c r="S39" s="775">
        <f t="shared" si="12"/>
        <v>100</v>
      </c>
      <c r="T39" s="774" t="s">
        <v>17</v>
      </c>
      <c r="U39" s="775">
        <f t="shared" si="13"/>
        <v>100</v>
      </c>
      <c r="V39" s="774" t="s">
        <v>17</v>
      </c>
      <c r="W39" s="775">
        <f t="shared" si="14"/>
        <v>100</v>
      </c>
      <c r="X39" s="1804"/>
      <c r="Y39" s="3234"/>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1">
        <f t="shared" si="11"/>
        <v>111</v>
      </c>
      <c r="R40" s="774" t="s">
        <v>17</v>
      </c>
      <c r="S40" s="775">
        <f t="shared" si="12"/>
        <v>100</v>
      </c>
      <c r="T40" s="774" t="s">
        <v>17</v>
      </c>
      <c r="U40" s="775">
        <f t="shared" si="13"/>
        <v>100</v>
      </c>
      <c r="V40" s="774" t="s">
        <v>17</v>
      </c>
      <c r="W40" s="775">
        <f t="shared" si="14"/>
        <v>100</v>
      </c>
      <c r="X40" s="1804"/>
      <c r="Y40" s="3235"/>
      <c r="Z40" s="1805">
        <f t="shared" si="15"/>
        <v>111</v>
      </c>
      <c r="AA40" s="1802">
        <f t="shared" si="3"/>
        <v>1</v>
      </c>
      <c r="AB40" s="1802">
        <f t="shared" si="4"/>
        <v>1</v>
      </c>
      <c r="AC40" s="1802">
        <f t="shared" si="5"/>
        <v>1</v>
      </c>
    </row>
    <row r="41" spans="1:29" ht="15">
      <c r="A41" s="479" t="s">
        <v>2574</v>
      </c>
      <c r="B41" s="480"/>
      <c r="C41" s="1407" t="s">
        <v>1</v>
      </c>
      <c r="D41" s="1408"/>
      <c r="E41" s="1409"/>
      <c r="F41" s="1410"/>
      <c r="G41" s="1411"/>
      <c r="H41" s="1412"/>
      <c r="I41" s="1409"/>
      <c r="J41" s="1412"/>
      <c r="K41" s="783"/>
      <c r="L41" s="1143"/>
      <c r="M41" s="1144"/>
      <c r="N41" s="1131"/>
      <c r="O41" s="1144"/>
      <c r="P41" s="3236" t="str">
        <f>A41</f>
        <v>成交单价（元/平方米）</v>
      </c>
      <c r="Q41" s="3236"/>
      <c r="R41" s="3237">
        <f>E41</f>
        <v>0</v>
      </c>
      <c r="S41" s="3237"/>
      <c r="T41" s="3237">
        <f>G41</f>
        <v>0</v>
      </c>
      <c r="U41" s="3237"/>
      <c r="V41" s="3237">
        <f>I41</f>
        <v>0</v>
      </c>
      <c r="W41" s="3237"/>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71" t="str">
        <f>A43</f>
        <v>估价对象XX用房的比较价值（楼面单价，元/平方米）</v>
      </c>
      <c r="Q43" s="3272"/>
      <c r="R43" s="3273" t="e">
        <f>IF(F1="售价",ROUND(AVERAGE(R42:V42),0),ROUND(AVERAGE(R42:V42),1))</f>
        <v>#DIV/0!</v>
      </c>
      <c r="S43" s="3273"/>
      <c r="T43" s="3273"/>
      <c r="U43" s="3273"/>
      <c r="V43" s="3273"/>
      <c r="W43" s="327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3" t="str">
        <f>YEAR(C7)&amp;"-"&amp;MONTH(C7)</f>
        <v>2020-7</v>
      </c>
      <c r="D52" s="1574">
        <f>EDATE(C52,-1)</f>
        <v>43983</v>
      </c>
      <c r="E52" s="1574">
        <f t="shared" ref="E52:O52" si="16">EDATE(D52,-1)</f>
        <v>43952</v>
      </c>
      <c r="F52" s="1574">
        <f t="shared" si="16"/>
        <v>43922</v>
      </c>
      <c r="G52" s="1574">
        <f t="shared" si="16"/>
        <v>43891</v>
      </c>
      <c r="H52" s="1574">
        <f t="shared" si="16"/>
        <v>43862</v>
      </c>
      <c r="I52" s="1574">
        <f t="shared" si="16"/>
        <v>43831</v>
      </c>
      <c r="J52" s="1574">
        <f t="shared" si="16"/>
        <v>43800</v>
      </c>
      <c r="K52" s="1574">
        <f t="shared" si="16"/>
        <v>43770</v>
      </c>
      <c r="L52" s="1574">
        <f t="shared" si="16"/>
        <v>43739</v>
      </c>
      <c r="M52" s="1574">
        <f t="shared" si="16"/>
        <v>43709</v>
      </c>
      <c r="N52" s="1574">
        <f t="shared" si="16"/>
        <v>43678</v>
      </c>
      <c r="O52" s="1574">
        <f t="shared" si="16"/>
        <v>43647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受贵公司委托，我公司对北京市房地产抵押价值进行了预评估。</v>
      </c>
    </row>
    <row r="5" spans="1:1" ht="18.75">
      <c r="A5" s="1939" t="s">
        <v>1606</v>
      </c>
    </row>
    <row r="6" spans="1:1" ht="18.75">
      <c r="A6" s="1940" t="s">
        <v>1607</v>
      </c>
    </row>
    <row r="7" spans="1:1" ht="36">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估价对象为北京市房地产，为所有。根据《国有土地使用证》[]，估价对象（分摊）出让国有建设用地使用权面积为0平方米，建筑面积为1724.67平方米。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估价对象为北京市房地产,属开发建设的，该项目尚在开发建设中。根据《国有土地使用证》[]，估价对象（分摊）出让国有建设用地使用权面积为0平方米，规划建筑面积为1724.67平方米。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2020年7月8日（评估专业人员实地查勘之日）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本次评估采用的主估价方法为比较法和收益法。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sheetPr>
  <dimension ref="A1:AI512"/>
  <sheetViews>
    <sheetView view="pageBreakPreview" zoomScaleNormal="100" zoomScaleSheetLayoutView="100" zoomScalePageLayoutView="80" workbookViewId="0">
      <selection activeCell="I28" sqref="I28"/>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161" t="str">
        <f>项目基本情况!S2</f>
        <v>北京市房地产</v>
      </c>
      <c r="B2" s="3162"/>
      <c r="C2" s="3162"/>
      <c r="D2" s="3162"/>
      <c r="E2" s="3162"/>
      <c r="F2" s="3162"/>
      <c r="G2" s="3162"/>
      <c r="H2" s="3162"/>
      <c r="I2" s="3163"/>
    </row>
    <row r="3" spans="1:12" ht="12.75">
      <c r="A3" s="3164" t="s">
        <v>2119</v>
      </c>
      <c r="B3" s="3165"/>
      <c r="C3" s="3165"/>
      <c r="D3" s="3165"/>
      <c r="E3" s="3165"/>
      <c r="F3" s="3165"/>
      <c r="G3" s="3165"/>
      <c r="H3" s="3165"/>
      <c r="I3" s="3165"/>
    </row>
    <row r="4" spans="1:12" ht="14.25">
      <c r="A4" s="2416" t="s">
        <v>2120</v>
      </c>
      <c r="B4" s="2417" t="s">
        <v>2121</v>
      </c>
      <c r="C4" s="2418" t="s">
        <v>3082</v>
      </c>
      <c r="D4" s="2418" t="s">
        <v>3080</v>
      </c>
      <c r="E4" s="3145" t="s">
        <v>2122</v>
      </c>
      <c r="F4" s="3158"/>
      <c r="G4" s="3158"/>
      <c r="H4" s="3158"/>
      <c r="I4" s="3146"/>
      <c r="K4" s="2419" t="str">
        <f>IF(ISNUMBER(FIND("比较法",'结果表 (车位)'!C4)),"比较法",IF(ISNUMBER(FIND("成本法",'结果表 (车位)'!C4)),"成本法",IF(ISNUMBER(FIND("假设开发法",'结果表 (车位)'!C4)),"假设开发法",IF(ISNUMBER(FIND("收益法",'结果表 (车位)'!C4)),"收益法","基准地价系数修正法"))))</f>
        <v>比较法</v>
      </c>
      <c r="L4" s="2419"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2.75">
      <c r="A5" s="3136" t="s">
        <v>2123</v>
      </c>
      <c r="B5" s="3060">
        <v>25</v>
      </c>
      <c r="C5" s="3166"/>
      <c r="D5" s="3154"/>
      <c r="E5" s="140" t="s">
        <v>2124</v>
      </c>
      <c r="F5" s="2420"/>
      <c r="G5" s="2420"/>
      <c r="H5" s="2420"/>
      <c r="I5" s="1822"/>
    </row>
    <row r="6" spans="1:12" ht="12.75">
      <c r="A6" s="3136"/>
      <c r="B6" s="3060"/>
      <c r="C6" s="3168"/>
      <c r="D6" s="3154"/>
      <c r="E6" s="140" t="s">
        <v>2125</v>
      </c>
      <c r="F6" s="2420"/>
      <c r="G6" s="2420"/>
      <c r="H6" s="2420"/>
      <c r="I6" s="1822"/>
    </row>
    <row r="7" spans="1:12" ht="12.75">
      <c r="A7" s="3136"/>
      <c r="B7" s="3060"/>
      <c r="C7" s="3167"/>
      <c r="D7" s="3154"/>
      <c r="E7" s="140" t="s">
        <v>2126</v>
      </c>
      <c r="F7" s="2420"/>
      <c r="G7" s="2420"/>
      <c r="H7" s="2420"/>
      <c r="I7" s="1822"/>
    </row>
    <row r="8" spans="1:12" ht="12.75">
      <c r="A8" s="3136" t="s">
        <v>2127</v>
      </c>
      <c r="B8" s="3060">
        <v>15</v>
      </c>
      <c r="C8" s="3166"/>
      <c r="D8" s="3154"/>
      <c r="E8" s="140" t="s">
        <v>2128</v>
      </c>
      <c r="F8" s="2420"/>
      <c r="G8" s="2420"/>
      <c r="H8" s="2420"/>
      <c r="I8" s="1822"/>
    </row>
    <row r="9" spans="1:12" ht="12.75">
      <c r="A9" s="3136"/>
      <c r="B9" s="3060"/>
      <c r="C9" s="3167"/>
      <c r="D9" s="3154"/>
      <c r="E9" s="140" t="s">
        <v>2129</v>
      </c>
      <c r="F9" s="2420"/>
      <c r="G9" s="2420"/>
      <c r="H9" s="2420"/>
      <c r="I9" s="1822"/>
    </row>
    <row r="10" spans="1:12" ht="12.75">
      <c r="A10" s="3136" t="s">
        <v>2130</v>
      </c>
      <c r="B10" s="3060">
        <v>15</v>
      </c>
      <c r="C10" s="3166"/>
      <c r="D10" s="3154"/>
      <c r="E10" s="140" t="s">
        <v>2131</v>
      </c>
      <c r="F10" s="2420"/>
      <c r="G10" s="2420"/>
      <c r="H10" s="2420"/>
      <c r="I10" s="1822"/>
    </row>
    <row r="11" spans="1:12" ht="12.75">
      <c r="A11" s="3136"/>
      <c r="B11" s="3060"/>
      <c r="C11" s="3167"/>
      <c r="D11" s="3154"/>
      <c r="E11" s="140" t="s">
        <v>2132</v>
      </c>
      <c r="F11" s="2420"/>
      <c r="G11" s="2420"/>
      <c r="H11" s="2420"/>
      <c r="I11" s="1822"/>
    </row>
    <row r="12" spans="1:12" ht="12.75">
      <c r="A12" s="3136" t="s">
        <v>2133</v>
      </c>
      <c r="B12" s="3060">
        <v>15</v>
      </c>
      <c r="C12" s="3166"/>
      <c r="D12" s="3154"/>
      <c r="E12" s="140" t="s">
        <v>2134</v>
      </c>
      <c r="F12" s="2420"/>
      <c r="G12" s="2420"/>
      <c r="H12" s="2420"/>
      <c r="I12" s="1822"/>
    </row>
    <row r="13" spans="1:12" ht="12.75">
      <c r="A13" s="3136"/>
      <c r="B13" s="3060"/>
      <c r="C13" s="3167"/>
      <c r="D13" s="3154"/>
      <c r="E13" s="140" t="s">
        <v>2135</v>
      </c>
      <c r="F13" s="2420"/>
      <c r="G13" s="2420"/>
      <c r="H13" s="2420"/>
      <c r="I13" s="1822"/>
    </row>
    <row r="14" spans="1:12" ht="12.75">
      <c r="A14" s="3136" t="s">
        <v>2136</v>
      </c>
      <c r="B14" s="3060">
        <v>30</v>
      </c>
      <c r="C14" s="3166">
        <v>8</v>
      </c>
      <c r="D14" s="3154">
        <v>2</v>
      </c>
      <c r="E14" s="140" t="s">
        <v>2137</v>
      </c>
      <c r="F14" s="2420"/>
      <c r="G14" s="2420"/>
      <c r="H14" s="2420"/>
      <c r="I14" s="1822"/>
    </row>
    <row r="15" spans="1:12" ht="12.75">
      <c r="A15" s="3136"/>
      <c r="B15" s="3060"/>
      <c r="C15" s="3168"/>
      <c r="D15" s="3154"/>
      <c r="E15" s="140" t="s">
        <v>2138</v>
      </c>
      <c r="F15" s="2420"/>
      <c r="G15" s="2420"/>
      <c r="H15" s="2420"/>
      <c r="I15" s="1822"/>
    </row>
    <row r="16" spans="1:12" ht="12.75">
      <c r="A16" s="3136"/>
      <c r="B16" s="3060"/>
      <c r="C16" s="3167"/>
      <c r="D16" s="3154"/>
      <c r="E16" s="140" t="s">
        <v>2139</v>
      </c>
      <c r="F16" s="2420"/>
      <c r="G16" s="2420"/>
      <c r="H16" s="2420"/>
      <c r="I16" s="1822"/>
    </row>
    <row r="17" spans="1:35" ht="15">
      <c r="A17" s="2421" t="s">
        <v>2140</v>
      </c>
      <c r="B17" s="64"/>
      <c r="C17" s="141">
        <f>SUM(C5:C16)</f>
        <v>8</v>
      </c>
      <c r="D17" s="141">
        <f>SUM(D5:D16)</f>
        <v>2</v>
      </c>
      <c r="E17" s="138"/>
      <c r="F17" s="138"/>
      <c r="G17" s="138"/>
      <c r="H17" s="138"/>
      <c r="I17" s="138"/>
      <c r="K17" s="2419"/>
      <c r="L17" s="2422" t="s">
        <v>2141</v>
      </c>
      <c r="M17" s="2422" t="s">
        <v>2142</v>
      </c>
    </row>
    <row r="18" spans="1:35" ht="15.75" thickBot="1">
      <c r="A18" s="2423" t="s">
        <v>2143</v>
      </c>
      <c r="B18" s="2424"/>
      <c r="C18" s="142">
        <f>ROUND(C17/SUM(C17:D17),2)</f>
        <v>0.8</v>
      </c>
      <c r="D18" s="142">
        <f>1-C18</f>
        <v>0.19999999999999996</v>
      </c>
      <c r="E18" s="138"/>
      <c r="F18" s="138"/>
      <c r="G18" s="138"/>
      <c r="H18" s="138"/>
      <c r="I18" s="138"/>
      <c r="K18" s="2419" t="s">
        <v>2144</v>
      </c>
      <c r="L18" s="2419">
        <f>IF(C1="",'数据-汇总表'!E3,SUMIF(项目类型,C1,'数据-汇总表'!E17:E26)+SUMIF(项目类型,C1,'数据-汇总表'!I17:I26))</f>
        <v>1724.67</v>
      </c>
      <c r="M18" s="2419">
        <f>IF(C1="",'数据-汇总表'!E3,SUMIF(项目类型,C1,'数据-汇总表'!E17:E26))</f>
        <v>1724.67</v>
      </c>
    </row>
    <row r="19" spans="1:35" ht="15">
      <c r="A19" s="2425" t="s">
        <v>2145</v>
      </c>
      <c r="B19" s="2426" t="s">
        <v>2146</v>
      </c>
      <c r="C19" s="143">
        <f ca="1">SUMIF(INDIRECT("'"&amp;C4&amp;"'"&amp;"!A:A"),'结果表 (车位)'!B19,INDIRECT("'"&amp;C4&amp;"'"&amp;"!B:B"))</f>
        <v>423</v>
      </c>
      <c r="D19" s="144">
        <f ca="1">SUMIF(INDIRECT("'"&amp;D4&amp;"'"&amp;"!A:A"),'结果表 (车位)'!B19,INDIRECT("'"&amp;D4&amp;"'"&amp;"!B:B"))</f>
        <v>152</v>
      </c>
      <c r="E19" s="2425" t="s">
        <v>2147</v>
      </c>
      <c r="F19" s="2426" t="s">
        <v>2146</v>
      </c>
      <c r="G19" s="145">
        <f ca="1">ROUND(C19*$C$18+D19*$D$18,0)</f>
        <v>369</v>
      </c>
      <c r="H19" s="2427" t="s">
        <v>2148</v>
      </c>
      <c r="I19" s="138"/>
      <c r="K19" s="2419" t="s">
        <v>2149</v>
      </c>
      <c r="L19" s="2419">
        <f>IF(C1="",'数据-汇总表'!D3,SUMIF(项目类型,C1,'数据-汇总表'!D17:D26)+SUMIF(项目类型,C1,'数据-汇总表'!H17:H27))</f>
        <v>0</v>
      </c>
      <c r="M19" s="2419">
        <f>IF(C1="",'数据-汇总表'!D3,SUMIF(项目类型,C1,'数据-汇总表'!D17:D26))</f>
        <v>0</v>
      </c>
    </row>
    <row r="20" spans="1:35" ht="15">
      <c r="A20" s="2428"/>
      <c r="B20" s="1247" t="s">
        <v>2150</v>
      </c>
      <c r="C20" s="146">
        <f ca="1">SUMIF(INDIRECT("'"&amp;C4&amp;"'"&amp;"!A:A"),'结果表 (车位)'!B20,INDIRECT("'"&amp;C4&amp;"'"&amp;"!B:B"))</f>
        <v>9354</v>
      </c>
      <c r="D20" s="147">
        <f ca="1">SUMIF(INDIRECT("'"&amp;D4&amp;"'"&amp;"!A:A"),'结果表 (车位)'!B20,INDIRECT("'"&amp;D4&amp;"'"&amp;"!B:B"))</f>
        <v>3351</v>
      </c>
      <c r="E20" s="2428"/>
      <c r="F20" s="1247" t="s">
        <v>2150</v>
      </c>
      <c r="G20" s="148">
        <f ca="1">ROUND(C20*$C$18+D20*$D$18,0)</f>
        <v>8153</v>
      </c>
      <c r="H20" s="980" t="s">
        <v>2151</v>
      </c>
      <c r="I20" s="138"/>
    </row>
    <row r="21" spans="1:35" ht="15" customHeight="1" thickBot="1">
      <c r="A21" s="1000"/>
      <c r="B21" s="2429" t="s">
        <v>2152</v>
      </c>
      <c r="C21" s="789" t="e">
        <f ca="1">ROUND(C19*10000/L19,0)</f>
        <v>#DIV/0!</v>
      </c>
      <c r="D21" s="790" t="e">
        <f ca="1">ROUND(D19*10000/L19,0)</f>
        <v>#DIV/0!</v>
      </c>
      <c r="E21" s="1000"/>
      <c r="F21" s="2429" t="s">
        <v>2152</v>
      </c>
      <c r="G21" s="149" t="e">
        <f ca="1">ROUND(G19*10000/L19,0)</f>
        <v>#DIV/0!</v>
      </c>
      <c r="H21" s="2430" t="s">
        <v>2151</v>
      </c>
      <c r="I21" s="138"/>
    </row>
    <row r="22" spans="1:35" ht="15" thickBot="1">
      <c r="A22" s="2272" t="s">
        <v>2153</v>
      </c>
      <c r="B22" s="2431"/>
      <c r="C22" s="2432"/>
      <c r="D22" s="791">
        <f ca="1">IF(C19&lt;D19,D19/C19-1,C19/D19-1)</f>
        <v>1.7828947368421053</v>
      </c>
      <c r="E22" s="138"/>
      <c r="F22" s="138"/>
      <c r="G22" s="138"/>
      <c r="H22" s="138"/>
      <c r="I22" s="138"/>
    </row>
    <row r="23" spans="1:35" ht="13.5" thickBot="1">
      <c r="A23" s="2409"/>
      <c r="B23" s="2409"/>
      <c r="C23" s="2409"/>
      <c r="D23" s="2409"/>
      <c r="E23" s="138"/>
      <c r="F23" s="138"/>
      <c r="G23" s="138"/>
      <c r="H23" s="138"/>
      <c r="I23" s="138"/>
    </row>
    <row r="24" spans="1:35" ht="14.25">
      <c r="A24" s="3175" t="s">
        <v>2154</v>
      </c>
      <c r="B24" s="2426" t="s">
        <v>2146</v>
      </c>
      <c r="C24" s="145">
        <f>IF(B30=0,0,D30)</f>
        <v>0</v>
      </c>
      <c r="D24" s="2433"/>
      <c r="E24" s="138"/>
      <c r="F24" s="138"/>
      <c r="G24" s="138"/>
      <c r="H24" s="138"/>
      <c r="I24" s="138"/>
    </row>
    <row r="25" spans="1:35" ht="14.25">
      <c r="A25" s="3176"/>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8" t="s">
        <v>3032</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369</v>
      </c>
      <c r="D32" s="2440" t="s">
        <v>2161</v>
      </c>
      <c r="E32" s="138"/>
      <c r="F32" s="138"/>
      <c r="G32" s="138"/>
      <c r="H32" s="138"/>
      <c r="I32" s="138"/>
    </row>
    <row r="33" spans="1:15" ht="15">
      <c r="A33" s="957" t="s">
        <v>2162</v>
      </c>
      <c r="B33" s="2441"/>
      <c r="C33" s="2442"/>
      <c r="D33" s="2443"/>
      <c r="E33" s="2444" t="s">
        <v>2163</v>
      </c>
      <c r="F33" s="2959"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155" t="s">
        <v>2168</v>
      </c>
      <c r="B36" s="2452" t="s">
        <v>2169</v>
      </c>
      <c r="C36" s="154"/>
      <c r="D36" s="2453"/>
      <c r="E36" s="2454"/>
      <c r="F36" s="2455"/>
      <c r="G36" s="138"/>
      <c r="H36" s="138"/>
      <c r="I36" s="138"/>
    </row>
    <row r="37" spans="1:15" ht="15.75" thickBot="1">
      <c r="A37" s="3156"/>
      <c r="B37" s="2258" t="s">
        <v>2170</v>
      </c>
      <c r="C37" s="156"/>
      <c r="D37" s="1392"/>
      <c r="E37" s="1392"/>
      <c r="F37" s="2455"/>
      <c r="G37" s="138"/>
      <c r="H37" s="138"/>
      <c r="I37" s="138"/>
    </row>
    <row r="38" spans="1:15" ht="15.75" thickBot="1">
      <c r="A38" s="3157"/>
      <c r="B38" s="2456" t="s">
        <v>2171</v>
      </c>
      <c r="C38" s="727"/>
      <c r="D38" s="2457" t="s">
        <v>2172</v>
      </c>
      <c r="E38" s="1392"/>
      <c r="F38" s="2455"/>
      <c r="G38" s="138"/>
      <c r="H38" s="138"/>
      <c r="I38" s="138"/>
    </row>
    <row r="39" spans="1:15" ht="15">
      <c r="A39" s="2428" t="s">
        <v>2173</v>
      </c>
      <c r="B39" s="2458" t="s">
        <v>2156</v>
      </c>
      <c r="C39" s="2459" t="s">
        <v>2157</v>
      </c>
      <c r="D39" s="2459" t="s">
        <v>2176</v>
      </c>
      <c r="E39" s="2460" t="s">
        <v>2158</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72" t="s">
        <v>2182</v>
      </c>
      <c r="B45" s="3173"/>
      <c r="C45" s="3174"/>
      <c r="D45" s="164">
        <f ca="1">ROUND(H101*F45,0)</f>
        <v>369</v>
      </c>
      <c r="E45" s="165" t="s">
        <v>2183</v>
      </c>
      <c r="F45" s="166">
        <v>1</v>
      </c>
      <c r="G45" s="167" t="s">
        <v>2184</v>
      </c>
      <c r="H45" s="138"/>
      <c r="I45" s="138"/>
      <c r="J45" s="3089" t="s">
        <v>2185</v>
      </c>
      <c r="K45" s="3089"/>
      <c r="L45" s="3089"/>
      <c r="M45" s="3089"/>
      <c r="N45" s="3089"/>
      <c r="O45" s="3089"/>
    </row>
    <row r="46" spans="1:15" ht="14.25" customHeight="1">
      <c r="A46" s="3169" t="s">
        <v>2186</v>
      </c>
      <c r="B46" s="3170"/>
      <c r="C46" s="3170"/>
      <c r="D46" s="3170"/>
      <c r="E46" s="3170"/>
      <c r="F46" s="3170"/>
      <c r="G46" s="3171"/>
      <c r="H46" s="2471"/>
      <c r="I46" s="168"/>
      <c r="J46" s="2968">
        <v>1</v>
      </c>
      <c r="K46" s="3089" t="s">
        <v>2187</v>
      </c>
      <c r="L46" s="3089"/>
      <c r="M46" s="3090"/>
      <c r="N46" s="3090"/>
      <c r="O46" s="3090"/>
    </row>
    <row r="47" spans="1:15" ht="12" customHeight="1">
      <c r="A47" s="169" t="s">
        <v>2188</v>
      </c>
      <c r="B47" s="170"/>
      <c r="C47" s="171"/>
      <c r="D47" s="172" t="s">
        <v>2189</v>
      </c>
      <c r="E47" s="24" t="s">
        <v>2190</v>
      </c>
      <c r="F47" s="173" t="s">
        <v>2191</v>
      </c>
      <c r="G47" s="174" t="s">
        <v>2192</v>
      </c>
      <c r="H47" s="2471"/>
      <c r="I47" s="168"/>
      <c r="J47" s="2968">
        <v>2</v>
      </c>
      <c r="K47" s="3089" t="s">
        <v>2193</v>
      </c>
      <c r="L47" s="3089"/>
      <c r="M47" s="3091">
        <f>'数据-取费表'!B2</f>
        <v>44020</v>
      </c>
      <c r="N47" s="3091"/>
      <c r="O47" s="3091"/>
    </row>
    <row r="48" spans="1:15" ht="25.5">
      <c r="A48" s="3159" t="s">
        <v>2194</v>
      </c>
      <c r="B48" s="3160"/>
      <c r="C48" s="3160"/>
      <c r="D48" s="140">
        <f>IF(H48="情况1",0,IF(H48="情况2",D52,IF(H48="情况3",D53,IF(H48="情况4",D54))))</f>
        <v>0</v>
      </c>
      <c r="E48" s="2977" t="str">
        <f>IF(H48="情况4","(销售额-原购置价)×税（费）率","销售额×税（费）率")</f>
        <v>销售额×税（费）率</v>
      </c>
      <c r="F48" s="175" t="str">
        <f>IF(H48="情况1","免征",'数据-取费表'!B41)</f>
        <v>免征</v>
      </c>
      <c r="G48" s="2472" t="s">
        <v>2195</v>
      </c>
      <c r="H48" s="2473" t="s">
        <v>2196</v>
      </c>
      <c r="I48" s="2471"/>
      <c r="J48" s="2968">
        <v>3</v>
      </c>
      <c r="K48" s="3089" t="s">
        <v>2197</v>
      </c>
      <c r="L48" s="3089"/>
      <c r="M48" s="3092">
        <f ca="1">H101</f>
        <v>369</v>
      </c>
      <c r="N48" s="3092"/>
      <c r="O48" s="3092"/>
    </row>
    <row r="49" spans="1:35" ht="25.5" customHeight="1">
      <c r="A49" s="176" t="s">
        <v>2198</v>
      </c>
      <c r="B49" s="3139" t="s">
        <v>2199</v>
      </c>
      <c r="C49" s="3139"/>
      <c r="D49" s="177">
        <v>0</v>
      </c>
      <c r="E49" s="23" t="s">
        <v>2200</v>
      </c>
      <c r="F49" s="28" t="s">
        <v>34</v>
      </c>
      <c r="G49" s="3120"/>
      <c r="H49" s="138"/>
      <c r="I49" s="2474"/>
      <c r="J49" s="2968">
        <v>4</v>
      </c>
      <c r="K49" s="3089" t="str">
        <f>IF(项目基本情况!E8="房地产抵押价值","房地产抵押价值","抵押担保权已注销时的房地产抵押价值")</f>
        <v>房地产抵押价值</v>
      </c>
      <c r="L49" s="3089"/>
      <c r="M49" s="3092">
        <f ca="1">IF(项目基本情况!E8="房地产抵押价值",H107,H109)</f>
        <v>369</v>
      </c>
      <c r="N49" s="3092"/>
      <c r="O49" s="3092"/>
    </row>
    <row r="50" spans="1:35" ht="25.5" customHeight="1">
      <c r="A50" s="178"/>
      <c r="B50" s="3139" t="s">
        <v>2201</v>
      </c>
      <c r="C50" s="3139"/>
      <c r="D50" s="179"/>
      <c r="E50" s="31"/>
      <c r="F50" s="180"/>
      <c r="G50" s="3121"/>
      <c r="H50" s="138"/>
      <c r="I50" s="2474"/>
      <c r="J50" s="3089" t="s">
        <v>2202</v>
      </c>
      <c r="K50" s="3089"/>
      <c r="L50" s="3089"/>
      <c r="M50" s="3089"/>
      <c r="N50" s="3089"/>
      <c r="O50" s="3089"/>
    </row>
    <row r="51" spans="1:35" ht="12" customHeight="1">
      <c r="A51" s="181"/>
      <c r="B51" s="3139" t="s">
        <v>2203</v>
      </c>
      <c r="C51" s="3139"/>
      <c r="D51" s="182"/>
      <c r="E51" s="30"/>
      <c r="F51" s="180"/>
      <c r="G51" s="3122"/>
      <c r="H51" s="138"/>
      <c r="I51" s="2474"/>
      <c r="J51" s="2961" t="s">
        <v>2204</v>
      </c>
      <c r="K51" s="3089" t="s">
        <v>2205</v>
      </c>
      <c r="L51" s="3089"/>
      <c r="M51" s="2961" t="s">
        <v>2206</v>
      </c>
      <c r="N51" s="2961" t="s">
        <v>2207</v>
      </c>
      <c r="O51" s="2961" t="s">
        <v>2208</v>
      </c>
    </row>
    <row r="52" spans="1:35" ht="24" customHeight="1">
      <c r="A52" s="183" t="s">
        <v>2209</v>
      </c>
      <c r="B52" s="3139" t="s">
        <v>2210</v>
      </c>
      <c r="C52" s="3139"/>
      <c r="D52" s="182">
        <f ca="1">ROUND(D45*'数据-取费表'!B41/(1+'数据-取费表'!C42),0)</f>
        <v>20</v>
      </c>
      <c r="E52" s="11" t="s">
        <v>2211</v>
      </c>
      <c r="F52" s="184">
        <f>'数据-取费表'!B41</f>
        <v>5.6000000000000001E-2</v>
      </c>
      <c r="G52" s="2476"/>
      <c r="H52" s="138"/>
      <c r="I52" s="2474"/>
      <c r="J52" s="2968">
        <v>1</v>
      </c>
      <c r="K52" s="3114" t="s">
        <v>2212</v>
      </c>
      <c r="L52" s="3114"/>
      <c r="M52" s="1742">
        <f>D48</f>
        <v>0</v>
      </c>
      <c r="N52" s="2968" t="str">
        <f>E48</f>
        <v>销售额×税（费）率</v>
      </c>
      <c r="O52" s="1743" t="str">
        <f>F48</f>
        <v>免征</v>
      </c>
    </row>
    <row r="53" spans="1:35" ht="12" customHeight="1">
      <c r="A53" s="183" t="s">
        <v>2213</v>
      </c>
      <c r="B53" s="3140" t="s">
        <v>2214</v>
      </c>
      <c r="C53" s="3141"/>
      <c r="D53" s="182">
        <f ca="1">ROUND(D45*'数据-取费表'!B41/(1+'数据-取费表'!C42),0)</f>
        <v>20</v>
      </c>
      <c r="E53" s="11" t="s">
        <v>2211</v>
      </c>
      <c r="F53" s="184">
        <f>'数据-取费表'!B41</f>
        <v>5.6000000000000001E-2</v>
      </c>
      <c r="G53" s="2476"/>
      <c r="H53" s="138"/>
      <c r="I53" s="2474"/>
      <c r="J53" s="2968">
        <v>2</v>
      </c>
      <c r="K53" s="3114" t="s">
        <v>2215</v>
      </c>
      <c r="L53" s="3114"/>
      <c r="M53" s="1742">
        <f t="shared" ref="M53:O54" ca="1" si="0">D55</f>
        <v>0</v>
      </c>
      <c r="N53" s="2968" t="str">
        <f t="shared" si="0"/>
        <v>销售额×税（费）率</v>
      </c>
      <c r="O53" s="1743">
        <f t="shared" si="0"/>
        <v>5.0000000000000001E-4</v>
      </c>
    </row>
    <row r="54" spans="1:35" ht="12" customHeight="1">
      <c r="A54" s="183" t="s">
        <v>2216</v>
      </c>
      <c r="B54" s="3140" t="s">
        <v>2217</v>
      </c>
      <c r="C54" s="3141"/>
      <c r="D54" s="182">
        <f ca="1">C68</f>
        <v>20</v>
      </c>
      <c r="E54" s="30" t="s">
        <v>2218</v>
      </c>
      <c r="F54" s="184">
        <f>'数据-取费表'!B41</f>
        <v>5.6000000000000001E-2</v>
      </c>
      <c r="G54" s="2476"/>
      <c r="H54" s="2477"/>
      <c r="I54" s="2474"/>
      <c r="J54" s="2968">
        <v>3</v>
      </c>
      <c r="K54" s="3114" t="s">
        <v>2219</v>
      </c>
      <c r="L54" s="3114"/>
      <c r="M54" s="1742">
        <f t="shared" ca="1" si="0"/>
        <v>209</v>
      </c>
      <c r="N54" s="2968" t="str">
        <f t="shared" si="0"/>
        <v>增值额×税（费）率</v>
      </c>
      <c r="O54" s="1744" t="str">
        <f t="shared" si="0"/>
        <v>——</v>
      </c>
    </row>
    <row r="55" spans="1:35" ht="24" customHeight="1">
      <c r="A55" s="3178" t="s">
        <v>2220</v>
      </c>
      <c r="B55" s="3160"/>
      <c r="C55" s="3160"/>
      <c r="D55" s="185">
        <f ca="1">IF(H55="个人住宅",0,ROUND(D45*I55,0))</f>
        <v>0</v>
      </c>
      <c r="E55" s="11" t="s">
        <v>2221</v>
      </c>
      <c r="F55" s="184">
        <f>IF(H55="正常",I55,"免征")</f>
        <v>5.0000000000000001E-4</v>
      </c>
      <c r="G55" s="2476"/>
      <c r="H55" s="2473" t="s">
        <v>2222</v>
      </c>
      <c r="I55" s="186">
        <f>'数据-取费表'!B49</f>
        <v>5.0000000000000001E-4</v>
      </c>
      <c r="J55" s="2968" t="str">
        <f>IF(H59="非个人房产","",4)</f>
        <v/>
      </c>
      <c r="K55" s="3114" t="str">
        <f>IF(H59="非个人房产","——","个人所得税")</f>
        <v>——</v>
      </c>
      <c r="L55" s="3114"/>
      <c r="M55" s="1745" t="str">
        <f>D59</f>
        <v>——</v>
      </c>
      <c r="N55" s="2969" t="str">
        <f>E59</f>
        <v>——</v>
      </c>
      <c r="O55" s="1746" t="str">
        <f>F59</f>
        <v>——</v>
      </c>
    </row>
    <row r="56" spans="1:35" ht="24.75">
      <c r="A56" s="3178" t="s">
        <v>2223</v>
      </c>
      <c r="B56" s="3160"/>
      <c r="C56" s="3160"/>
      <c r="D56" s="185">
        <f ca="1">IF(H56="个人住宅",D57,D58)</f>
        <v>209</v>
      </c>
      <c r="E56" s="11" t="s">
        <v>2224</v>
      </c>
      <c r="F56" s="184" t="str">
        <f>IF(H56="正常",F58,"免征")</f>
        <v>——</v>
      </c>
      <c r="G56" s="2478" t="s">
        <v>2225</v>
      </c>
      <c r="H56" s="2479" t="s">
        <v>2222</v>
      </c>
      <c r="I56" s="2480"/>
      <c r="J56" s="2968" t="str">
        <f>IF(项目基本情况!K6="上海银行",IF(J55="",4,J55+1),"")</f>
        <v/>
      </c>
      <c r="K56" s="3095" t="str">
        <f>IF(项目基本情况!K6="上海银行","其他处置费用","")</f>
        <v/>
      </c>
      <c r="L56" s="3096"/>
      <c r="M56" s="1742" t="str">
        <f>IF(项目基本情况!K6="上海银行",M69,"")</f>
        <v/>
      </c>
      <c r="N56" s="3098" t="str">
        <f>IF(项目基本情况!K6="上海银行","包含处置中涉及的律师、诉讼、拍卖、评估等费用","")</f>
        <v/>
      </c>
      <c r="O56" s="3099"/>
    </row>
    <row r="57" spans="1:35" ht="12.75">
      <c r="A57" s="183" t="s">
        <v>2198</v>
      </c>
      <c r="B57" s="3145" t="s">
        <v>2226</v>
      </c>
      <c r="C57" s="3146"/>
      <c r="D57" s="187">
        <v>0</v>
      </c>
      <c r="E57" s="23" t="s">
        <v>2200</v>
      </c>
      <c r="F57" s="155"/>
      <c r="G57" s="2476"/>
      <c r="H57" s="2480"/>
      <c r="I57" s="2480"/>
      <c r="J57" s="3114">
        <f>IF(AND(J55="",J56=""),4,IF(项目基本情况!K6="上海银行",'结果表 (车位)'!J56+1,'结果表 (车位)'!J55+1))</f>
        <v>4</v>
      </c>
      <c r="K57" s="3114" t="s">
        <v>2227</v>
      </c>
      <c r="L57" s="2481" t="s">
        <v>2228</v>
      </c>
      <c r="M57" s="1747"/>
      <c r="N57" s="1748">
        <f ca="1">SUMIF(M52:M56,"&lt;9e307")</f>
        <v>209</v>
      </c>
      <c r="O57" s="2482"/>
      <c r="P57" s="1741">
        <f ca="1">N57/M49</f>
        <v>0.56639566395663954</v>
      </c>
    </row>
    <row r="58" spans="1:35" ht="24.75">
      <c r="A58" s="183" t="s">
        <v>2209</v>
      </c>
      <c r="B58" s="3145" t="s">
        <v>2229</v>
      </c>
      <c r="C58" s="3158"/>
      <c r="D58" s="185">
        <f ca="1">IF(H58="转让取得",C81,C97)</f>
        <v>209</v>
      </c>
      <c r="E58" s="11" t="s">
        <v>2224</v>
      </c>
      <c r="F58" s="24" t="s">
        <v>34</v>
      </c>
      <c r="G58" s="2476"/>
      <c r="H58" s="2479" t="s">
        <v>2230</v>
      </c>
      <c r="I58" s="2480"/>
      <c r="J58" s="3114"/>
      <c r="K58" s="3114"/>
      <c r="L58" s="2481" t="s">
        <v>2231</v>
      </c>
      <c r="M58" s="1749"/>
      <c r="N58" s="2483" t="str">
        <f ca="1">NUMBERSTRING(INT(N57*10000),2)&amp;"元整"</f>
        <v>贰佰零玖万元整</v>
      </c>
      <c r="O58" s="2484"/>
    </row>
    <row r="59" spans="1:35" ht="24.75" thickBot="1">
      <c r="A59" s="3118" t="s">
        <v>2232</v>
      </c>
      <c r="B59" s="3119"/>
      <c r="C59" s="3119"/>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16">
        <f>J57+1</f>
        <v>5</v>
      </c>
      <c r="K59" s="3114" t="s">
        <v>2234</v>
      </c>
      <c r="L59" s="2968" t="s">
        <v>2228</v>
      </c>
      <c r="M59" s="1750"/>
      <c r="N59" s="1751">
        <f ca="1">M49-N57</f>
        <v>160</v>
      </c>
      <c r="O59" s="2486"/>
    </row>
    <row r="60" spans="1:35" ht="12" customHeight="1">
      <c r="A60" s="2487"/>
      <c r="B60" s="2409"/>
      <c r="C60" s="2409"/>
      <c r="D60" s="2409"/>
      <c r="E60" s="2157"/>
      <c r="F60" s="2480"/>
      <c r="G60" s="2480"/>
      <c r="H60" s="2488"/>
      <c r="I60" s="138"/>
      <c r="J60" s="3117"/>
      <c r="K60" s="3114"/>
      <c r="L60" s="2481" t="s">
        <v>2231</v>
      </c>
      <c r="M60" s="1749"/>
      <c r="N60" s="2483" t="str">
        <f ca="1">NUMBERSTRING(INT(N59*10000),2)&amp;"元整"</f>
        <v>壹佰陆拾万元整</v>
      </c>
      <c r="O60" s="2484"/>
    </row>
    <row r="61" spans="1:35" ht="13.5" thickBot="1">
      <c r="A61" s="3177" t="s">
        <v>2235</v>
      </c>
      <c r="B61" s="3177"/>
      <c r="C61" s="3177"/>
      <c r="D61" s="3177"/>
      <c r="E61" s="3177"/>
      <c r="F61" s="2480"/>
      <c r="G61" s="2480"/>
      <c r="H61" s="2488"/>
      <c r="I61" s="138"/>
      <c r="J61" s="2968">
        <f>J59+1</f>
        <v>6</v>
      </c>
      <c r="K61" s="3114" t="s">
        <v>2236</v>
      </c>
      <c r="L61" s="3114"/>
      <c r="M61" s="1752"/>
      <c r="N61" s="1753">
        <f ca="1">ROUND(N59*10000/'数据-汇总表'!E3,0)</f>
        <v>928</v>
      </c>
      <c r="O61" s="2489"/>
    </row>
    <row r="62" spans="1:35" ht="12.75">
      <c r="A62" s="3134" t="s">
        <v>2237</v>
      </c>
      <c r="B62" s="3135"/>
      <c r="C62" s="2973"/>
      <c r="D62" s="2973" t="s">
        <v>2238</v>
      </c>
      <c r="E62" s="192" t="s">
        <v>2239</v>
      </c>
      <c r="F62" s="2480"/>
      <c r="G62" s="2480"/>
      <c r="H62" s="2488"/>
      <c r="I62" s="138"/>
    </row>
    <row r="63" spans="1:35" ht="12.75">
      <c r="A63" s="203" t="s">
        <v>775</v>
      </c>
      <c r="B63" s="193" t="s">
        <v>2240</v>
      </c>
      <c r="C63" s="194">
        <f ca="1">ROUND((C64+C65)/(1+'数据-取费表'!C42),0)</f>
        <v>351</v>
      </c>
      <c r="D63" s="195"/>
      <c r="E63" s="196"/>
      <c r="F63" s="2480"/>
      <c r="G63" s="2480"/>
      <c r="H63" s="2488"/>
      <c r="I63" s="138"/>
      <c r="J63" s="3097" t="s">
        <v>2241</v>
      </c>
      <c r="K63" s="2964" t="s">
        <v>2242</v>
      </c>
      <c r="L63" s="1740">
        <f ca="1">IF(M49&gt;10000,M49*0.5%,IF(AND(M49&gt;1000,M49&lt;=10000),M49*1%,IF(AND(M49&gt;100,M49&lt;=1000),M49*3%,IF(AND(M49&gt;10,M49&lt;=100),M49*5%,M49*8%))))</f>
        <v>11.07</v>
      </c>
      <c r="M63" s="24">
        <f ca="1">ROUND(L63,1)</f>
        <v>11.1</v>
      </c>
      <c r="Z63" s="2414"/>
      <c r="AI63" s="2415"/>
    </row>
    <row r="64" spans="1:35" ht="14.25" customHeight="1">
      <c r="A64" s="197" t="s">
        <v>770</v>
      </c>
      <c r="B64" s="198" t="s">
        <v>2243</v>
      </c>
      <c r="C64" s="199">
        <f ca="1">D45</f>
        <v>369</v>
      </c>
      <c r="D64" s="200" t="s">
        <v>32</v>
      </c>
      <c r="E64" s="201"/>
      <c r="F64" s="2480"/>
      <c r="G64" s="2480"/>
      <c r="H64" s="2488"/>
      <c r="I64" s="138"/>
      <c r="J64" s="3097"/>
      <c r="K64" s="2964" t="s">
        <v>2244</v>
      </c>
      <c r="L64" s="1740">
        <f ca="1">IF(M49&gt;2000,M49*0.5%,IF(AND(M49&gt;1000,M49&lt;=2000),M49*0.6%,IF(AND(M49&gt;500,M49&lt;=1000),M49*0.7%,IF(AND(M49&gt;200,M49&lt;=500),M49*0.8%,IF(AND(M49&gt;100,M49&lt;=200),M49*0.9%,IF(AND(M49&gt;50,M49&lt;=100),M49*1%,IF(AND(M49&gt;20,M49&lt;=50),M49*1.5%,IF(AND(M49&gt;10,M49&lt;=20),M49*2%,IF(AND(M49&gt;1,M49&lt;=10),M49*2.5%)))))))))</f>
        <v>2.952</v>
      </c>
      <c r="M64" s="24">
        <f t="shared" ref="M64:M65" ca="1" si="1">ROUND(L64,1)</f>
        <v>3</v>
      </c>
      <c r="N64" s="138" t="s">
        <v>2245</v>
      </c>
      <c r="Z64" s="2414"/>
      <c r="AI64" s="2415"/>
    </row>
    <row r="65" spans="1:35" ht="14.25" customHeight="1">
      <c r="A65" s="197" t="s">
        <v>771</v>
      </c>
      <c r="B65" s="198" t="s">
        <v>2246</v>
      </c>
      <c r="C65" s="202"/>
      <c r="D65" s="200"/>
      <c r="E65" s="201"/>
      <c r="F65" s="2480"/>
      <c r="G65" s="2480"/>
      <c r="H65" s="2488"/>
      <c r="I65" s="138"/>
      <c r="J65" s="3097"/>
      <c r="K65" s="2964" t="s">
        <v>2247</v>
      </c>
      <c r="L65" s="1740">
        <f ca="1">IF(M49&gt;1000,M49*0.1%,IF(AND(M49&gt;500,M49&lt;=1000),M49*0.5%,IF(AND(M49&gt;50,M49&lt;=500),M49*1%,IF(AND(M49&gt;1,M49&lt;=50),M49*1.5%))))</f>
        <v>3.69</v>
      </c>
      <c r="M65" s="24">
        <f t="shared" ca="1" si="1"/>
        <v>3.7</v>
      </c>
      <c r="N65" s="138" t="s">
        <v>2245</v>
      </c>
      <c r="Z65" s="2414"/>
      <c r="AI65" s="2415"/>
    </row>
    <row r="66" spans="1:35" ht="14.25" customHeight="1">
      <c r="A66" s="203" t="s">
        <v>772</v>
      </c>
      <c r="B66" s="204" t="s">
        <v>2248</v>
      </c>
      <c r="C66" s="205"/>
      <c r="D66" s="206" t="s">
        <v>32</v>
      </c>
      <c r="E66" s="1764" t="s">
        <v>1366</v>
      </c>
      <c r="F66" s="2480"/>
      <c r="G66" s="2480"/>
      <c r="H66" s="2488"/>
      <c r="I66" s="138"/>
      <c r="J66" s="3097"/>
      <c r="K66" s="2964" t="s">
        <v>2249</v>
      </c>
      <c r="L66" s="1740">
        <f ca="1">M49*0.5%</f>
        <v>1.845</v>
      </c>
      <c r="M66" s="24">
        <f ca="1">IF(L66&gt;0.5,0.5,ROUND(L66,0))</f>
        <v>0.5</v>
      </c>
      <c r="N66" s="138" t="s">
        <v>2250</v>
      </c>
      <c r="Z66" s="2414"/>
      <c r="AI66" s="2415"/>
    </row>
    <row r="67" spans="1:35" ht="14.25" customHeight="1">
      <c r="A67" s="203" t="s">
        <v>773</v>
      </c>
      <c r="B67" s="204" t="s">
        <v>2251</v>
      </c>
      <c r="C67" s="207">
        <f ca="1">C63-C66</f>
        <v>351</v>
      </c>
      <c r="D67" s="200" t="s">
        <v>32</v>
      </c>
      <c r="E67" s="201"/>
      <c r="F67" s="2480"/>
      <c r="G67" s="2480"/>
      <c r="H67" s="2488"/>
      <c r="I67" s="138"/>
      <c r="J67" s="3097"/>
      <c r="K67" s="2964" t="s">
        <v>2252</v>
      </c>
      <c r="L67" s="1740">
        <f ca="1">IF(M49&gt;=10000,(8.25+(M49-10000)*0.01%),IF(AND(M49&gt;=8000,M49&lt;10000),(7.85+(M49-8000)*0.02%),IF(AND(M49&gt;=5000,M49&lt;8000),(6.65+(M49-5000)*0.04%),IF(AND(M49&gt;=2000,M49&lt;5000),(4.25+(PM49-2000)*0.08%),IF(AND(M49&gt;=1000,M49&lt;2000),(2.75+(M49-1000)*0.15%),IF(AND(M49&gt;=100,M49&lt;1000),(0.5+(M49-100)*0.25%),IF(AND(M49&gt;0,M49&lt;100),M49*0.5%)))))))</f>
        <v>1.1724999999999999</v>
      </c>
      <c r="M67" s="24">
        <f ca="1">ROUND(L67*0.9,1)</f>
        <v>1.1000000000000001</v>
      </c>
      <c r="Z67" s="2414"/>
      <c r="AI67" s="2415"/>
    </row>
    <row r="68" spans="1:35" ht="14.25" customHeight="1" thickBot="1">
      <c r="A68" s="208" t="s">
        <v>774</v>
      </c>
      <c r="B68" s="209" t="s">
        <v>2253</v>
      </c>
      <c r="C68" s="210">
        <f ca="1">IF(C67&lt;=0,0,ROUND(C67*D68,0))</f>
        <v>20</v>
      </c>
      <c r="D68" s="211">
        <f>'数据-取费表'!B41</f>
        <v>5.6000000000000001E-2</v>
      </c>
      <c r="E68" s="212"/>
      <c r="F68" s="2480"/>
      <c r="G68" s="2480"/>
      <c r="H68" s="2488"/>
      <c r="I68" s="138"/>
      <c r="J68" s="3097"/>
      <c r="K68" s="2964" t="s">
        <v>2254</v>
      </c>
      <c r="L68" s="1740">
        <f ca="1">IF(M49&gt;10000,M49*0.5%,IF(AND(M49&gt;5000,M49&lt;=10000),M49*1%,IF(AND(M49&gt;1000,M49&lt;=5000),M49*2%,IF(AND(M49&gt;200,M49&lt;=1000),M49*3%,M49*5%))))</f>
        <v>11.07</v>
      </c>
      <c r="M68" s="24">
        <f ca="1">ROUND(L68,1)</f>
        <v>11.1</v>
      </c>
      <c r="Z68" s="2414"/>
      <c r="AI68" s="2415"/>
    </row>
    <row r="69" spans="1:35" s="2437" customFormat="1" ht="16.5" customHeight="1">
      <c r="A69" s="2491"/>
      <c r="B69" s="2492"/>
      <c r="C69" s="2493"/>
      <c r="D69" s="2494"/>
      <c r="E69" s="2495"/>
      <c r="F69" s="2157"/>
      <c r="G69" s="2157"/>
      <c r="H69" s="2156"/>
      <c r="I69" s="2409"/>
      <c r="J69" s="3097"/>
      <c r="K69" s="2964" t="s">
        <v>2255</v>
      </c>
      <c r="L69" s="2496"/>
      <c r="M69" s="24">
        <f ca="1">ROUND(SUM(M63:M68),0)</f>
        <v>31</v>
      </c>
      <c r="N69" s="1741">
        <f ca="1">M69/M49</f>
        <v>8.4010840108401083E-2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3" t="s">
        <v>2256</v>
      </c>
      <c r="B70" s="3144"/>
      <c r="C70" s="3144"/>
      <c r="D70" s="3144"/>
      <c r="E70" s="3144"/>
      <c r="F70" s="3144"/>
      <c r="G70" s="3144"/>
      <c r="H70" s="314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4" t="s">
        <v>2237</v>
      </c>
      <c r="B71" s="3135"/>
      <c r="C71" s="2973"/>
      <c r="D71" s="2973"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351</v>
      </c>
      <c r="D72" s="200" t="s">
        <v>32</v>
      </c>
      <c r="E72" s="2975"/>
      <c r="F72" s="2974"/>
      <c r="G72" s="2974"/>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2</v>
      </c>
      <c r="D73" s="200" t="s">
        <v>32</v>
      </c>
      <c r="E73" s="2975"/>
      <c r="F73" s="2974"/>
      <c r="G73" s="2974"/>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2975"/>
      <c r="F74" s="2974"/>
      <c r="G74" s="2974"/>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40" t="s">
        <v>2265</v>
      </c>
      <c r="F76" s="3139"/>
      <c r="G76" s="3139"/>
      <c r="H76" s="314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2965" t="s">
        <v>2267</v>
      </c>
      <c r="F77" s="224"/>
      <c r="G77" s="2504" t="s">
        <v>2268</v>
      </c>
      <c r="H77" s="297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2</v>
      </c>
      <c r="D78" s="226">
        <f>'数据-取费表'!B43</f>
        <v>6.000000000000001E-3</v>
      </c>
      <c r="E78" s="3131" t="s">
        <v>2270</v>
      </c>
      <c r="F78" s="3132"/>
      <c r="G78" s="3132"/>
      <c r="H78" s="313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2271</v>
      </c>
      <c r="C79" s="207">
        <f ca="1">C72-C73</f>
        <v>349</v>
      </c>
      <c r="D79" s="200" t="s">
        <v>32</v>
      </c>
      <c r="E79" s="2975"/>
      <c r="F79" s="2974"/>
      <c r="G79" s="2974"/>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174.5</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74"/>
      <c r="G80" s="2974"/>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209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3" t="s">
        <v>2274</v>
      </c>
      <c r="B83" s="3144"/>
      <c r="C83" s="3144"/>
      <c r="D83" s="3144"/>
      <c r="E83" s="3144"/>
      <c r="F83" s="3144"/>
      <c r="G83" s="3144"/>
      <c r="H83" s="314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4" t="s">
        <v>2237</v>
      </c>
      <c r="B84" s="3135"/>
      <c r="C84" s="2973"/>
      <c r="D84" s="2973"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351</v>
      </c>
      <c r="D85" s="200" t="s">
        <v>32</v>
      </c>
      <c r="E85" s="2975"/>
      <c r="F85" s="2974"/>
      <c r="G85" s="2974"/>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2</v>
      </c>
      <c r="D86" s="235"/>
      <c r="E86" s="2975"/>
      <c r="F86" s="2974"/>
      <c r="G86" s="2974"/>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2970"/>
      <c r="F87" s="2971"/>
      <c r="G87" s="2971"/>
      <c r="H87" s="2972"/>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2971"/>
      <c r="G88" s="238" t="s">
        <v>2278</v>
      </c>
      <c r="H88" s="2508"/>
      <c r="I88" s="2503"/>
      <c r="J88" s="2958" t="s">
        <v>3055</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2971"/>
      <c r="G89" s="2971"/>
      <c r="H89" s="2972"/>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2971"/>
      <c r="G90" s="3100" t="s">
        <v>3057</v>
      </c>
      <c r="H90" s="3101"/>
      <c r="I90" s="2503"/>
      <c r="J90" s="2958" t="s">
        <v>3056</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31" t="s">
        <v>2283</v>
      </c>
      <c r="F91" s="3132"/>
      <c r="G91" s="3132"/>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31" t="s">
        <v>2287</v>
      </c>
      <c r="F92" s="3132"/>
      <c r="G92" s="3132"/>
      <c r="H92" s="313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2</v>
      </c>
      <c r="D93" s="226">
        <f>'数据-取费表'!B43</f>
        <v>6.000000000000001E-3</v>
      </c>
      <c r="E93" s="3131" t="s">
        <v>2270</v>
      </c>
      <c r="F93" s="3132"/>
      <c r="G93" s="3132"/>
      <c r="H93" s="313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79" t="s">
        <v>2291</v>
      </c>
      <c r="F94" s="3180"/>
      <c r="G94" s="3180"/>
      <c r="H94" s="318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2271</v>
      </c>
      <c r="C95" s="207">
        <f ca="1">ROUND(C85-C86,0)</f>
        <v>349</v>
      </c>
      <c r="D95" s="200" t="s">
        <v>32</v>
      </c>
      <c r="E95" s="2975"/>
      <c r="F95" s="2974"/>
      <c r="G95" s="2974"/>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174.5</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74"/>
      <c r="G96" s="2974"/>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209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1" t="s">
        <v>2293</v>
      </c>
      <c r="B100" s="3082"/>
      <c r="C100" s="3082"/>
      <c r="D100" s="3115"/>
      <c r="E100" s="3082" t="s">
        <v>2294</v>
      </c>
      <c r="F100" s="3082"/>
      <c r="G100" s="3082"/>
      <c r="H100" s="3115"/>
      <c r="I100" s="138"/>
    </row>
    <row r="101" spans="1:35" ht="18.75" customHeight="1">
      <c r="A101" s="3123" t="s">
        <v>2295</v>
      </c>
      <c r="B101" s="3124"/>
      <c r="C101" s="736" t="str">
        <f>C4</f>
        <v>比较法-车位</v>
      </c>
      <c r="D101" s="737" t="str">
        <f>D4</f>
        <v>收益法 (元) (车位)</v>
      </c>
      <c r="E101" s="3093" t="s">
        <v>2296</v>
      </c>
      <c r="F101" s="3094"/>
      <c r="G101" s="2511" t="s">
        <v>2297</v>
      </c>
      <c r="H101" s="1045">
        <f ca="1">H118</f>
        <v>369</v>
      </c>
      <c r="I101" s="138"/>
    </row>
    <row r="102" spans="1:35" ht="18.75" customHeight="1">
      <c r="A102" s="3125" t="s">
        <v>2298</v>
      </c>
      <c r="B102" s="2511" t="s">
        <v>2297</v>
      </c>
      <c r="C102" s="736">
        <f ca="1">C19</f>
        <v>423</v>
      </c>
      <c r="D102" s="737">
        <f ca="1">D19</f>
        <v>152</v>
      </c>
      <c r="E102" s="3093"/>
      <c r="F102" s="3094"/>
      <c r="G102" s="2511" t="s">
        <v>2299</v>
      </c>
      <c r="H102" s="371">
        <f ca="1">I118</f>
        <v>2140</v>
      </c>
      <c r="I102" s="138"/>
    </row>
    <row r="103" spans="1:35" ht="42.75" customHeight="1">
      <c r="A103" s="3125"/>
      <c r="B103" s="2511" t="s">
        <v>2299</v>
      </c>
      <c r="C103" s="738">
        <f ca="1">C20</f>
        <v>9354</v>
      </c>
      <c r="D103" s="739">
        <f ca="1">D20</f>
        <v>3351</v>
      </c>
      <c r="E103" s="3087" t="s">
        <v>2300</v>
      </c>
      <c r="F103" s="3088"/>
      <c r="G103" s="2512" t="s">
        <v>2301</v>
      </c>
      <c r="H103" s="1045">
        <f>IF(D36="正常操作",H104+H105+H106,H105+H106)</f>
        <v>0</v>
      </c>
      <c r="I103" s="138"/>
    </row>
    <row r="104" spans="1:35" ht="18.75" customHeight="1">
      <c r="A104" s="3125" t="s">
        <v>2302</v>
      </c>
      <c r="B104" s="2513" t="s">
        <v>2297</v>
      </c>
      <c r="C104" s="740">
        <f ca="1">H118</f>
        <v>369</v>
      </c>
      <c r="D104" s="741"/>
      <c r="E104" s="2258" t="s">
        <v>2303</v>
      </c>
      <c r="F104" s="2249"/>
      <c r="G104" s="2512" t="s">
        <v>2301</v>
      </c>
      <c r="H104" s="1046">
        <f>IF(D36="同一抵押权人同一抵押物续贷",C36&amp;"（未扣减，详见特别提示）",C36)</f>
        <v>0</v>
      </c>
      <c r="I104" s="138"/>
    </row>
    <row r="105" spans="1:35" ht="18.75" customHeight="1" thickBot="1">
      <c r="A105" s="3137"/>
      <c r="B105" s="2514" t="s">
        <v>2299</v>
      </c>
      <c r="C105" s="742">
        <f ca="1">I118</f>
        <v>2140</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26" t="str">
        <f>IF(项目基本情况!E8="已注销","——","3.房地产抵押价值")</f>
        <v>3.房地产抵押价值</v>
      </c>
      <c r="F107" s="3094"/>
      <c r="G107" s="2511" t="s">
        <v>2297</v>
      </c>
      <c r="H107" s="1045">
        <f ca="1">IF(E107="——","——",H101-H103)</f>
        <v>369</v>
      </c>
      <c r="I107" s="138"/>
    </row>
    <row r="108" spans="1:35" ht="18.75" customHeight="1">
      <c r="A108" s="138"/>
      <c r="B108" s="138"/>
      <c r="C108" s="138"/>
      <c r="D108" s="138"/>
      <c r="E108" s="3126"/>
      <c r="F108" s="3094"/>
      <c r="G108" s="2511" t="s">
        <v>2299</v>
      </c>
      <c r="H108" s="371">
        <f ca="1">ROUND(H107*10000/'数据-汇总表'!E3,0)</f>
        <v>2140</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094"/>
      <c r="G109" s="2511" t="s">
        <v>2297</v>
      </c>
      <c r="H109" s="348" t="str">
        <f>IF(E109="——","——",H101-H105-H106)</f>
        <v>——</v>
      </c>
      <c r="I109" s="138"/>
    </row>
    <row r="110" spans="1:35" ht="18.75" customHeight="1">
      <c r="A110" s="138"/>
      <c r="B110" s="138"/>
      <c r="C110" s="138"/>
      <c r="D110" s="138"/>
      <c r="E110" s="3126"/>
      <c r="F110" s="3094"/>
      <c r="G110" s="2511" t="s">
        <v>2299</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1" t="s">
        <v>2297</v>
      </c>
      <c r="H111" s="1045" t="str">
        <f>IF(E111="——","——",N59)</f>
        <v>——</v>
      </c>
      <c r="I111" s="138"/>
    </row>
    <row r="112" spans="1:35" ht="18.75" customHeight="1" thickBot="1">
      <c r="A112" s="138"/>
      <c r="B112" s="138"/>
      <c r="C112" s="138"/>
      <c r="D112" s="138"/>
      <c r="E112" s="3129"/>
      <c r="F112" s="3130"/>
      <c r="G112" s="2516" t="s">
        <v>2299</v>
      </c>
      <c r="H112" s="790" t="str">
        <f>IF(E111="——","——",N61)</f>
        <v>——</v>
      </c>
      <c r="I112" s="138"/>
    </row>
    <row r="113" spans="1:11" ht="18.75" customHeight="1">
      <c r="A113" s="138"/>
      <c r="B113" s="138"/>
      <c r="C113" s="138"/>
      <c r="D113" s="138"/>
      <c r="E113" s="3138" t="s">
        <v>2305</v>
      </c>
      <c r="F113" s="3138"/>
      <c r="G113" s="3138"/>
      <c r="H113" s="3138"/>
      <c r="I113" s="138"/>
    </row>
    <row r="114" spans="1:11" ht="3.75" customHeight="1">
      <c r="A114" s="2409"/>
      <c r="B114" s="2409"/>
      <c r="C114" s="2409"/>
      <c r="D114" s="2409"/>
      <c r="E114" s="2487"/>
      <c r="F114" s="2487"/>
      <c r="G114" s="2487"/>
      <c r="H114" s="2487"/>
      <c r="I114" s="2409"/>
    </row>
    <row r="115" spans="1:11" ht="18.75" customHeight="1">
      <c r="A115" s="3151" t="s">
        <v>2307</v>
      </c>
      <c r="B115" s="3152"/>
      <c r="C115" s="3152"/>
      <c r="D115" s="3152"/>
      <c r="E115" s="3152"/>
      <c r="F115" s="3152"/>
      <c r="G115" s="3152"/>
      <c r="H115" s="3152"/>
      <c r="I115" s="3153"/>
    </row>
    <row r="116" spans="1:11" ht="27" customHeight="1">
      <c r="A116" s="3060" t="s">
        <v>2308</v>
      </c>
      <c r="B116" s="3105" t="s">
        <v>2309</v>
      </c>
      <c r="C116" s="3105" t="s">
        <v>2310</v>
      </c>
      <c r="D116" s="3111" t="s">
        <v>2311</v>
      </c>
      <c r="E116" s="3112"/>
      <c r="F116" s="3147" t="s">
        <v>2312</v>
      </c>
      <c r="G116" s="3147"/>
      <c r="H116" s="3060" t="s">
        <v>2313</v>
      </c>
      <c r="I116" s="3060"/>
    </row>
    <row r="117" spans="1:11" ht="18.75" customHeight="1">
      <c r="A117" s="3060"/>
      <c r="B117" s="3106"/>
      <c r="C117" s="3106"/>
      <c r="D117" s="2960" t="s">
        <v>2314</v>
      </c>
      <c r="E117" s="2960" t="s">
        <v>2315</v>
      </c>
      <c r="F117" s="2960" t="s">
        <v>2314</v>
      </c>
      <c r="G117" s="2960" t="s">
        <v>2316</v>
      </c>
      <c r="H117" s="2960" t="s">
        <v>2314</v>
      </c>
      <c r="I117" s="2960" t="s">
        <v>2316</v>
      </c>
    </row>
    <row r="118" spans="1:11" ht="24.75" customHeight="1">
      <c r="A118" s="2517" t="str">
        <f>项目基本情况!S2</f>
        <v>北京市房地产</v>
      </c>
      <c r="B118" s="2960">
        <f>M18</f>
        <v>1724.67</v>
      </c>
      <c r="C118" s="2960">
        <f>M19</f>
        <v>0</v>
      </c>
      <c r="D118" s="2960" t="e">
        <f ca="1">ROUND(IF(D32="总价",C34,E118*B118/10000),0)</f>
        <v>#REF!</v>
      </c>
      <c r="E118" s="2960" t="e">
        <f ca="1">ROUND(IF(C33="自定义",IF(D32="楼面单价",C34,D118*10000/B118),I118-G118),0)</f>
        <v>#REF!</v>
      </c>
      <c r="F118" s="2960" t="e">
        <f ca="1">ROUND(IF(D32="总价",C35,G118*B118/10000),0)</f>
        <v>#REF!</v>
      </c>
      <c r="G118" s="2960" t="e">
        <f ca="1">ROUND(IF(D32="楼面单价",C35,F118*10000/B118),0)</f>
        <v>#REF!</v>
      </c>
      <c r="H118" s="2960">
        <f ca="1">ROUND(IF(D32="总价",C32,I118*B118/10000),0)</f>
        <v>369</v>
      </c>
      <c r="I118" s="2960">
        <f ca="1">ROUND(IF(D32="楼面单价",C32,H118*10000/B118),0)</f>
        <v>2140</v>
      </c>
    </row>
    <row r="119" spans="1:11" ht="18.75" customHeight="1">
      <c r="A119" s="3060" t="s">
        <v>2317</v>
      </c>
      <c r="B119" s="3060"/>
      <c r="C119" s="3060"/>
      <c r="D119" s="3107" t="e">
        <f ca="1">NUMBERSTRING(INT(D118*10000),2)&amp;"元整"</f>
        <v>#REF!</v>
      </c>
      <c r="E119" s="3108"/>
      <c r="F119" s="3107" t="e">
        <f ca="1">NUMBERSTRING(INT(F118*10000),2)&amp;"元整"</f>
        <v>#REF!</v>
      </c>
      <c r="G119" s="3108"/>
      <c r="H119" s="3107" t="str">
        <f ca="1">NUMBERSTRING(INT(H118*10000),2)&amp;"元整"</f>
        <v>叁佰陆拾玖万元整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4" t="str">
        <f>IF(D120=0,"故，本次评估不存在"&amp;A120,"故，本次评估"&amp;A120&amp;"为人民币"&amp;D120&amp;"万元整。")</f>
        <v>故，本次评估不存在估价师知悉的法定优先受偿款</v>
      </c>
    </row>
    <row r="121" spans="1:11" ht="18.75" customHeight="1">
      <c r="A121" s="3148" t="s">
        <v>2317</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369</v>
      </c>
      <c r="E122" s="3103"/>
      <c r="F122" s="3103"/>
      <c r="G122" s="3103"/>
      <c r="H122" s="3103"/>
      <c r="I122" s="3104"/>
    </row>
    <row r="123" spans="1:11" ht="18.75" customHeight="1">
      <c r="A123" s="3060" t="s">
        <v>2317</v>
      </c>
      <c r="B123" s="3060"/>
      <c r="C123" s="3060"/>
      <c r="D123" s="3107" t="str">
        <f ca="1">NUMBERSTRING(INT(D122*10000),2)&amp;"元整"</f>
        <v>叁佰陆拾玖万元整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0" t="s">
        <v>2317</v>
      </c>
      <c r="B125" s="3060"/>
      <c r="C125" s="3060"/>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0" t="s">
        <v>2317</v>
      </c>
      <c r="B127" s="3060"/>
      <c r="C127" s="3060"/>
      <c r="D127" s="3107" t="e">
        <f>NUMBERSTRING(INT(D126*10000),2)&amp;"元整"</f>
        <v>#VALUE!</v>
      </c>
      <c r="E127" s="3109"/>
      <c r="F127" s="3109"/>
      <c r="G127" s="3109"/>
      <c r="H127" s="3109"/>
      <c r="I127" s="3108"/>
    </row>
    <row r="128" spans="1:11" ht="21.75" customHeight="1">
      <c r="A128" s="3110" t="s">
        <v>2318</v>
      </c>
      <c r="B128" s="3110"/>
      <c r="C128" s="3110"/>
      <c r="D128" s="3110"/>
      <c r="E128" s="3110"/>
      <c r="F128" s="3110"/>
      <c r="G128" s="3110"/>
      <c r="H128" s="3110"/>
      <c r="I128" s="3110"/>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N26" sqref="N2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3069</v>
      </c>
      <c r="E1" s="1621"/>
      <c r="F1" s="2577" t="s">
        <v>3078</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f>IF(C2="——",IF(B37="元/平方米",ROUND(C39*D3/10000,0),ROUND(F3*C39/10000,0)),IF(B37="元/平方米",ROUND(C39*D3/10000,0),ROUND(F3*C39/10000,0))-D2)</f>
        <v>423</v>
      </c>
      <c r="C2" s="2579" t="s">
        <v>70</v>
      </c>
      <c r="D2" s="1124" t="e">
        <f ca="1">SUMIF(INDIRECT("'"&amp;F2&amp;"'"&amp;"!A:A"),"承租人权益价值",INDIRECT("'"&amp;F2&amp;"'"&amp;"!c:c"))</f>
        <v>#REF!</v>
      </c>
      <c r="E2" s="2580" t="s">
        <v>2328</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9354</v>
      </c>
      <c r="C3" s="400" t="s">
        <v>2641</v>
      </c>
      <c r="D3" s="399">
        <f>SUMIF('数据-汇总表'!$C19:$C33,D1,'数据-汇总表'!$E19:$E33)</f>
        <v>452.2</v>
      </c>
      <c r="E3" s="400" t="s">
        <v>2705</v>
      </c>
      <c r="F3" s="399">
        <f>SUMIF('数据-取费表'!A5:A15,D1,'数据-取费表'!AH5:AH15)</f>
        <v>10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f>C7</f>
        <v>44020</v>
      </c>
      <c r="F7" s="413">
        <f>SUMIF(48:48,YEAR(E7)&amp;"-"&amp;MONTH(E7),49:49)</f>
        <v>100</v>
      </c>
      <c r="G7" s="412">
        <f>C7</f>
        <v>44020</v>
      </c>
      <c r="H7" s="411">
        <f>SUMIF(48:48,YEAR(G7)&amp;"-"&amp;MONTH(G7),49:49)</f>
        <v>100</v>
      </c>
      <c r="I7" s="412">
        <f>C7</f>
        <v>44020</v>
      </c>
      <c r="J7" s="411">
        <f>SUMIF(48:48,YEAR(I7)&amp;"-"&amp;MONTH(I7),49:49)</f>
        <v>100</v>
      </c>
      <c r="K7" s="611"/>
      <c r="L7" s="1132"/>
      <c r="M7" s="1133"/>
      <c r="N7" s="1133"/>
      <c r="O7" s="1133"/>
      <c r="P7" s="3193" t="s">
        <v>2546</v>
      </c>
      <c r="Q7" s="3226"/>
      <c r="R7" s="770" t="s">
        <v>17</v>
      </c>
      <c r="S7" s="771">
        <f t="shared" ref="S7:S14" si="0">F7</f>
        <v>100</v>
      </c>
      <c r="T7" s="770" t="s">
        <v>17</v>
      </c>
      <c r="U7" s="771">
        <f t="shared" ref="U7:U14" si="1">H7</f>
        <v>100</v>
      </c>
      <c r="V7" s="770" t="s">
        <v>17</v>
      </c>
      <c r="W7" s="771">
        <f t="shared" ref="W7:W14" si="2">J7</f>
        <v>100</v>
      </c>
      <c r="X7" s="772"/>
      <c r="Y7" s="3193" t="s">
        <v>2546</v>
      </c>
      <c r="Z7" s="3194"/>
      <c r="AA7" s="773">
        <f>D7/F7</f>
        <v>1</v>
      </c>
      <c r="AB7" s="773">
        <f>D7/H7</f>
        <v>1</v>
      </c>
      <c r="AC7" s="773">
        <f>D7/J7</f>
        <v>1</v>
      </c>
    </row>
    <row r="8" spans="1:29" s="117" customFormat="1" ht="15.75" thickBot="1">
      <c r="A8" s="408" t="s">
        <v>2547</v>
      </c>
      <c r="B8" s="409"/>
      <c r="C8" s="414" t="s">
        <v>2649</v>
      </c>
      <c r="D8" s="411">
        <v>100</v>
      </c>
      <c r="E8" s="414" t="s">
        <v>3079</v>
      </c>
      <c r="F8" s="413">
        <f>SUMIF(51:51,E8,52:52)-SUMIF(51:51,C8,52:52)+100</f>
        <v>100</v>
      </c>
      <c r="G8" s="414" t="s">
        <v>3079</v>
      </c>
      <c r="H8" s="411">
        <f>SUMIF(51:51,G8,52:52)-SUMIF(51:51,C8,52:52)+100</f>
        <v>100</v>
      </c>
      <c r="I8" s="414" t="s">
        <v>3079</v>
      </c>
      <c r="J8" s="411">
        <f>SUMIF(51:51,I8,52:52)-SUMIF(51:51,C8,52:52)+100</f>
        <v>100</v>
      </c>
      <c r="K8" s="611"/>
      <c r="L8" s="1132"/>
      <c r="M8" s="1133"/>
      <c r="N8" s="1133"/>
      <c r="O8" s="1133"/>
      <c r="P8" s="3193" t="s">
        <v>2549</v>
      </c>
      <c r="Q8" s="3194"/>
      <c r="R8" s="770" t="s">
        <v>17</v>
      </c>
      <c r="S8" s="771">
        <f t="shared" si="0"/>
        <v>100</v>
      </c>
      <c r="T8" s="770" t="s">
        <v>17</v>
      </c>
      <c r="U8" s="771">
        <f t="shared" si="1"/>
        <v>100</v>
      </c>
      <c r="V8" s="770" t="s">
        <v>17</v>
      </c>
      <c r="W8" s="771">
        <f t="shared" si="2"/>
        <v>100</v>
      </c>
      <c r="X8" s="772"/>
      <c r="Y8" s="3193" t="s">
        <v>2549</v>
      </c>
      <c r="Z8" s="3194"/>
      <c r="AA8" s="773">
        <f t="shared" ref="AA8:AA36" si="3">D8/F8</f>
        <v>1</v>
      </c>
      <c r="AB8" s="773">
        <f t="shared" ref="AB8:AB36" si="4">D8/H8</f>
        <v>1</v>
      </c>
      <c r="AC8" s="773">
        <f t="shared" ref="AC8:AC36" si="5">D8/J8</f>
        <v>1</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6" t="s">
        <v>2552</v>
      </c>
      <c r="Q9" s="1786" t="str">
        <f t="shared" ref="Q9:Q14" si="6">B9</f>
        <v>用途</v>
      </c>
      <c r="R9" s="770" t="s">
        <v>17</v>
      </c>
      <c r="S9" s="771">
        <f t="shared" si="0"/>
        <v>100</v>
      </c>
      <c r="T9" s="770" t="s">
        <v>17</v>
      </c>
      <c r="U9" s="771">
        <f t="shared" si="1"/>
        <v>100</v>
      </c>
      <c r="V9" s="770" t="s">
        <v>17</v>
      </c>
      <c r="W9" s="771">
        <f t="shared" si="2"/>
        <v>100</v>
      </c>
      <c r="X9" s="772"/>
      <c r="Y9" s="3060"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6"/>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6"/>
      <c r="Q11" s="1786">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6"/>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85.5">
      <c r="A14" s="401" t="s">
        <v>2556</v>
      </c>
      <c r="B14" s="629" t="s">
        <v>2706</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9" t="s">
        <v>2557</v>
      </c>
      <c r="Q14" s="1801" t="str">
        <f t="shared" si="6"/>
        <v>交通便捷度</v>
      </c>
      <c r="R14" s="774" t="s">
        <v>17</v>
      </c>
      <c r="S14" s="775">
        <f t="shared" si="0"/>
        <v>100</v>
      </c>
      <c r="T14" s="774" t="s">
        <v>17</v>
      </c>
      <c r="U14" s="775">
        <f t="shared" si="1"/>
        <v>100</v>
      </c>
      <c r="V14" s="774" t="s">
        <v>17</v>
      </c>
      <c r="W14" s="775">
        <f t="shared" si="2"/>
        <v>100</v>
      </c>
      <c r="X14" s="1804"/>
      <c r="Y14" s="3229" t="s">
        <v>2557</v>
      </c>
      <c r="Z14" s="1805" t="str">
        <f t="shared" si="7"/>
        <v>交通便捷度</v>
      </c>
      <c r="AA14" s="1802">
        <f t="shared" si="3"/>
        <v>1</v>
      </c>
      <c r="AB14" s="1802">
        <f t="shared" si="4"/>
        <v>1</v>
      </c>
      <c r="AC14" s="1802">
        <f t="shared" si="5"/>
        <v>1</v>
      </c>
    </row>
    <row r="15" spans="1:29" ht="15">
      <c r="A15" s="404"/>
      <c r="B15" s="647"/>
      <c r="C15" s="447" t="s">
        <v>3109</v>
      </c>
      <c r="D15" s="448"/>
      <c r="E15" s="447" t="s">
        <v>3109</v>
      </c>
      <c r="F15" s="449"/>
      <c r="G15" s="447" t="s">
        <v>3109</v>
      </c>
      <c r="H15" s="450"/>
      <c r="I15" s="447" t="s">
        <v>3109</v>
      </c>
      <c r="J15" s="448"/>
      <c r="K15" s="615"/>
      <c r="L15" s="1140"/>
      <c r="M15" s="1131"/>
      <c r="N15" s="1131"/>
      <c r="O15" s="1131"/>
      <c r="P15" s="3230"/>
      <c r="Q15" s="1801"/>
      <c r="R15" s="774"/>
      <c r="S15" s="775"/>
      <c r="T15" s="774"/>
      <c r="U15" s="775"/>
      <c r="V15" s="774"/>
      <c r="W15" s="775"/>
      <c r="X15" s="1804"/>
      <c r="Y15" s="3230"/>
      <c r="Z15" s="1805"/>
      <c r="AA15" s="1802">
        <v>1</v>
      </c>
      <c r="AB15" s="1802">
        <v>1</v>
      </c>
      <c r="AC15" s="1802">
        <v>1</v>
      </c>
    </row>
    <row r="16" spans="1:29" ht="42.75">
      <c r="A16" s="404"/>
      <c r="B16" s="631" t="s">
        <v>2685</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0"/>
      <c r="Q16" s="1801" t="str">
        <f>B16</f>
        <v>公共配套设施</v>
      </c>
      <c r="R16" s="774" t="s">
        <v>17</v>
      </c>
      <c r="S16" s="775">
        <f>F16</f>
        <v>100</v>
      </c>
      <c r="T16" s="774" t="s">
        <v>17</v>
      </c>
      <c r="U16" s="775">
        <f>H16</f>
        <v>100</v>
      </c>
      <c r="V16" s="774" t="s">
        <v>17</v>
      </c>
      <c r="W16" s="775">
        <f>J16</f>
        <v>100</v>
      </c>
      <c r="X16" s="1804"/>
      <c r="Y16" s="3230"/>
      <c r="Z16" s="1805" t="str">
        <f>Q16</f>
        <v>公共配套设施</v>
      </c>
      <c r="AA16" s="1802">
        <f t="shared" si="3"/>
        <v>1</v>
      </c>
      <c r="AB16" s="1802">
        <f t="shared" si="4"/>
        <v>1</v>
      </c>
      <c r="AC16" s="1802">
        <f t="shared" si="5"/>
        <v>1</v>
      </c>
    </row>
    <row r="17" spans="1:29" ht="15">
      <c r="A17" s="404"/>
      <c r="B17" s="632"/>
      <c r="C17" s="2601" t="s">
        <v>3109</v>
      </c>
      <c r="D17" s="448"/>
      <c r="E17" s="447" t="s">
        <v>3109</v>
      </c>
      <c r="F17" s="449"/>
      <c r="G17" s="447" t="s">
        <v>3109</v>
      </c>
      <c r="H17" s="448"/>
      <c r="I17" s="447" t="s">
        <v>3109</v>
      </c>
      <c r="J17" s="448"/>
      <c r="K17" s="615"/>
      <c r="L17" s="1140"/>
      <c r="M17" s="1131"/>
      <c r="N17" s="1131"/>
      <c r="O17" s="1131"/>
      <c r="P17" s="3230"/>
      <c r="Q17" s="1801"/>
      <c r="R17" s="774"/>
      <c r="S17" s="775"/>
      <c r="T17" s="774"/>
      <c r="U17" s="775"/>
      <c r="V17" s="774"/>
      <c r="W17" s="775"/>
      <c r="X17" s="1804"/>
      <c r="Y17" s="3230"/>
      <c r="Z17" s="1805"/>
      <c r="AA17" s="1802">
        <v>1</v>
      </c>
      <c r="AB17" s="1802">
        <v>1</v>
      </c>
      <c r="AC17" s="1802">
        <v>1</v>
      </c>
    </row>
    <row r="18" spans="1:29" ht="28.5">
      <c r="A18" s="404"/>
      <c r="B18" s="633" t="s">
        <v>2686</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0"/>
      <c r="Q18" s="1801" t="str">
        <f>B18</f>
        <v>基础设施水平</v>
      </c>
      <c r="R18" s="774" t="s">
        <v>17</v>
      </c>
      <c r="S18" s="775">
        <f>F18</f>
        <v>100</v>
      </c>
      <c r="T18" s="774" t="s">
        <v>17</v>
      </c>
      <c r="U18" s="775">
        <f>H18</f>
        <v>100</v>
      </c>
      <c r="V18" s="774" t="s">
        <v>17</v>
      </c>
      <c r="W18" s="775">
        <f>J18</f>
        <v>100</v>
      </c>
      <c r="X18" s="1804"/>
      <c r="Y18" s="3230"/>
      <c r="Z18" s="1805" t="str">
        <f>Q18</f>
        <v>基础设施水平</v>
      </c>
      <c r="AA18" s="1802">
        <f t="shared" ref="AA18" si="8">D18/F18</f>
        <v>1</v>
      </c>
      <c r="AB18" s="1802">
        <f t="shared" ref="AB18" si="9">D18/H18</f>
        <v>1</v>
      </c>
      <c r="AC18" s="1802">
        <f t="shared" ref="AC18" si="10">D18/J18</f>
        <v>1</v>
      </c>
    </row>
    <row r="19" spans="1:29" ht="15">
      <c r="A19" s="404"/>
      <c r="B19" s="633"/>
      <c r="C19" s="2601" t="s">
        <v>3089</v>
      </c>
      <c r="D19" s="450"/>
      <c r="E19" s="2601" t="s">
        <v>3089</v>
      </c>
      <c r="F19" s="453"/>
      <c r="G19" s="2601" t="s">
        <v>3089</v>
      </c>
      <c r="H19" s="448"/>
      <c r="I19" s="447" t="s">
        <v>3089</v>
      </c>
      <c r="J19" s="448"/>
      <c r="K19" s="1383"/>
      <c r="L19" s="1140"/>
      <c r="M19" s="1131"/>
      <c r="N19" s="1131"/>
      <c r="O19" s="1131"/>
      <c r="P19" s="3230"/>
      <c r="Q19" s="1801"/>
      <c r="R19" s="774"/>
      <c r="S19" s="775"/>
      <c r="T19" s="774"/>
      <c r="U19" s="775"/>
      <c r="V19" s="774"/>
      <c r="W19" s="775"/>
      <c r="X19" s="1804"/>
      <c r="Y19" s="3230"/>
      <c r="Z19" s="1805"/>
      <c r="AA19" s="1802">
        <v>1</v>
      </c>
      <c r="AB19" s="1802">
        <v>1</v>
      </c>
      <c r="AC19" s="1802">
        <v>1</v>
      </c>
    </row>
    <row r="20" spans="1:29" ht="57">
      <c r="A20" s="404"/>
      <c r="B20" s="631" t="s">
        <v>2707</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0"/>
      <c r="Q20" s="1801" t="str">
        <f>B20</f>
        <v>自然及人文环境</v>
      </c>
      <c r="R20" s="774" t="s">
        <v>17</v>
      </c>
      <c r="S20" s="775">
        <f>F20</f>
        <v>100</v>
      </c>
      <c r="T20" s="774" t="s">
        <v>17</v>
      </c>
      <c r="U20" s="775">
        <f>H20</f>
        <v>100</v>
      </c>
      <c r="V20" s="774" t="s">
        <v>17</v>
      </c>
      <c r="W20" s="775">
        <f>J20</f>
        <v>100</v>
      </c>
      <c r="X20" s="1804"/>
      <c r="Y20" s="3230"/>
      <c r="Z20" s="1805" t="str">
        <f>Q20</f>
        <v>自然及人文环境</v>
      </c>
      <c r="AA20" s="1802">
        <f t="shared" si="3"/>
        <v>1</v>
      </c>
      <c r="AB20" s="1802">
        <f t="shared" si="4"/>
        <v>1</v>
      </c>
      <c r="AC20" s="1802">
        <f t="shared" si="5"/>
        <v>1</v>
      </c>
    </row>
    <row r="21" spans="1:29" ht="15">
      <c r="A21" s="404"/>
      <c r="B21" s="632"/>
      <c r="C21" s="447" t="s">
        <v>3109</v>
      </c>
      <c r="D21" s="448"/>
      <c r="E21" s="447" t="s">
        <v>3109</v>
      </c>
      <c r="F21" s="449"/>
      <c r="G21" s="447" t="s">
        <v>3109</v>
      </c>
      <c r="H21" s="448"/>
      <c r="I21" s="447" t="s">
        <v>3109</v>
      </c>
      <c r="J21" s="448"/>
      <c r="K21" s="615"/>
      <c r="L21" s="1140"/>
      <c r="M21" s="1131"/>
      <c r="N21" s="1131"/>
      <c r="O21" s="1131"/>
      <c r="P21" s="3230"/>
      <c r="Q21" s="1801"/>
      <c r="R21" s="774"/>
      <c r="S21" s="775"/>
      <c r="T21" s="774"/>
      <c r="U21" s="775"/>
      <c r="V21" s="774"/>
      <c r="W21" s="775"/>
      <c r="X21" s="1804"/>
      <c r="Y21" s="3230"/>
      <c r="Z21" s="1805"/>
      <c r="AA21" s="1802">
        <v>1</v>
      </c>
      <c r="AB21" s="1802">
        <v>1</v>
      </c>
      <c r="AC21" s="180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0"/>
      <c r="Q22" s="1801" t="str">
        <f>B22</f>
        <v>楼层</v>
      </c>
      <c r="R22" s="774" t="s">
        <v>17</v>
      </c>
      <c r="S22" s="775">
        <f>F22</f>
        <v>100</v>
      </c>
      <c r="T22" s="774" t="s">
        <v>17</v>
      </c>
      <c r="U22" s="775">
        <f>H22</f>
        <v>100</v>
      </c>
      <c r="V22" s="774" t="s">
        <v>17</v>
      </c>
      <c r="W22" s="775">
        <f>J22</f>
        <v>100</v>
      </c>
      <c r="X22" s="1804"/>
      <c r="Y22" s="3230"/>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0"/>
      <c r="Q23" s="1801">
        <f>B23</f>
        <v>111</v>
      </c>
      <c r="R23" s="774" t="s">
        <v>17</v>
      </c>
      <c r="S23" s="775">
        <f>F23</f>
        <v>100</v>
      </c>
      <c r="T23" s="774" t="s">
        <v>17</v>
      </c>
      <c r="U23" s="775">
        <f>H23</f>
        <v>100</v>
      </c>
      <c r="V23" s="774" t="s">
        <v>17</v>
      </c>
      <c r="W23" s="775">
        <f>J23</f>
        <v>100</v>
      </c>
      <c r="X23" s="1804"/>
      <c r="Y23" s="3230"/>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0"/>
      <c r="Q24" s="1801">
        <f t="shared" ref="Q24:Q36" si="11">B24</f>
        <v>111</v>
      </c>
      <c r="R24" s="774" t="s">
        <v>17</v>
      </c>
      <c r="S24" s="775">
        <f>F24</f>
        <v>100</v>
      </c>
      <c r="T24" s="774" t="s">
        <v>17</v>
      </c>
      <c r="U24" s="775">
        <f>H24</f>
        <v>100</v>
      </c>
      <c r="V24" s="774" t="s">
        <v>17</v>
      </c>
      <c r="W24" s="775">
        <f>J24</f>
        <v>100</v>
      </c>
      <c r="X24" s="1804"/>
      <c r="Y24" s="3230"/>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0"/>
      <c r="Q25" s="1786">
        <f t="shared" si="11"/>
        <v>111</v>
      </c>
      <c r="R25" s="770" t="s">
        <v>17</v>
      </c>
      <c r="S25" s="771">
        <f>F25</f>
        <v>100</v>
      </c>
      <c r="T25" s="770" t="s">
        <v>17</v>
      </c>
      <c r="U25" s="771">
        <f>H25</f>
        <v>100</v>
      </c>
      <c r="V25" s="770" t="s">
        <v>17</v>
      </c>
      <c r="W25" s="771">
        <f>J25</f>
        <v>100</v>
      </c>
      <c r="X25" s="772"/>
      <c r="Y25" s="3230"/>
      <c r="Z25" s="55">
        <f>Q25</f>
        <v>111</v>
      </c>
      <c r="AA25" s="1802">
        <f>D25/F25</f>
        <v>1</v>
      </c>
      <c r="AB25" s="1802">
        <f>D25/H25</f>
        <v>1</v>
      </c>
      <c r="AC25" s="1802">
        <f>D25/J25</f>
        <v>1</v>
      </c>
    </row>
    <row r="26" spans="1:29" ht="28.5">
      <c r="A26" s="652" t="s">
        <v>2560</v>
      </c>
      <c r="B26" s="70" t="s">
        <v>2709</v>
      </c>
      <c r="C26" s="2687" t="str">
        <f>B1</f>
        <v>办公</v>
      </c>
      <c r="D26" s="448">
        <v>100</v>
      </c>
      <c r="E26" s="447" t="s">
        <v>3119</v>
      </c>
      <c r="F26" s="449">
        <f>SUMIF(79:79,E26,80:80)-SUMIF(79:79,C26,80:80)+100</f>
        <v>130</v>
      </c>
      <c r="G26" s="447" t="s">
        <v>3119</v>
      </c>
      <c r="H26" s="448">
        <f>SUMIF(79:79,G26,80:80)-SUMIF(79:79,C26,80:80)+100</f>
        <v>130</v>
      </c>
      <c r="I26" s="447" t="s">
        <v>3119</v>
      </c>
      <c r="J26" s="448">
        <f>SUMIF(79:79,I26,80:80)-SUMIF(79:79,C26,80:80)+100</f>
        <v>130</v>
      </c>
      <c r="K26" s="612">
        <v>-30</v>
      </c>
      <c r="L26" s="1140"/>
      <c r="M26" s="1131"/>
      <c r="N26" s="1131"/>
      <c r="O26" s="1131"/>
      <c r="P26" s="3274" t="s">
        <v>2562</v>
      </c>
      <c r="Q26" s="1801" t="str">
        <f t="shared" si="11"/>
        <v>配套类型</v>
      </c>
      <c r="R26" s="774" t="s">
        <v>17</v>
      </c>
      <c r="S26" s="775">
        <f t="shared" ref="S26:S36" si="12">F26</f>
        <v>130</v>
      </c>
      <c r="T26" s="774" t="s">
        <v>17</v>
      </c>
      <c r="U26" s="775">
        <f t="shared" ref="U26:U36" si="13">H26</f>
        <v>130</v>
      </c>
      <c r="V26" s="774" t="s">
        <v>17</v>
      </c>
      <c r="W26" s="775">
        <f t="shared" ref="W26:W36" si="14">J26</f>
        <v>130</v>
      </c>
      <c r="X26" s="1804"/>
      <c r="Y26" s="3234" t="s">
        <v>2562</v>
      </c>
      <c r="Z26" s="1805" t="str">
        <f t="shared" ref="Z26:Z36" si="15">Q26</f>
        <v>配套类型</v>
      </c>
      <c r="AA26" s="1802">
        <f t="shared" si="3"/>
        <v>0.76923076923076927</v>
      </c>
      <c r="AB26" s="1802">
        <f t="shared" si="4"/>
        <v>0.76923076923076927</v>
      </c>
      <c r="AC26" s="1802">
        <f t="shared" si="5"/>
        <v>0.76923076923076927</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02">
        <f t="shared" si="3"/>
        <v>1</v>
      </c>
      <c r="AB27" s="1802">
        <f t="shared" si="4"/>
        <v>1</v>
      </c>
      <c r="AC27" s="180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4"/>
      <c r="Q28" s="1801" t="str">
        <f t="shared" si="11"/>
        <v>公共部分装修</v>
      </c>
      <c r="R28" s="774" t="s">
        <v>17</v>
      </c>
      <c r="S28" s="775">
        <f t="shared" si="12"/>
        <v>100</v>
      </c>
      <c r="T28" s="774" t="s">
        <v>17</v>
      </c>
      <c r="U28" s="775">
        <f t="shared" si="13"/>
        <v>100</v>
      </c>
      <c r="V28" s="774" t="s">
        <v>17</v>
      </c>
      <c r="W28" s="775">
        <f t="shared" si="14"/>
        <v>100</v>
      </c>
      <c r="X28" s="1804"/>
      <c r="Y28" s="3234"/>
      <c r="Z28" s="1805" t="str">
        <f t="shared" si="15"/>
        <v>公共部分装修</v>
      </c>
      <c r="AA28" s="1802">
        <f t="shared" si="3"/>
        <v>1</v>
      </c>
      <c r="AB28" s="1802">
        <f t="shared" si="4"/>
        <v>1</v>
      </c>
      <c r="AC28" s="1802">
        <f t="shared" si="5"/>
        <v>1</v>
      </c>
    </row>
    <row r="29" spans="1:29" ht="15">
      <c r="A29" s="656"/>
      <c r="B29" s="654" t="s">
        <v>2712</v>
      </c>
      <c r="C29" s="474">
        <f>'数据-取费表'!Y6</f>
        <v>0.73</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40"/>
      <c r="M29" s="1131"/>
      <c r="N29" s="1131"/>
      <c r="O29" s="1131"/>
      <c r="P29" s="3234"/>
      <c r="Q29" s="1801" t="str">
        <f t="shared" si="11"/>
        <v>成新率</v>
      </c>
      <c r="R29" s="774" t="s">
        <v>17</v>
      </c>
      <c r="S29" s="775">
        <f t="shared" si="12"/>
        <v>100</v>
      </c>
      <c r="T29" s="774" t="s">
        <v>17</v>
      </c>
      <c r="U29" s="775">
        <f t="shared" si="13"/>
        <v>100</v>
      </c>
      <c r="V29" s="774" t="s">
        <v>17</v>
      </c>
      <c r="W29" s="775">
        <f t="shared" si="14"/>
        <v>100</v>
      </c>
      <c r="X29" s="1804"/>
      <c r="Y29" s="3234"/>
      <c r="Z29" s="1805" t="str">
        <f t="shared" si="15"/>
        <v>成新率</v>
      </c>
      <c r="AA29" s="1802">
        <f t="shared" si="3"/>
        <v>1</v>
      </c>
      <c r="AB29" s="1802">
        <f t="shared" si="4"/>
        <v>1</v>
      </c>
      <c r="AC29" s="1802">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4"/>
      <c r="Q30" s="1801" t="str">
        <f t="shared" si="11"/>
        <v>物业等级</v>
      </c>
      <c r="R30" s="774" t="s">
        <v>17</v>
      </c>
      <c r="S30" s="775">
        <f t="shared" si="12"/>
        <v>100</v>
      </c>
      <c r="T30" s="774" t="s">
        <v>17</v>
      </c>
      <c r="U30" s="775">
        <f t="shared" si="13"/>
        <v>100</v>
      </c>
      <c r="V30" s="774" t="s">
        <v>17</v>
      </c>
      <c r="W30" s="775">
        <f t="shared" si="14"/>
        <v>100</v>
      </c>
      <c r="X30" s="1804"/>
      <c r="Y30" s="3234"/>
      <c r="Z30" s="1805" t="str">
        <f t="shared" si="15"/>
        <v>物业等级</v>
      </c>
      <c r="AA30" s="1802">
        <f t="shared" si="3"/>
        <v>1</v>
      </c>
      <c r="AB30" s="1802">
        <f t="shared" si="4"/>
        <v>1</v>
      </c>
      <c r="AC30" s="1802">
        <f t="shared" si="5"/>
        <v>1</v>
      </c>
    </row>
    <row r="31" spans="1:29" s="117" customFormat="1" ht="15">
      <c r="A31" s="658"/>
      <c r="B31" s="654" t="s">
        <v>2714</v>
      </c>
      <c r="C31" s="469">
        <v>40</v>
      </c>
      <c r="D31" s="136">
        <v>100</v>
      </c>
      <c r="E31" s="469">
        <v>28</v>
      </c>
      <c r="F31" s="461">
        <f>LOOKUP(E31,91:91,92:92)-LOOKUP(C31,91:91,92:92)+100</f>
        <v>100</v>
      </c>
      <c r="G31" s="469">
        <v>28</v>
      </c>
      <c r="H31" s="435">
        <f>LOOKUP(G31,91:91,92:92)-LOOKUP(C31,91:91,92:92)+100</f>
        <v>100</v>
      </c>
      <c r="I31" s="469">
        <v>28</v>
      </c>
      <c r="J31" s="435">
        <f>LOOKUP(I31,91:91,92:92)-LOOKUP(C31,91:91,92:92)+100</f>
        <v>100</v>
      </c>
      <c r="K31" s="612"/>
      <c r="L31" s="1132"/>
      <c r="M31" s="1133"/>
      <c r="N31" s="1133"/>
      <c r="O31" s="1133"/>
      <c r="P31" s="3234"/>
      <c r="Q31" s="1786" t="str">
        <f t="shared" si="11"/>
        <v>停车位面积</v>
      </c>
      <c r="R31" s="770" t="s">
        <v>17</v>
      </c>
      <c r="S31" s="771">
        <f t="shared" si="12"/>
        <v>100</v>
      </c>
      <c r="T31" s="770" t="s">
        <v>17</v>
      </c>
      <c r="U31" s="771">
        <f t="shared" si="13"/>
        <v>100</v>
      </c>
      <c r="V31" s="770" t="s">
        <v>17</v>
      </c>
      <c r="W31" s="771">
        <f t="shared" si="14"/>
        <v>100</v>
      </c>
      <c r="X31" s="772"/>
      <c r="Y31" s="3234"/>
      <c r="Z31" s="55" t="str">
        <f t="shared" si="15"/>
        <v>停车位面积</v>
      </c>
      <c r="AA31" s="773">
        <f t="shared" si="3"/>
        <v>1</v>
      </c>
      <c r="AB31" s="773">
        <f t="shared" si="4"/>
        <v>1</v>
      </c>
      <c r="AC31" s="773">
        <f t="shared" si="5"/>
        <v>1</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4" t="s">
        <v>2562</v>
      </c>
      <c r="Q32" s="1801" t="str">
        <f t="shared" si="11"/>
        <v>车位类型</v>
      </c>
      <c r="R32" s="774" t="s">
        <v>17</v>
      </c>
      <c r="S32" s="775">
        <f t="shared" si="12"/>
        <v>100</v>
      </c>
      <c r="T32" s="774" t="s">
        <v>17</v>
      </c>
      <c r="U32" s="775">
        <f t="shared" si="13"/>
        <v>100</v>
      </c>
      <c r="V32" s="774" t="s">
        <v>17</v>
      </c>
      <c r="W32" s="775">
        <f t="shared" si="14"/>
        <v>100</v>
      </c>
      <c r="X32" s="1804"/>
      <c r="Y32" s="3234" t="s">
        <v>2562</v>
      </c>
      <c r="Z32" s="1805" t="str">
        <f t="shared" si="15"/>
        <v>车位类型</v>
      </c>
      <c r="AA32" s="1802">
        <f t="shared" si="3"/>
        <v>1</v>
      </c>
      <c r="AB32" s="1802">
        <f t="shared" si="4"/>
        <v>1</v>
      </c>
      <c r="AC32" s="180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4"/>
      <c r="Q33" s="1801" t="str">
        <f t="shared" si="11"/>
        <v>是否直接入户</v>
      </c>
      <c r="R33" s="774" t="s">
        <v>17</v>
      </c>
      <c r="S33" s="775">
        <f t="shared" si="12"/>
        <v>100</v>
      </c>
      <c r="T33" s="774" t="s">
        <v>17</v>
      </c>
      <c r="U33" s="775">
        <f t="shared" si="13"/>
        <v>100</v>
      </c>
      <c r="V33" s="774" t="s">
        <v>17</v>
      </c>
      <c r="W33" s="775">
        <f t="shared" si="14"/>
        <v>100</v>
      </c>
      <c r="X33" s="1804"/>
      <c r="Y33" s="3234"/>
      <c r="Z33" s="1805" t="str">
        <f t="shared" si="15"/>
        <v>是否直接入户</v>
      </c>
      <c r="AA33" s="1802">
        <f t="shared" si="3"/>
        <v>1</v>
      </c>
      <c r="AB33" s="1802">
        <f t="shared" si="4"/>
        <v>1</v>
      </c>
      <c r="AC33" s="1802">
        <f t="shared" si="5"/>
        <v>1</v>
      </c>
    </row>
    <row r="34" spans="1:29" ht="15">
      <c r="A34" s="656"/>
      <c r="B34" s="2988"/>
      <c r="C34" s="2985"/>
      <c r="D34" s="435">
        <v>100</v>
      </c>
      <c r="E34" s="2985"/>
      <c r="F34" s="461">
        <f>SUMIF(97:97,E34,98:98)-SUMIF(97:97,C34,98:98)+100</f>
        <v>100</v>
      </c>
      <c r="G34" s="2985"/>
      <c r="H34" s="435">
        <f>SUMIF(97:97,G34,98:98)-SUMIF(97:97,C34,98:98)+100</f>
        <v>100</v>
      </c>
      <c r="I34" s="2985"/>
      <c r="J34" s="435">
        <f>SUMIF(97:97,I34,98:98)-SUMIF(97:97,C34,98:98)+100</f>
        <v>100</v>
      </c>
      <c r="K34" s="613"/>
      <c r="L34" s="1140"/>
      <c r="M34" s="1131"/>
      <c r="N34" s="1131"/>
      <c r="O34" s="1131"/>
      <c r="P34" s="3234"/>
      <c r="Q34" s="1801">
        <f t="shared" si="11"/>
        <v>0</v>
      </c>
      <c r="R34" s="774" t="s">
        <v>17</v>
      </c>
      <c r="S34" s="775">
        <f t="shared" si="12"/>
        <v>100</v>
      </c>
      <c r="T34" s="774" t="s">
        <v>17</v>
      </c>
      <c r="U34" s="775">
        <f t="shared" si="13"/>
        <v>100</v>
      </c>
      <c r="V34" s="774" t="s">
        <v>17</v>
      </c>
      <c r="W34" s="775">
        <f t="shared" si="14"/>
        <v>100</v>
      </c>
      <c r="X34" s="1804"/>
      <c r="Y34" s="3234"/>
      <c r="Z34" s="1805">
        <f t="shared" si="15"/>
        <v>0</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4"/>
      <c r="Q36" s="1801">
        <f t="shared" si="11"/>
        <v>111</v>
      </c>
      <c r="R36" s="774" t="s">
        <v>17</v>
      </c>
      <c r="S36" s="775">
        <f t="shared" si="12"/>
        <v>100</v>
      </c>
      <c r="T36" s="774" t="s">
        <v>17</v>
      </c>
      <c r="U36" s="775">
        <f t="shared" si="13"/>
        <v>100</v>
      </c>
      <c r="V36" s="774" t="s">
        <v>17</v>
      </c>
      <c r="W36" s="775">
        <f t="shared" si="14"/>
        <v>100</v>
      </c>
      <c r="X36" s="1804"/>
      <c r="Y36" s="3234"/>
      <c r="Z36" s="1805">
        <f t="shared" si="15"/>
        <v>111</v>
      </c>
      <c r="AA36" s="1802">
        <f t="shared" si="3"/>
        <v>1</v>
      </c>
      <c r="AB36" s="1802">
        <f t="shared" si="4"/>
        <v>1</v>
      </c>
      <c r="AC36" s="1802">
        <f t="shared" si="5"/>
        <v>1</v>
      </c>
    </row>
    <row r="37" spans="1:29" ht="15">
      <c r="A37" s="479" t="s">
        <v>2717</v>
      </c>
      <c r="B37" s="2688" t="s">
        <v>3114</v>
      </c>
      <c r="C37" s="1407" t="s">
        <v>1</v>
      </c>
      <c r="D37" s="1408"/>
      <c r="E37" s="1409">
        <v>550000</v>
      </c>
      <c r="F37" s="1410"/>
      <c r="G37" s="1411">
        <f>E37</f>
        <v>550000</v>
      </c>
      <c r="H37" s="1412"/>
      <c r="I37" s="1409">
        <f>E37</f>
        <v>550000</v>
      </c>
      <c r="J37" s="1412"/>
      <c r="K37" s="619"/>
      <c r="L37" s="1143"/>
      <c r="M37" s="1144"/>
      <c r="N37" s="1131"/>
      <c r="O37" s="1144"/>
      <c r="P37" s="3236" t="str">
        <f>A37</f>
        <v>成交单价</v>
      </c>
      <c r="Q37" s="3236"/>
      <c r="R37" s="3237">
        <f>E37</f>
        <v>550000</v>
      </c>
      <c r="S37" s="3237"/>
      <c r="T37" s="3237">
        <f>G37</f>
        <v>550000</v>
      </c>
      <c r="U37" s="3237"/>
      <c r="V37" s="3237">
        <f>I37</f>
        <v>550000</v>
      </c>
      <c r="W37" s="3237"/>
      <c r="X37" s="759"/>
      <c r="Y37" s="781"/>
      <c r="Z37" s="759"/>
      <c r="AA37" s="759"/>
      <c r="AB37" s="759"/>
      <c r="AC37" s="759"/>
    </row>
    <row r="38" spans="1:29" ht="15.75" thickBot="1">
      <c r="A38" s="486" t="s">
        <v>2718</v>
      </c>
      <c r="B38" s="487" t="str">
        <f>B37</f>
        <v>元/车位</v>
      </c>
      <c r="C38" s="1413">
        <f>R39</f>
        <v>423077</v>
      </c>
      <c r="D38" s="1414"/>
      <c r="E38" s="1415">
        <f>R38</f>
        <v>423077</v>
      </c>
      <c r="F38" s="1415"/>
      <c r="G38" s="1413">
        <f>T38</f>
        <v>423077</v>
      </c>
      <c r="H38" s="1414"/>
      <c r="I38" s="1415">
        <f>V38</f>
        <v>423077</v>
      </c>
      <c r="J38" s="1414"/>
      <c r="K38" s="620"/>
      <c r="L38" s="1143"/>
      <c r="M38" s="1144"/>
      <c r="N38" s="1144"/>
      <c r="O38" s="1144"/>
      <c r="P38" s="3236" t="str">
        <f>A38</f>
        <v>比较价值（元/平方米）</v>
      </c>
      <c r="Q38" s="3236"/>
      <c r="R38" s="3237">
        <f>IF(F1="售价",ROUND(PRODUCT(R37,AA7:AA36),0),ROUND(PRODUCT(R37,AA7:AA36),1))</f>
        <v>423077</v>
      </c>
      <c r="S38" s="3237"/>
      <c r="T38" s="3237">
        <f>IF(F1="售价",ROUND(PRODUCT(T37,AB7:AB36),0),ROUND(PRODUCT(T37,AB7:AB36),1))</f>
        <v>423077</v>
      </c>
      <c r="U38" s="3237"/>
      <c r="V38" s="3237">
        <f>IF(F1="售价",ROUND(PRODUCT(V37,AC7:AC36),0),ROUND(PRODUCT(V37,AC7:AC36),1))</f>
        <v>423077</v>
      </c>
      <c r="W38" s="3237"/>
      <c r="X38" s="759"/>
      <c r="Y38" s="759"/>
      <c r="Z38" s="759"/>
      <c r="AA38" s="759"/>
      <c r="AB38" s="759"/>
      <c r="AC38" s="759"/>
    </row>
    <row r="39" spans="1:29" ht="15.75" thickBot="1">
      <c r="A39" s="492" t="s">
        <v>2719</v>
      </c>
      <c r="B39" s="493"/>
      <c r="C39" s="1417">
        <f>R39</f>
        <v>423077</v>
      </c>
      <c r="D39" s="1417"/>
      <c r="E39" s="1417"/>
      <c r="F39" s="1417"/>
      <c r="G39" s="1417"/>
      <c r="H39" s="1417"/>
      <c r="I39" s="1417"/>
      <c r="J39" s="1417"/>
      <c r="K39" s="621"/>
      <c r="L39" s="1143"/>
      <c r="M39" s="1144"/>
      <c r="N39" s="1144"/>
      <c r="O39" s="1144"/>
      <c r="P39" s="3271" t="str">
        <f>A39</f>
        <v>估价对象XX用房的比较价值（楼面单价，元/平方米）</v>
      </c>
      <c r="Q39" s="3272"/>
      <c r="R39" s="3273">
        <f>IF(F1="售价",ROUND(AVERAGE(R38:V38),0),ROUND(AVERAGE(R38:V38),1))</f>
        <v>423077</v>
      </c>
      <c r="S39" s="3273"/>
      <c r="T39" s="3273"/>
      <c r="U39" s="3273"/>
      <c r="V39" s="3273"/>
      <c r="W39" s="327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f>IF(E37&lt;E38,E38/E37-1,E37/E38-1)</f>
        <v>0.29999976363640668</v>
      </c>
      <c r="F42" s="500" t="str">
        <f>IF(OR(E42&gt;=0.3,E42&lt;=-0.3),"超过30%","")</f>
        <v/>
      </c>
      <c r="G42" s="499">
        <f>IF(G37&lt;G38,G38/G37-1,G37/G38-1)</f>
        <v>0.29999976363640668</v>
      </c>
      <c r="H42" s="500" t="str">
        <f>IF(OR(G42&gt;=0.3,G42&lt;=-0.3),"超过30%","")</f>
        <v/>
      </c>
      <c r="I42" s="499">
        <f>IF(I37&lt;I38,I38/I37-1,I37/I38-1)</f>
        <v>0.29999976363640668</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2020-7</v>
      </c>
      <c r="D48" s="1574">
        <f>EDATE(C48,-1)</f>
        <v>43983</v>
      </c>
      <c r="E48" s="1574">
        <f t="shared" ref="E48:O48" si="16">EDATE(D48,-1)</f>
        <v>43952</v>
      </c>
      <c r="F48" s="1574">
        <f t="shared" si="16"/>
        <v>43922</v>
      </c>
      <c r="G48" s="1574">
        <f t="shared" si="16"/>
        <v>43891</v>
      </c>
      <c r="H48" s="1574">
        <f t="shared" si="16"/>
        <v>43862</v>
      </c>
      <c r="I48" s="1574">
        <f t="shared" si="16"/>
        <v>43831</v>
      </c>
      <c r="J48" s="1574">
        <f t="shared" si="16"/>
        <v>43800</v>
      </c>
      <c r="K48" s="1574">
        <f t="shared" si="16"/>
        <v>43770</v>
      </c>
      <c r="L48" s="1574">
        <f t="shared" si="16"/>
        <v>43739</v>
      </c>
      <c r="M48" s="1574">
        <f t="shared" si="16"/>
        <v>43709</v>
      </c>
      <c r="N48" s="1574">
        <f t="shared" si="16"/>
        <v>43678</v>
      </c>
      <c r="O48" s="1574">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2726</v>
      </c>
      <c r="C79" s="529" t="str">
        <f>C26</f>
        <v>办公</v>
      </c>
      <c r="D79" s="2982" t="s">
        <v>3120</v>
      </c>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130</v>
      </c>
      <c r="E80" s="544">
        <f t="shared" si="17"/>
        <v>160</v>
      </c>
      <c r="F80" s="544">
        <f t="shared" si="17"/>
        <v>190</v>
      </c>
      <c r="G80" s="544">
        <f t="shared" si="17"/>
        <v>220</v>
      </c>
      <c r="H80" s="544">
        <f t="shared" si="17"/>
        <v>250</v>
      </c>
      <c r="I80" s="544">
        <f t="shared" si="17"/>
        <v>280</v>
      </c>
      <c r="J80" s="544">
        <f t="shared" si="17"/>
        <v>310</v>
      </c>
      <c r="K80" s="544">
        <f t="shared" si="17"/>
        <v>340</v>
      </c>
      <c r="L80" s="544">
        <f t="shared" si="17"/>
        <v>370</v>
      </c>
      <c r="M80" s="545">
        <f t="shared" si="17"/>
        <v>400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0</v>
      </c>
      <c r="C97" s="2989" t="s">
        <v>3116</v>
      </c>
      <c r="D97" s="2989" t="s">
        <v>3117</v>
      </c>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v>100</v>
      </c>
      <c r="D98" s="536">
        <v>70</v>
      </c>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77"/>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193" t="s">
        <v>2546</v>
      </c>
      <c r="Q7" s="3226"/>
      <c r="R7" s="770" t="s">
        <v>17</v>
      </c>
      <c r="S7" s="771">
        <f t="shared" ref="S7:S14" si="0">F7</f>
        <v>0</v>
      </c>
      <c r="T7" s="770" t="s">
        <v>17</v>
      </c>
      <c r="U7" s="771">
        <f t="shared" ref="U7:U14" si="1">H7</f>
        <v>0</v>
      </c>
      <c r="V7" s="770" t="s">
        <v>17</v>
      </c>
      <c r="W7" s="771">
        <f t="shared" ref="W7:W14" si="2">J7</f>
        <v>0</v>
      </c>
      <c r="X7" s="772"/>
      <c r="Y7" s="3193" t="s">
        <v>2546</v>
      </c>
      <c r="Z7" s="319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6" t="s">
        <v>2552</v>
      </c>
      <c r="Q9" s="1786" t="str">
        <f t="shared" ref="Q9:Q14" si="6">B9</f>
        <v>用途</v>
      </c>
      <c r="R9" s="770" t="s">
        <v>17</v>
      </c>
      <c r="S9" s="771">
        <f t="shared" si="0"/>
        <v>100</v>
      </c>
      <c r="T9" s="770" t="s">
        <v>17</v>
      </c>
      <c r="U9" s="771">
        <f t="shared" si="1"/>
        <v>100</v>
      </c>
      <c r="V9" s="770" t="s">
        <v>17</v>
      </c>
      <c r="W9" s="771">
        <f t="shared" si="2"/>
        <v>100</v>
      </c>
      <c r="X9" s="772"/>
      <c r="Y9" s="3060"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6"/>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6"/>
      <c r="Q11" s="1786">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85.5">
      <c r="A14" s="440" t="s">
        <v>2556</v>
      </c>
      <c r="B14" s="69" t="s">
        <v>2706</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9" t="s">
        <v>2557</v>
      </c>
      <c r="Q14" s="1801" t="str">
        <f t="shared" si="6"/>
        <v>交通便捷度</v>
      </c>
      <c r="R14" s="774" t="s">
        <v>17</v>
      </c>
      <c r="S14" s="775">
        <f t="shared" si="0"/>
        <v>100</v>
      </c>
      <c r="T14" s="774" t="s">
        <v>17</v>
      </c>
      <c r="U14" s="775">
        <f t="shared" si="1"/>
        <v>100</v>
      </c>
      <c r="V14" s="774" t="s">
        <v>17</v>
      </c>
      <c r="W14" s="775">
        <f t="shared" si="2"/>
        <v>100</v>
      </c>
      <c r="X14" s="1804"/>
      <c r="Y14" s="3229" t="s">
        <v>2557</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0"/>
      <c r="Q15" s="1801"/>
      <c r="R15" s="774"/>
      <c r="S15" s="775"/>
      <c r="T15" s="774"/>
      <c r="U15" s="775"/>
      <c r="V15" s="774"/>
      <c r="W15" s="775"/>
      <c r="X15" s="1804"/>
      <c r="Y15" s="3230"/>
      <c r="Z15" s="1805"/>
      <c r="AA15" s="1802">
        <v>1</v>
      </c>
      <c r="AB15" s="1802">
        <v>1</v>
      </c>
      <c r="AC15" s="1802">
        <v>1</v>
      </c>
    </row>
    <row r="16" spans="1:29" ht="42.75">
      <c r="A16" s="428"/>
      <c r="B16" s="451" t="s">
        <v>2685</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0"/>
      <c r="Q16" s="1801" t="str">
        <f>B16</f>
        <v>公共配套设施</v>
      </c>
      <c r="R16" s="774" t="s">
        <v>17</v>
      </c>
      <c r="S16" s="775">
        <f>F16</f>
        <v>100</v>
      </c>
      <c r="T16" s="774" t="s">
        <v>17</v>
      </c>
      <c r="U16" s="775">
        <f>H16</f>
        <v>100</v>
      </c>
      <c r="V16" s="774" t="s">
        <v>17</v>
      </c>
      <c r="W16" s="775">
        <f>J16</f>
        <v>100</v>
      </c>
      <c r="X16" s="1804"/>
      <c r="Y16" s="3230"/>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30"/>
      <c r="Q17" s="1801"/>
      <c r="R17" s="774"/>
      <c r="S17" s="775"/>
      <c r="T17" s="774"/>
      <c r="U17" s="775"/>
      <c r="V17" s="774"/>
      <c r="W17" s="775"/>
      <c r="X17" s="1804"/>
      <c r="Y17" s="3230"/>
      <c r="Z17" s="1805"/>
      <c r="AA17" s="1802">
        <v>1</v>
      </c>
      <c r="AB17" s="1802">
        <v>1</v>
      </c>
      <c r="AC17" s="1802">
        <v>1</v>
      </c>
    </row>
    <row r="18" spans="1:29" ht="28.5">
      <c r="A18" s="428"/>
      <c r="B18" s="1384" t="s">
        <v>2686</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0"/>
      <c r="Q18" s="1801" t="str">
        <f>B18</f>
        <v>基础设施水平</v>
      </c>
      <c r="R18" s="774" t="s">
        <v>17</v>
      </c>
      <c r="S18" s="775">
        <f>F18</f>
        <v>100</v>
      </c>
      <c r="T18" s="774" t="s">
        <v>17</v>
      </c>
      <c r="U18" s="775">
        <f>H18</f>
        <v>100</v>
      </c>
      <c r="V18" s="774" t="s">
        <v>17</v>
      </c>
      <c r="W18" s="775">
        <f>J18</f>
        <v>100</v>
      </c>
      <c r="X18" s="1804"/>
      <c r="Y18" s="3230"/>
      <c r="Z18" s="1805" t="str">
        <f>Q18</f>
        <v>基础设施水平</v>
      </c>
      <c r="AA18" s="1802">
        <f t="shared" ref="AA18" si="8">D18/F18</f>
        <v>1</v>
      </c>
      <c r="AB18" s="1802">
        <f t="shared" ref="AB18" si="9">D18/H18</f>
        <v>1</v>
      </c>
      <c r="AC18" s="1802">
        <f t="shared" ref="AC18" si="10">D18/J18</f>
        <v>1</v>
      </c>
    </row>
    <row r="19" spans="1:29" ht="15">
      <c r="A19" s="428"/>
      <c r="B19" s="1384"/>
      <c r="C19" s="2601"/>
      <c r="D19" s="450"/>
      <c r="E19" s="2601"/>
      <c r="F19" s="453"/>
      <c r="G19" s="2601"/>
      <c r="H19" s="448"/>
      <c r="I19" s="447"/>
      <c r="J19" s="448"/>
      <c r="K19" s="1383"/>
      <c r="L19" s="1140"/>
      <c r="M19" s="1131"/>
      <c r="N19" s="1131"/>
      <c r="O19" s="1139"/>
      <c r="P19" s="3230"/>
      <c r="Q19" s="1801"/>
      <c r="R19" s="774"/>
      <c r="S19" s="775"/>
      <c r="T19" s="774"/>
      <c r="U19" s="775"/>
      <c r="V19" s="774"/>
      <c r="W19" s="775"/>
      <c r="X19" s="1804"/>
      <c r="Y19" s="3230"/>
      <c r="Z19" s="1805"/>
      <c r="AA19" s="1802">
        <v>1</v>
      </c>
      <c r="AB19" s="1802">
        <v>1</v>
      </c>
      <c r="AC19" s="1802">
        <v>1</v>
      </c>
    </row>
    <row r="20" spans="1:29" ht="57">
      <c r="A20" s="428"/>
      <c r="B20" s="451" t="s">
        <v>2707</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0"/>
      <c r="Q20" s="1801" t="str">
        <f>B20</f>
        <v>自然及人文环境</v>
      </c>
      <c r="R20" s="774" t="s">
        <v>17</v>
      </c>
      <c r="S20" s="775">
        <f>F20</f>
        <v>100</v>
      </c>
      <c r="T20" s="774" t="s">
        <v>17</v>
      </c>
      <c r="U20" s="775">
        <f>H20</f>
        <v>100</v>
      </c>
      <c r="V20" s="774" t="s">
        <v>17</v>
      </c>
      <c r="W20" s="775">
        <f>J20</f>
        <v>100</v>
      </c>
      <c r="X20" s="1804"/>
      <c r="Y20" s="3230"/>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0"/>
      <c r="Q21" s="1801"/>
      <c r="R21" s="774"/>
      <c r="S21" s="775"/>
      <c r="T21" s="774"/>
      <c r="U21" s="775"/>
      <c r="V21" s="774"/>
      <c r="W21" s="775"/>
      <c r="X21" s="1804"/>
      <c r="Y21" s="3230"/>
      <c r="Z21" s="1805"/>
      <c r="AA21" s="1802">
        <v>1</v>
      </c>
      <c r="AB21" s="1802">
        <v>1</v>
      </c>
      <c r="AC21" s="180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0"/>
      <c r="Q22" s="1801" t="str">
        <f>B22</f>
        <v>楼层</v>
      </c>
      <c r="R22" s="774" t="s">
        <v>17</v>
      </c>
      <c r="S22" s="775">
        <f>F22</f>
        <v>100</v>
      </c>
      <c r="T22" s="774" t="s">
        <v>17</v>
      </c>
      <c r="U22" s="775">
        <f>H22</f>
        <v>100</v>
      </c>
      <c r="V22" s="774" t="s">
        <v>17</v>
      </c>
      <c r="W22" s="775">
        <f>J22</f>
        <v>100</v>
      </c>
      <c r="X22" s="1804"/>
      <c r="Y22" s="3230"/>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0"/>
      <c r="Q23" s="1801">
        <f>B23</f>
        <v>111</v>
      </c>
      <c r="R23" s="774" t="s">
        <v>17</v>
      </c>
      <c r="S23" s="775">
        <f>F23</f>
        <v>100</v>
      </c>
      <c r="T23" s="774" t="s">
        <v>17</v>
      </c>
      <c r="U23" s="775">
        <f>H23</f>
        <v>100</v>
      </c>
      <c r="V23" s="774" t="s">
        <v>17</v>
      </c>
      <c r="W23" s="775">
        <f>J23</f>
        <v>100</v>
      </c>
      <c r="X23" s="1804"/>
      <c r="Y23" s="3230"/>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0"/>
      <c r="Q24" s="1801">
        <f t="shared" ref="Q24:Q34" si="11">B24</f>
        <v>111</v>
      </c>
      <c r="R24" s="774" t="s">
        <v>17</v>
      </c>
      <c r="S24" s="775">
        <f>F24</f>
        <v>100</v>
      </c>
      <c r="T24" s="774" t="s">
        <v>17</v>
      </c>
      <c r="U24" s="775">
        <f>H24</f>
        <v>100</v>
      </c>
      <c r="V24" s="774" t="s">
        <v>17</v>
      </c>
      <c r="W24" s="775">
        <f>J24</f>
        <v>100</v>
      </c>
      <c r="X24" s="1804"/>
      <c r="Y24" s="3230"/>
      <c r="Z24" s="1805">
        <f>Q24</f>
        <v>111</v>
      </c>
      <c r="AA24" s="1802">
        <f t="shared" si="3"/>
        <v>1</v>
      </c>
      <c r="AB24" s="1802">
        <f t="shared" si="4"/>
        <v>1</v>
      </c>
      <c r="AC24" s="1802">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30"/>
      <c r="Q25" s="1786">
        <f t="shared" si="11"/>
        <v>111</v>
      </c>
      <c r="R25" s="770" t="s">
        <v>17</v>
      </c>
      <c r="S25" s="771">
        <f>F25</f>
        <v>100</v>
      </c>
      <c r="T25" s="770" t="s">
        <v>17</v>
      </c>
      <c r="U25" s="771">
        <f>H25</f>
        <v>100</v>
      </c>
      <c r="V25" s="770" t="s">
        <v>17</v>
      </c>
      <c r="W25" s="771">
        <f>J25</f>
        <v>100</v>
      </c>
      <c r="X25" s="772"/>
      <c r="Y25" s="3230"/>
      <c r="Z25" s="55">
        <f>Q25</f>
        <v>111</v>
      </c>
      <c r="AA25" s="1802">
        <f>D25/F25</f>
        <v>1</v>
      </c>
      <c r="AB25" s="1802">
        <f>D25/H25</f>
        <v>1</v>
      </c>
      <c r="AC25" s="1802">
        <f>D25/J25</f>
        <v>1</v>
      </c>
    </row>
    <row r="26" spans="1:29" ht="28.5">
      <c r="A26" s="466" t="s">
        <v>2560</v>
      </c>
      <c r="B26" s="71" t="s">
        <v>2711</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74" t="s">
        <v>2562</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34" t="s">
        <v>2562</v>
      </c>
      <c r="Z26" s="1805" t="str">
        <f t="shared" ref="Z26:Z34" si="15">Q26</f>
        <v>公共部分装修</v>
      </c>
      <c r="AA26" s="1802">
        <f t="shared" si="3"/>
        <v>1</v>
      </c>
      <c r="AB26" s="1802">
        <f t="shared" si="4"/>
        <v>1</v>
      </c>
      <c r="AC26" s="180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02" t="e">
        <f t="shared" si="3"/>
        <v>#N/A</v>
      </c>
      <c r="AB27" s="1802" t="e">
        <f t="shared" si="4"/>
        <v>#N/A</v>
      </c>
      <c r="AC27" s="180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4"/>
      <c r="Q28" s="1801" t="str">
        <f t="shared" si="11"/>
        <v>物业等级</v>
      </c>
      <c r="R28" s="774" t="s">
        <v>17</v>
      </c>
      <c r="S28" s="775">
        <f t="shared" si="12"/>
        <v>100</v>
      </c>
      <c r="T28" s="774" t="s">
        <v>17</v>
      </c>
      <c r="U28" s="775">
        <f t="shared" si="13"/>
        <v>100</v>
      </c>
      <c r="V28" s="774" t="s">
        <v>17</v>
      </c>
      <c r="W28" s="775">
        <f t="shared" si="14"/>
        <v>100</v>
      </c>
      <c r="X28" s="1804"/>
      <c r="Y28" s="3234"/>
      <c r="Z28" s="1805" t="str">
        <f t="shared" si="15"/>
        <v>物业等级</v>
      </c>
      <c r="AA28" s="1802">
        <f t="shared" si="3"/>
        <v>1</v>
      </c>
      <c r="AB28" s="1802">
        <f t="shared" si="4"/>
        <v>1</v>
      </c>
      <c r="AC28" s="1802">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4"/>
      <c r="Q29" s="1801" t="str">
        <f t="shared" si="11"/>
        <v>有无电梯</v>
      </c>
      <c r="R29" s="774" t="s">
        <v>17</v>
      </c>
      <c r="S29" s="775">
        <f t="shared" si="12"/>
        <v>100</v>
      </c>
      <c r="T29" s="774" t="s">
        <v>17</v>
      </c>
      <c r="U29" s="775">
        <f t="shared" si="13"/>
        <v>100</v>
      </c>
      <c r="V29" s="774" t="s">
        <v>17</v>
      </c>
      <c r="W29" s="775">
        <f t="shared" si="14"/>
        <v>100</v>
      </c>
      <c r="X29" s="1804"/>
      <c r="Y29" s="3234"/>
      <c r="Z29" s="1805" t="str">
        <f t="shared" si="15"/>
        <v>有无电梯</v>
      </c>
      <c r="AA29" s="1802">
        <f t="shared" si="3"/>
        <v>1</v>
      </c>
      <c r="AB29" s="1802">
        <f t="shared" si="4"/>
        <v>1</v>
      </c>
      <c r="AC29" s="1802">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4"/>
      <c r="Q30" s="1801" t="str">
        <f t="shared" si="11"/>
        <v>建筑面积</v>
      </c>
      <c r="R30" s="774" t="s">
        <v>17</v>
      </c>
      <c r="S30" s="775" t="e">
        <f t="shared" si="12"/>
        <v>#N/A</v>
      </c>
      <c r="T30" s="774" t="s">
        <v>17</v>
      </c>
      <c r="U30" s="775" t="e">
        <f t="shared" si="13"/>
        <v>#N/A</v>
      </c>
      <c r="V30" s="774" t="s">
        <v>17</v>
      </c>
      <c r="W30" s="775" t="e">
        <f t="shared" si="14"/>
        <v>#N/A</v>
      </c>
      <c r="X30" s="1804"/>
      <c r="Y30" s="3234"/>
      <c r="Z30" s="1805" t="str">
        <f t="shared" si="15"/>
        <v>建筑面积</v>
      </c>
      <c r="AA30" s="1802" t="e">
        <f t="shared" si="3"/>
        <v>#N/A</v>
      </c>
      <c r="AB30" s="1802" t="e">
        <f t="shared" si="4"/>
        <v>#N/A</v>
      </c>
      <c r="AC30" s="1802"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4"/>
      <c r="Q31" s="1786"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4" t="s">
        <v>2562</v>
      </c>
      <c r="Q32" s="1801">
        <f t="shared" si="11"/>
        <v>111</v>
      </c>
      <c r="R32" s="774" t="s">
        <v>17</v>
      </c>
      <c r="S32" s="775">
        <f t="shared" si="12"/>
        <v>100</v>
      </c>
      <c r="T32" s="774" t="s">
        <v>17</v>
      </c>
      <c r="U32" s="775">
        <f t="shared" si="13"/>
        <v>100</v>
      </c>
      <c r="V32" s="774" t="s">
        <v>17</v>
      </c>
      <c r="W32" s="775">
        <f t="shared" si="14"/>
        <v>100</v>
      </c>
      <c r="X32" s="1804"/>
      <c r="Y32" s="3234" t="s">
        <v>2562</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4"/>
      <c r="Q33" s="1801">
        <f t="shared" si="11"/>
        <v>111</v>
      </c>
      <c r="R33" s="774" t="s">
        <v>17</v>
      </c>
      <c r="S33" s="775">
        <f t="shared" si="12"/>
        <v>100</v>
      </c>
      <c r="T33" s="774" t="s">
        <v>17</v>
      </c>
      <c r="U33" s="775">
        <f t="shared" si="13"/>
        <v>100</v>
      </c>
      <c r="V33" s="774" t="s">
        <v>17</v>
      </c>
      <c r="W33" s="775">
        <f t="shared" si="14"/>
        <v>100</v>
      </c>
      <c r="X33" s="1804"/>
      <c r="Y33" s="3234"/>
      <c r="Z33" s="1805">
        <f t="shared" si="15"/>
        <v>111</v>
      </c>
      <c r="AA33" s="1802">
        <f t="shared" si="3"/>
        <v>1</v>
      </c>
      <c r="AB33" s="1802">
        <f t="shared" si="4"/>
        <v>1</v>
      </c>
      <c r="AC33" s="1802">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34"/>
      <c r="Q34" s="1801">
        <f t="shared" si="11"/>
        <v>111</v>
      </c>
      <c r="R34" s="774" t="s">
        <v>17</v>
      </c>
      <c r="S34" s="775">
        <f t="shared" si="12"/>
        <v>100</v>
      </c>
      <c r="T34" s="774" t="s">
        <v>17</v>
      </c>
      <c r="U34" s="775">
        <f t="shared" si="13"/>
        <v>100</v>
      </c>
      <c r="V34" s="774" t="s">
        <v>17</v>
      </c>
      <c r="W34" s="775">
        <f t="shared" si="14"/>
        <v>100</v>
      </c>
      <c r="X34" s="1804"/>
      <c r="Y34" s="3234"/>
      <c r="Z34" s="1805">
        <f t="shared" si="15"/>
        <v>111</v>
      </c>
      <c r="AA34" s="1802">
        <f t="shared" si="3"/>
        <v>1</v>
      </c>
      <c r="AB34" s="1802">
        <f t="shared" si="4"/>
        <v>1</v>
      </c>
      <c r="AC34" s="1802">
        <f t="shared" si="5"/>
        <v>1</v>
      </c>
    </row>
    <row r="35" spans="1:29" ht="15">
      <c r="A35" s="479" t="s">
        <v>2574</v>
      </c>
      <c r="B35" s="480"/>
      <c r="C35" s="1407" t="s">
        <v>1</v>
      </c>
      <c r="D35" s="1408"/>
      <c r="E35" s="1409"/>
      <c r="F35" s="1410"/>
      <c r="G35" s="1411"/>
      <c r="H35" s="1412"/>
      <c r="I35" s="1409"/>
      <c r="J35" s="1412"/>
      <c r="K35" s="783"/>
      <c r="L35" s="1143"/>
      <c r="M35" s="1144"/>
      <c r="N35" s="1131"/>
      <c r="O35" s="1144"/>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71" t="str">
        <f>A37</f>
        <v>估价对象XX用房的比较价值（楼面单价，元/平方米）</v>
      </c>
      <c r="Q37" s="3272"/>
      <c r="R37" s="3273" t="e">
        <f>IF(F1="售价",ROUND(AVERAGE(R36:V36),0),ROUND(AVERAGE(R36:V36),1))</f>
        <v>#DIV/0!</v>
      </c>
      <c r="S37" s="3273"/>
      <c r="T37" s="3273"/>
      <c r="U37" s="3273"/>
      <c r="V37" s="3273"/>
      <c r="W37" s="327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2020-7</v>
      </c>
      <c r="D46" s="1574">
        <f>EDATE(C46,-1)</f>
        <v>43983</v>
      </c>
      <c r="E46" s="1574">
        <f t="shared" ref="E46:O46" si="16">EDATE(D46,-1)</f>
        <v>43952</v>
      </c>
      <c r="F46" s="1574">
        <f t="shared" si="16"/>
        <v>43922</v>
      </c>
      <c r="G46" s="1574">
        <f t="shared" si="16"/>
        <v>43891</v>
      </c>
      <c r="H46" s="1574">
        <f t="shared" si="16"/>
        <v>43862</v>
      </c>
      <c r="I46" s="1574">
        <f t="shared" si="16"/>
        <v>43831</v>
      </c>
      <c r="J46" s="1574">
        <f t="shared" si="16"/>
        <v>43800</v>
      </c>
      <c r="K46" s="1574">
        <f t="shared" si="16"/>
        <v>43770</v>
      </c>
      <c r="L46" s="1574">
        <f t="shared" si="16"/>
        <v>43739</v>
      </c>
      <c r="M46" s="1574">
        <f t="shared" si="16"/>
        <v>43709</v>
      </c>
      <c r="N46" s="1574">
        <f t="shared" si="16"/>
        <v>43678</v>
      </c>
      <c r="O46" s="1574">
        <f t="shared" si="16"/>
        <v>43647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30"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30"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192"/>
      <c r="AC6" s="3192"/>
    </row>
    <row r="7" spans="1:30" s="117" customFormat="1" ht="15.75" thickBot="1">
      <c r="A7" s="408" t="s">
        <v>2545</v>
      </c>
      <c r="B7" s="409"/>
      <c r="C7" s="410">
        <f>'数据-取费表'!B2</f>
        <v>44020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193" t="s">
        <v>2546</v>
      </c>
      <c r="Q7" s="322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45" si="3">D8/F8</f>
        <v>#DIV/0!</v>
      </c>
      <c r="AB8" s="773" t="e">
        <f t="shared" ref="AB8:AB45" si="4">D8/H8</f>
        <v>#DIV/0!</v>
      </c>
      <c r="AC8" s="773" t="e">
        <f t="shared" ref="AC8:AC45" si="5">D8/J8</f>
        <v>#DIV/0!</v>
      </c>
    </row>
    <row r="9" spans="1:30" s="117" customFormat="1">
      <c r="A9" s="415" t="s">
        <v>2550</v>
      </c>
      <c r="B9" s="71" t="s">
        <v>2551</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36"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236"/>
      <c r="Q10" s="1786" t="str">
        <f t="shared" si="6"/>
        <v>土地使用年限（年）</v>
      </c>
      <c r="R10" s="770" t="s">
        <v>17</v>
      </c>
      <c r="S10" s="771">
        <f t="shared" si="0"/>
        <v>115</v>
      </c>
      <c r="T10" s="770" t="s">
        <v>17</v>
      </c>
      <c r="U10" s="771">
        <f t="shared" si="1"/>
        <v>115</v>
      </c>
      <c r="V10" s="770" t="s">
        <v>17</v>
      </c>
      <c r="W10" s="771">
        <f t="shared" si="2"/>
        <v>115</v>
      </c>
      <c r="X10" s="772"/>
      <c r="Y10" s="3060"/>
      <c r="Z10" s="55" t="str">
        <f t="shared" si="7"/>
        <v>土地使用年限（年）</v>
      </c>
      <c r="AA10" s="773">
        <f t="shared" si="3"/>
        <v>0.86956521739130432</v>
      </c>
      <c r="AB10" s="773">
        <f t="shared" si="4"/>
        <v>0.86956521739130432</v>
      </c>
      <c r="AC10" s="773">
        <f t="shared" si="5"/>
        <v>0.86956521739130432</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6"/>
      <c r="Q11" s="1786"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30" s="117" customFormat="1" ht="15">
      <c r="A12" s="431"/>
      <c r="B12" s="2593"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6"/>
      <c r="Q12" s="1786" t="str">
        <f t="shared" si="6"/>
        <v>配建</v>
      </c>
      <c r="R12" s="770" t="s">
        <v>17</v>
      </c>
      <c r="S12" s="771">
        <f t="shared" si="0"/>
        <v>100</v>
      </c>
      <c r="T12" s="770" t="s">
        <v>17</v>
      </c>
      <c r="U12" s="771">
        <f t="shared" si="1"/>
        <v>100</v>
      </c>
      <c r="V12" s="770" t="s">
        <v>17</v>
      </c>
      <c r="W12" s="771">
        <f t="shared" si="2"/>
        <v>100</v>
      </c>
      <c r="X12" s="772"/>
      <c r="Y12" s="3060"/>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60"/>
      <c r="Z14" s="55">
        <f t="shared" si="7"/>
        <v>111</v>
      </c>
      <c r="AA14" s="773">
        <f>D14/F14</f>
        <v>1</v>
      </c>
      <c r="AB14" s="773">
        <f>D14/H14</f>
        <v>1</v>
      </c>
      <c r="AC14" s="773">
        <f>D14/J14</f>
        <v>1</v>
      </c>
    </row>
    <row r="15" spans="1:30" ht="99.75">
      <c r="A15" s="440" t="s">
        <v>2556</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9" t="s">
        <v>2557</v>
      </c>
      <c r="Q15" s="1801" t="str">
        <f t="shared" si="6"/>
        <v>居住社区成熟度</v>
      </c>
      <c r="R15" s="774" t="s">
        <v>17</v>
      </c>
      <c r="S15" s="775">
        <f t="shared" si="0"/>
        <v>100</v>
      </c>
      <c r="T15" s="774" t="s">
        <v>17</v>
      </c>
      <c r="U15" s="775">
        <f t="shared" si="1"/>
        <v>100</v>
      </c>
      <c r="V15" s="774" t="s">
        <v>17</v>
      </c>
      <c r="W15" s="775">
        <f t="shared" si="2"/>
        <v>100</v>
      </c>
      <c r="X15" s="1804"/>
      <c r="Y15" s="3229" t="s">
        <v>2557</v>
      </c>
      <c r="Z15" s="1805" t="str">
        <f t="shared" si="7"/>
        <v>居住社区成熟度</v>
      </c>
      <c r="AA15" s="1802">
        <f t="shared" si="3"/>
        <v>1</v>
      </c>
      <c r="AB15" s="1802">
        <f t="shared" si="4"/>
        <v>1</v>
      </c>
      <c r="AC15" s="1802">
        <f t="shared" si="5"/>
        <v>1</v>
      </c>
    </row>
    <row r="16" spans="1:30" ht="15">
      <c r="A16" s="428"/>
      <c r="B16" s="446"/>
      <c r="C16" s="447"/>
      <c r="D16" s="448"/>
      <c r="E16" s="2598"/>
      <c r="F16" s="448"/>
      <c r="G16" s="2598"/>
      <c r="H16" s="450"/>
      <c r="I16" s="2597"/>
      <c r="J16" s="448"/>
      <c r="K16" s="672"/>
      <c r="L16" s="1140"/>
      <c r="M16" s="1131"/>
      <c r="N16" s="1131"/>
      <c r="O16" s="1139"/>
      <c r="P16" s="3230"/>
      <c r="Q16" s="1801"/>
      <c r="R16" s="774"/>
      <c r="S16" s="775"/>
      <c r="T16" s="774"/>
      <c r="U16" s="775"/>
      <c r="V16" s="774"/>
      <c r="W16" s="775"/>
      <c r="X16" s="1804"/>
      <c r="Y16" s="3230"/>
      <c r="Z16" s="1805"/>
      <c r="AA16" s="1802">
        <v>1</v>
      </c>
      <c r="AB16" s="1802">
        <v>1</v>
      </c>
      <c r="AC16" s="1802">
        <v>1</v>
      </c>
    </row>
    <row r="17" spans="1:29" ht="71.25">
      <c r="A17" s="428"/>
      <c r="B17" s="451" t="s">
        <v>2650</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0"/>
      <c r="Q17" s="1801" t="str">
        <f>B17</f>
        <v>商业繁华度</v>
      </c>
      <c r="R17" s="774" t="s">
        <v>17</v>
      </c>
      <c r="S17" s="775">
        <f>F17</f>
        <v>100</v>
      </c>
      <c r="T17" s="774" t="s">
        <v>17</v>
      </c>
      <c r="U17" s="775">
        <f>H17</f>
        <v>100</v>
      </c>
      <c r="V17" s="774" t="s">
        <v>17</v>
      </c>
      <c r="W17" s="775">
        <f>J17</f>
        <v>100</v>
      </c>
      <c r="X17" s="1804"/>
      <c r="Y17" s="3230"/>
      <c r="Z17" s="1805" t="str">
        <f>Q17</f>
        <v>商业繁华度</v>
      </c>
      <c r="AA17" s="1802">
        <f t="shared" si="3"/>
        <v>1</v>
      </c>
      <c r="AB17" s="1802">
        <f t="shared" si="4"/>
        <v>1</v>
      </c>
      <c r="AC17" s="1802">
        <f t="shared" si="5"/>
        <v>1</v>
      </c>
    </row>
    <row r="18" spans="1:29" ht="15">
      <c r="A18" s="428"/>
      <c r="B18" s="456"/>
      <c r="C18" s="2601"/>
      <c r="D18" s="450"/>
      <c r="E18" s="2603"/>
      <c r="F18" s="450"/>
      <c r="G18" s="2603"/>
      <c r="H18" s="448"/>
      <c r="I18" s="2602"/>
      <c r="J18" s="448"/>
      <c r="K18" s="672"/>
      <c r="L18" s="1140"/>
      <c r="M18" s="1131"/>
      <c r="N18" s="1131"/>
      <c r="O18" s="1139"/>
      <c r="P18" s="3230"/>
      <c r="Q18" s="1801"/>
      <c r="R18" s="774"/>
      <c r="S18" s="775"/>
      <c r="T18" s="774"/>
      <c r="U18" s="775"/>
      <c r="V18" s="774"/>
      <c r="W18" s="775"/>
      <c r="X18" s="1804"/>
      <c r="Y18" s="3230"/>
      <c r="Z18" s="1805"/>
      <c r="AA18" s="1802">
        <v>1</v>
      </c>
      <c r="AB18" s="1802">
        <v>1</v>
      </c>
      <c r="AC18" s="1802">
        <v>1</v>
      </c>
    </row>
    <row r="19" spans="1:29" ht="71.25">
      <c r="A19" s="428"/>
      <c r="B19" s="451" t="s">
        <v>2684</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0"/>
      <c r="Q19" s="1801" t="str">
        <f>B19</f>
        <v>办公集聚程度</v>
      </c>
      <c r="R19" s="774" t="s">
        <v>17</v>
      </c>
      <c r="S19" s="775">
        <f>F19</f>
        <v>100</v>
      </c>
      <c r="T19" s="774" t="s">
        <v>17</v>
      </c>
      <c r="U19" s="775">
        <f>H19</f>
        <v>100</v>
      </c>
      <c r="V19" s="774" t="s">
        <v>17</v>
      </c>
      <c r="W19" s="775">
        <f>J19</f>
        <v>100</v>
      </c>
      <c r="X19" s="1804"/>
      <c r="Y19" s="3230"/>
      <c r="Z19" s="1805" t="str">
        <f>Q19</f>
        <v>办公集聚程度</v>
      </c>
      <c r="AA19" s="1802">
        <f t="shared" si="3"/>
        <v>1</v>
      </c>
      <c r="AB19" s="1802">
        <f t="shared" si="4"/>
        <v>1</v>
      </c>
      <c r="AC19" s="1802">
        <f t="shared" si="5"/>
        <v>1</v>
      </c>
    </row>
    <row r="20" spans="1:29" ht="15">
      <c r="A20" s="428"/>
      <c r="B20" s="456"/>
      <c r="C20" s="447"/>
      <c r="D20" s="448"/>
      <c r="E20" s="2598"/>
      <c r="F20" s="448"/>
      <c r="G20" s="2598"/>
      <c r="H20" s="448"/>
      <c r="I20" s="2597"/>
      <c r="J20" s="448"/>
      <c r="K20" s="672"/>
      <c r="L20" s="1140"/>
      <c r="M20" s="1131"/>
      <c r="N20" s="1131"/>
      <c r="O20" s="1139"/>
      <c r="P20" s="3230"/>
      <c r="Q20" s="1801"/>
      <c r="R20" s="774"/>
      <c r="S20" s="775"/>
      <c r="T20" s="774"/>
      <c r="U20" s="775"/>
      <c r="V20" s="774"/>
      <c r="W20" s="775"/>
      <c r="X20" s="1804"/>
      <c r="Y20" s="3230"/>
      <c r="Z20" s="1805"/>
      <c r="AA20" s="1802">
        <v>1</v>
      </c>
      <c r="AB20" s="1802">
        <v>1</v>
      </c>
      <c r="AC20" s="1802">
        <v>1</v>
      </c>
    </row>
    <row r="21" spans="1:29" ht="85.5">
      <c r="A21" s="428"/>
      <c r="B21" s="451" t="s">
        <v>2706</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0"/>
      <c r="Q21" s="1801" t="str">
        <f>B21</f>
        <v>交通便捷度</v>
      </c>
      <c r="R21" s="774" t="s">
        <v>17</v>
      </c>
      <c r="S21" s="775">
        <f>F21</f>
        <v>100</v>
      </c>
      <c r="T21" s="774" t="s">
        <v>17</v>
      </c>
      <c r="U21" s="775">
        <f>H21</f>
        <v>100</v>
      </c>
      <c r="V21" s="774" t="s">
        <v>17</v>
      </c>
      <c r="W21" s="775">
        <f>J21</f>
        <v>100</v>
      </c>
      <c r="X21" s="1804"/>
      <c r="Y21" s="3230"/>
      <c r="Z21" s="1805" t="str">
        <f>Q21</f>
        <v>交通便捷度</v>
      </c>
      <c r="AA21" s="1802">
        <f t="shared" si="3"/>
        <v>1</v>
      </c>
      <c r="AB21" s="1802">
        <f t="shared" si="4"/>
        <v>1</v>
      </c>
      <c r="AC21" s="1802">
        <f t="shared" si="5"/>
        <v>1</v>
      </c>
    </row>
    <row r="22" spans="1:29" ht="15">
      <c r="A22" s="428"/>
      <c r="B22" s="1384"/>
      <c r="C22" s="447"/>
      <c r="D22" s="450"/>
      <c r="E22" s="2598"/>
      <c r="F22" s="448"/>
      <c r="G22" s="2598"/>
      <c r="H22" s="448"/>
      <c r="I22" s="2597"/>
      <c r="J22" s="448"/>
      <c r="K22" s="672"/>
      <c r="L22" s="1140"/>
      <c r="M22" s="1131"/>
      <c r="N22" s="1131"/>
      <c r="O22" s="1139"/>
      <c r="P22" s="3230"/>
      <c r="Q22" s="1801"/>
      <c r="R22" s="774"/>
      <c r="S22" s="775"/>
      <c r="T22" s="774"/>
      <c r="U22" s="775"/>
      <c r="V22" s="774"/>
      <c r="W22" s="775"/>
      <c r="X22" s="1804"/>
      <c r="Y22" s="3230"/>
      <c r="Z22" s="1805"/>
      <c r="AA22" s="1802">
        <v>1</v>
      </c>
      <c r="AB22" s="1802">
        <v>1</v>
      </c>
      <c r="AC22" s="1802">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0"/>
      <c r="Q23" s="1801" t="str">
        <f t="shared" ref="Q23:Q37" si="8">B23</f>
        <v>区域土地利用方向</v>
      </c>
      <c r="R23" s="774" t="s">
        <v>17</v>
      </c>
      <c r="S23" s="775">
        <f>F23</f>
        <v>100</v>
      </c>
      <c r="T23" s="774" t="s">
        <v>17</v>
      </c>
      <c r="U23" s="775">
        <f>H23</f>
        <v>100</v>
      </c>
      <c r="V23" s="774" t="s">
        <v>17</v>
      </c>
      <c r="W23" s="775">
        <f>J23</f>
        <v>100</v>
      </c>
      <c r="X23" s="1804"/>
      <c r="Y23" s="3230"/>
      <c r="Z23" s="1805" t="str">
        <f>Q23</f>
        <v>区域土地利用方向</v>
      </c>
      <c r="AA23" s="1802">
        <f t="shared" si="3"/>
        <v>1</v>
      </c>
      <c r="AB23" s="1802">
        <f t="shared" si="4"/>
        <v>1</v>
      </c>
      <c r="AC23" s="1802">
        <f t="shared" si="5"/>
        <v>1</v>
      </c>
    </row>
    <row r="24" spans="1:29" ht="15">
      <c r="A24" s="404"/>
      <c r="B24" s="456"/>
      <c r="C24" s="616"/>
      <c r="D24" s="448"/>
      <c r="E24" s="2598"/>
      <c r="F24" s="448"/>
      <c r="G24" s="2597"/>
      <c r="H24" s="448"/>
      <c r="I24" s="2597"/>
      <c r="J24" s="448"/>
      <c r="K24" s="812"/>
      <c r="L24" s="1140"/>
      <c r="M24" s="1131"/>
      <c r="N24" s="1131"/>
      <c r="O24" s="1139"/>
      <c r="P24" s="3230"/>
      <c r="Q24" s="1801"/>
      <c r="R24" s="774"/>
      <c r="S24" s="775"/>
      <c r="T24" s="774"/>
      <c r="U24" s="775"/>
      <c r="V24" s="774"/>
      <c r="W24" s="775"/>
      <c r="X24" s="1804"/>
      <c r="Y24" s="3230"/>
      <c r="Z24" s="1805"/>
      <c r="AA24" s="1802"/>
      <c r="AB24" s="1802"/>
      <c r="AC24" s="1802"/>
    </row>
    <row r="25" spans="1:29" ht="57">
      <c r="A25" s="404"/>
      <c r="B25" s="1384" t="s">
        <v>2745</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0"/>
      <c r="Q25" s="1801" t="str">
        <f t="shared" si="8"/>
        <v>自然及人文环境状况</v>
      </c>
      <c r="R25" s="774" t="s">
        <v>17</v>
      </c>
      <c r="S25" s="775">
        <f>F25</f>
        <v>100</v>
      </c>
      <c r="T25" s="774" t="s">
        <v>17</v>
      </c>
      <c r="U25" s="775">
        <f>H25</f>
        <v>100</v>
      </c>
      <c r="V25" s="774" t="s">
        <v>17</v>
      </c>
      <c r="W25" s="775">
        <f>J25</f>
        <v>100</v>
      </c>
      <c r="X25" s="1804"/>
      <c r="Y25" s="3230"/>
      <c r="Z25" s="1805" t="str">
        <f>Q25</f>
        <v>自然及人文环境状况</v>
      </c>
      <c r="AA25" s="1802">
        <f t="shared" si="3"/>
        <v>1</v>
      </c>
      <c r="AB25" s="1802">
        <f t="shared" si="4"/>
        <v>1</v>
      </c>
      <c r="AC25" s="1802">
        <f t="shared" si="5"/>
        <v>1</v>
      </c>
    </row>
    <row r="26" spans="1:29" ht="15">
      <c r="A26" s="404"/>
      <c r="B26" s="456"/>
      <c r="C26" s="447"/>
      <c r="D26" s="448"/>
      <c r="E26" s="2604"/>
      <c r="F26" s="448"/>
      <c r="G26" s="2604"/>
      <c r="H26" s="448"/>
      <c r="I26" s="447"/>
      <c r="J26" s="448"/>
      <c r="K26" s="672"/>
      <c r="L26" s="1140"/>
      <c r="M26" s="1131"/>
      <c r="N26" s="1131"/>
      <c r="O26" s="1139"/>
      <c r="P26" s="3230"/>
      <c r="Q26" s="1801"/>
      <c r="R26" s="774"/>
      <c r="S26" s="775"/>
      <c r="T26" s="774"/>
      <c r="U26" s="775"/>
      <c r="V26" s="774"/>
      <c r="W26" s="775"/>
      <c r="X26" s="1804"/>
      <c r="Y26" s="3230"/>
      <c r="Z26" s="1805"/>
      <c r="AA26" s="1802">
        <v>1</v>
      </c>
      <c r="AB26" s="1802">
        <v>1</v>
      </c>
      <c r="AC26" s="1802">
        <v>1</v>
      </c>
    </row>
    <row r="27" spans="1:29" s="117" customFormat="1" ht="42.75">
      <c r="A27" s="649"/>
      <c r="B27" s="1384" t="s">
        <v>2651</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0"/>
      <c r="Q27" s="1786" t="str">
        <f t="shared" si="8"/>
        <v>公共配套设施</v>
      </c>
      <c r="R27" s="770" t="s">
        <v>17</v>
      </c>
      <c r="S27" s="771">
        <f>F27</f>
        <v>100</v>
      </c>
      <c r="T27" s="770" t="s">
        <v>17</v>
      </c>
      <c r="U27" s="771">
        <f>H27</f>
        <v>100</v>
      </c>
      <c r="V27" s="770" t="s">
        <v>17</v>
      </c>
      <c r="W27" s="771">
        <f>J27</f>
        <v>100</v>
      </c>
      <c r="X27" s="772"/>
      <c r="Y27" s="3230"/>
      <c r="Z27" s="55" t="str">
        <f>Q27</f>
        <v>公共配套设施</v>
      </c>
      <c r="AA27" s="1802">
        <f>D27/F27</f>
        <v>1</v>
      </c>
      <c r="AB27" s="1802">
        <f>D27/H27</f>
        <v>1</v>
      </c>
      <c r="AC27" s="1802">
        <f>D27/J27</f>
        <v>1</v>
      </c>
    </row>
    <row r="28" spans="1:29" s="117" customFormat="1" ht="15">
      <c r="A28" s="649"/>
      <c r="B28" s="456"/>
      <c r="C28" s="2693"/>
      <c r="D28" s="448"/>
      <c r="E28" s="2604"/>
      <c r="F28" s="448"/>
      <c r="G28" s="2604"/>
      <c r="H28" s="448"/>
      <c r="I28" s="447"/>
      <c r="J28" s="448"/>
      <c r="K28" s="672"/>
      <c r="L28" s="1132"/>
      <c r="M28" s="1133"/>
      <c r="N28" s="1133"/>
      <c r="O28" s="1134"/>
      <c r="P28" s="3230"/>
      <c r="Q28" s="1786"/>
      <c r="R28" s="770"/>
      <c r="S28" s="771"/>
      <c r="T28" s="770"/>
      <c r="U28" s="771"/>
      <c r="V28" s="770"/>
      <c r="W28" s="771"/>
      <c r="X28" s="772"/>
      <c r="Y28" s="3230"/>
      <c r="Z28" s="55"/>
      <c r="AA28" s="1802">
        <v>1</v>
      </c>
      <c r="AB28" s="1802">
        <v>1</v>
      </c>
      <c r="AC28" s="1802">
        <v>1</v>
      </c>
    </row>
    <row r="29" spans="1:29" s="117" customFormat="1" ht="28.5">
      <c r="A29" s="649"/>
      <c r="B29" s="1384" t="s">
        <v>2652</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0"/>
      <c r="Q29" s="1786" t="str">
        <f t="shared" ref="Q29" si="9">B29</f>
        <v>基础设施水平</v>
      </c>
      <c r="R29" s="770" t="s">
        <v>17</v>
      </c>
      <c r="S29" s="771">
        <f>F29</f>
        <v>100</v>
      </c>
      <c r="T29" s="770" t="s">
        <v>17</v>
      </c>
      <c r="U29" s="771">
        <f>H29</f>
        <v>100</v>
      </c>
      <c r="V29" s="770" t="s">
        <v>17</v>
      </c>
      <c r="W29" s="771">
        <f>J29</f>
        <v>100</v>
      </c>
      <c r="X29" s="772"/>
      <c r="Y29" s="3230"/>
      <c r="Z29" s="55" t="str">
        <f>Q29</f>
        <v>基础设施水平</v>
      </c>
      <c r="AA29" s="1802">
        <f>D29/F29</f>
        <v>1</v>
      </c>
      <c r="AB29" s="1802">
        <f>D29/H29</f>
        <v>1</v>
      </c>
      <c r="AC29" s="1802">
        <f>D29/J29</f>
        <v>1</v>
      </c>
    </row>
    <row r="30" spans="1:29" s="117" customFormat="1" ht="15">
      <c r="A30" s="649"/>
      <c r="B30" s="456"/>
      <c r="C30" s="2693"/>
      <c r="D30" s="448"/>
      <c r="E30" s="2694"/>
      <c r="F30" s="448"/>
      <c r="G30" s="2694"/>
      <c r="H30" s="448"/>
      <c r="I30" s="2694"/>
      <c r="J30" s="448"/>
      <c r="K30" s="672"/>
      <c r="L30" s="1132"/>
      <c r="M30" s="1133"/>
      <c r="N30" s="1133"/>
      <c r="O30" s="1134"/>
      <c r="P30" s="3230"/>
      <c r="Q30" s="1786"/>
      <c r="R30" s="770"/>
      <c r="S30" s="771"/>
      <c r="T30" s="770"/>
      <c r="U30" s="771"/>
      <c r="V30" s="770"/>
      <c r="W30" s="771"/>
      <c r="X30" s="772"/>
      <c r="Y30" s="3230"/>
      <c r="Z30" s="55"/>
      <c r="AA30" s="1802">
        <v>1</v>
      </c>
      <c r="AB30" s="1802">
        <v>1</v>
      </c>
      <c r="AC30" s="1802">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0"/>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30"/>
      <c r="Z31" s="1805" t="str">
        <f t="shared" ref="Z31:Z45" si="13">Q31</f>
        <v>临街状况</v>
      </c>
      <c r="AA31" s="1802">
        <f t="shared" si="3"/>
        <v>1</v>
      </c>
      <c r="AB31" s="1802">
        <f t="shared" si="4"/>
        <v>1</v>
      </c>
      <c r="AC31" s="1802">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0"/>
      <c r="Q32" s="1801" t="str">
        <f t="shared" si="8"/>
        <v>毗邻道路的类型与等级</v>
      </c>
      <c r="R32" s="774" t="s">
        <v>17</v>
      </c>
      <c r="S32" s="775">
        <f t="shared" si="10"/>
        <v>100</v>
      </c>
      <c r="T32" s="774" t="s">
        <v>17</v>
      </c>
      <c r="U32" s="775">
        <f t="shared" si="11"/>
        <v>100</v>
      </c>
      <c r="V32" s="774" t="s">
        <v>17</v>
      </c>
      <c r="W32" s="775">
        <f t="shared" si="12"/>
        <v>100</v>
      </c>
      <c r="X32" s="1804"/>
      <c r="Y32" s="3230"/>
      <c r="Z32" s="1805" t="str">
        <f t="shared" si="13"/>
        <v>毗邻道路的类型与等级</v>
      </c>
      <c r="AA32" s="1802">
        <f t="shared" si="3"/>
        <v>1</v>
      </c>
      <c r="AB32" s="1802">
        <f t="shared" si="4"/>
        <v>1</v>
      </c>
      <c r="AC32" s="1802">
        <f t="shared" si="5"/>
        <v>1</v>
      </c>
    </row>
    <row r="33" spans="1:29" ht="15">
      <c r="A33" s="428"/>
      <c r="B33" s="456"/>
      <c r="C33" s="447"/>
      <c r="D33" s="448"/>
      <c r="E33" s="2604"/>
      <c r="F33" s="448"/>
      <c r="G33" s="2604"/>
      <c r="H33" s="448"/>
      <c r="I33" s="447"/>
      <c r="J33" s="448"/>
      <c r="K33" s="613"/>
      <c r="L33" s="1140"/>
      <c r="M33" s="1131"/>
      <c r="N33" s="1131"/>
      <c r="O33" s="1139"/>
      <c r="P33" s="3230"/>
      <c r="Q33" s="1801"/>
      <c r="R33" s="774"/>
      <c r="S33" s="775"/>
      <c r="T33" s="774"/>
      <c r="U33" s="775"/>
      <c r="V33" s="774"/>
      <c r="W33" s="775"/>
      <c r="X33" s="1804"/>
      <c r="Y33" s="3230"/>
      <c r="Z33" s="1805"/>
      <c r="AA33" s="1802">
        <v>1</v>
      </c>
      <c r="AB33" s="1802">
        <v>1</v>
      </c>
      <c r="AC33" s="1802">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0"/>
      <c r="Q34" s="1801" t="str">
        <f t="shared" si="8"/>
        <v>土地级别</v>
      </c>
      <c r="R34" s="774" t="s">
        <v>17</v>
      </c>
      <c r="S34" s="775">
        <f t="shared" si="10"/>
        <v>100</v>
      </c>
      <c r="T34" s="774" t="s">
        <v>17</v>
      </c>
      <c r="U34" s="775">
        <f t="shared" si="11"/>
        <v>100</v>
      </c>
      <c r="V34" s="774" t="s">
        <v>17</v>
      </c>
      <c r="W34" s="775">
        <f t="shared" si="12"/>
        <v>100</v>
      </c>
      <c r="X34" s="1804"/>
      <c r="Y34" s="3230"/>
      <c r="Z34" s="1805" t="str">
        <f t="shared" si="13"/>
        <v>土地级别</v>
      </c>
      <c r="AA34" s="1802">
        <f t="shared" si="3"/>
        <v>1</v>
      </c>
      <c r="AB34" s="1802">
        <f t="shared" si="4"/>
        <v>1</v>
      </c>
      <c r="AC34" s="1802">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0"/>
      <c r="Q35" s="1801">
        <f t="shared" si="8"/>
        <v>111</v>
      </c>
      <c r="R35" s="774" t="s">
        <v>17</v>
      </c>
      <c r="S35" s="775">
        <f t="shared" si="10"/>
        <v>100</v>
      </c>
      <c r="T35" s="774" t="s">
        <v>17</v>
      </c>
      <c r="U35" s="775">
        <f t="shared" si="11"/>
        <v>100</v>
      </c>
      <c r="V35" s="774" t="s">
        <v>17</v>
      </c>
      <c r="W35" s="775">
        <f t="shared" si="12"/>
        <v>100</v>
      </c>
      <c r="X35" s="1804"/>
      <c r="Y35" s="3230"/>
      <c r="Z35" s="1805">
        <f t="shared" si="13"/>
        <v>111</v>
      </c>
      <c r="AA35" s="1802">
        <f t="shared" si="3"/>
        <v>1</v>
      </c>
      <c r="AB35" s="1802">
        <f t="shared" si="4"/>
        <v>1</v>
      </c>
      <c r="AC35" s="1802">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4" t="s">
        <v>2562</v>
      </c>
      <c r="Q36" s="1801">
        <f t="shared" si="8"/>
        <v>111</v>
      </c>
      <c r="R36" s="774" t="s">
        <v>17</v>
      </c>
      <c r="S36" s="775">
        <f t="shared" si="10"/>
        <v>100</v>
      </c>
      <c r="T36" s="774" t="s">
        <v>17</v>
      </c>
      <c r="U36" s="775">
        <f t="shared" si="11"/>
        <v>100</v>
      </c>
      <c r="V36" s="774" t="s">
        <v>17</v>
      </c>
      <c r="W36" s="775">
        <f t="shared" si="12"/>
        <v>100</v>
      </c>
      <c r="X36" s="1804"/>
      <c r="Y36" s="3234" t="s">
        <v>2562</v>
      </c>
      <c r="Z36" s="1805">
        <f t="shared" si="13"/>
        <v>111</v>
      </c>
      <c r="AA36" s="1802">
        <f t="shared" si="3"/>
        <v>1</v>
      </c>
      <c r="AB36" s="1802">
        <f t="shared" si="4"/>
        <v>1</v>
      </c>
      <c r="AC36" s="1802">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4"/>
      <c r="Q37" s="1801">
        <f t="shared" si="8"/>
        <v>111</v>
      </c>
      <c r="R37" s="777" t="s">
        <v>17</v>
      </c>
      <c r="S37" s="778">
        <f t="shared" si="10"/>
        <v>100</v>
      </c>
      <c r="T37" s="777" t="s">
        <v>17</v>
      </c>
      <c r="U37" s="778">
        <f t="shared" si="11"/>
        <v>100</v>
      </c>
      <c r="V37" s="777" t="s">
        <v>17</v>
      </c>
      <c r="W37" s="778">
        <f t="shared" si="12"/>
        <v>100</v>
      </c>
      <c r="X37" s="779"/>
      <c r="Y37" s="3234"/>
      <c r="Z37" s="780">
        <f t="shared" si="13"/>
        <v>111</v>
      </c>
      <c r="AA37" s="1802">
        <f t="shared" si="3"/>
        <v>1</v>
      </c>
      <c r="AB37" s="1802">
        <f t="shared" si="4"/>
        <v>1</v>
      </c>
      <c r="AC37" s="1802">
        <f t="shared" si="5"/>
        <v>1</v>
      </c>
    </row>
    <row r="38" spans="1:29" ht="15">
      <c r="A38" s="472" t="s">
        <v>2560</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4"/>
      <c r="Q38" s="1801" t="str">
        <f>B38</f>
        <v>宗地面积</v>
      </c>
      <c r="R38" s="774" t="s">
        <v>17</v>
      </c>
      <c r="S38" s="775" t="e">
        <f t="shared" si="10"/>
        <v>#N/A</v>
      </c>
      <c r="T38" s="774" t="s">
        <v>17</v>
      </c>
      <c r="U38" s="775" t="e">
        <f t="shared" si="11"/>
        <v>#N/A</v>
      </c>
      <c r="V38" s="774" t="s">
        <v>17</v>
      </c>
      <c r="W38" s="775" t="e">
        <f t="shared" si="12"/>
        <v>#N/A</v>
      </c>
      <c r="X38" s="1804"/>
      <c r="Y38" s="3234"/>
      <c r="Z38" s="1805" t="str">
        <f t="shared" si="13"/>
        <v>宗地面积</v>
      </c>
      <c r="AA38" s="1802" t="e">
        <f t="shared" si="3"/>
        <v>#N/A</v>
      </c>
      <c r="AB38" s="1802" t="e">
        <f t="shared" si="4"/>
        <v>#N/A</v>
      </c>
      <c r="AC38" s="1802" t="e">
        <f t="shared" si="5"/>
        <v>#N/A</v>
      </c>
    </row>
    <row r="39" spans="1:29" ht="15">
      <c r="A39" s="472"/>
      <c r="B39" s="422" t="s">
        <v>2748</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34"/>
      <c r="Q39" s="1801" t="str">
        <f t="shared" ref="Q39:Q45" si="14">B39</f>
        <v>宗地形状</v>
      </c>
      <c r="R39" s="774" t="s">
        <v>17</v>
      </c>
      <c r="S39" s="775">
        <f t="shared" si="10"/>
        <v>100</v>
      </c>
      <c r="T39" s="774" t="s">
        <v>17</v>
      </c>
      <c r="U39" s="775">
        <f t="shared" si="11"/>
        <v>100</v>
      </c>
      <c r="V39" s="774" t="s">
        <v>17</v>
      </c>
      <c r="W39" s="775">
        <f t="shared" si="12"/>
        <v>100</v>
      </c>
      <c r="X39" s="1804"/>
      <c r="Y39" s="3234"/>
      <c r="Z39" s="1805" t="str">
        <f t="shared" si="13"/>
        <v>宗地形状</v>
      </c>
      <c r="AA39" s="1802">
        <f t="shared" si="3"/>
        <v>1</v>
      </c>
      <c r="AB39" s="1802">
        <f t="shared" si="4"/>
        <v>1</v>
      </c>
      <c r="AC39" s="1802">
        <f t="shared" si="5"/>
        <v>1</v>
      </c>
    </row>
    <row r="40" spans="1:29" ht="15">
      <c r="A40" s="472"/>
      <c r="B40" s="422" t="s">
        <v>2749</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34"/>
      <c r="Q40" s="1801" t="str">
        <f t="shared" si="14"/>
        <v>临街宽度及深度</v>
      </c>
      <c r="R40" s="774" t="s">
        <v>17</v>
      </c>
      <c r="S40" s="775">
        <f t="shared" si="10"/>
        <v>100</v>
      </c>
      <c r="T40" s="774" t="s">
        <v>17</v>
      </c>
      <c r="U40" s="775">
        <f t="shared" si="11"/>
        <v>100</v>
      </c>
      <c r="V40" s="774" t="s">
        <v>17</v>
      </c>
      <c r="W40" s="775">
        <f t="shared" si="12"/>
        <v>100</v>
      </c>
      <c r="X40" s="1804"/>
      <c r="Y40" s="3234"/>
      <c r="Z40" s="1805" t="str">
        <f t="shared" si="13"/>
        <v>临街宽度及深度</v>
      </c>
      <c r="AA40" s="1802">
        <f t="shared" si="3"/>
        <v>1</v>
      </c>
      <c r="AB40" s="1802">
        <f t="shared" si="4"/>
        <v>1</v>
      </c>
      <c r="AC40" s="1802">
        <f t="shared" si="5"/>
        <v>1</v>
      </c>
    </row>
    <row r="41" spans="1:29" s="117" customFormat="1" ht="15">
      <c r="A41" s="473"/>
      <c r="B41" s="422" t="s">
        <v>2750</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34"/>
      <c r="Q41" s="1801"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2751</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34" t="s">
        <v>2562</v>
      </c>
      <c r="Q42" s="1801" t="str">
        <f t="shared" si="14"/>
        <v>工程地质条件</v>
      </c>
      <c r="R42" s="774" t="s">
        <v>17</v>
      </c>
      <c r="S42" s="775">
        <f t="shared" si="10"/>
        <v>100</v>
      </c>
      <c r="T42" s="774" t="s">
        <v>17</v>
      </c>
      <c r="U42" s="775">
        <f t="shared" si="11"/>
        <v>100</v>
      </c>
      <c r="V42" s="774" t="s">
        <v>17</v>
      </c>
      <c r="W42" s="775">
        <f t="shared" si="12"/>
        <v>100</v>
      </c>
      <c r="X42" s="1804"/>
      <c r="Y42" s="3234" t="s">
        <v>2562</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4"/>
      <c r="Q43" s="1801">
        <f t="shared" si="14"/>
        <v>111</v>
      </c>
      <c r="R43" s="774" t="s">
        <v>17</v>
      </c>
      <c r="S43" s="775">
        <f t="shared" si="10"/>
        <v>100</v>
      </c>
      <c r="T43" s="774" t="s">
        <v>17</v>
      </c>
      <c r="U43" s="775">
        <f t="shared" si="11"/>
        <v>100</v>
      </c>
      <c r="V43" s="774" t="s">
        <v>17</v>
      </c>
      <c r="W43" s="775">
        <f t="shared" si="12"/>
        <v>100</v>
      </c>
      <c r="X43" s="1804"/>
      <c r="Y43" s="3234"/>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4"/>
      <c r="Q44" s="1801">
        <f t="shared" si="14"/>
        <v>111</v>
      </c>
      <c r="R44" s="774" t="s">
        <v>17</v>
      </c>
      <c r="S44" s="775">
        <f t="shared" si="10"/>
        <v>100</v>
      </c>
      <c r="T44" s="774" t="s">
        <v>17</v>
      </c>
      <c r="U44" s="775">
        <f t="shared" si="11"/>
        <v>100</v>
      </c>
      <c r="V44" s="774" t="s">
        <v>17</v>
      </c>
      <c r="W44" s="775">
        <f t="shared" si="12"/>
        <v>100</v>
      </c>
      <c r="X44" s="1804"/>
      <c r="Y44" s="3234"/>
      <c r="Z44" s="1805">
        <f t="shared" si="13"/>
        <v>111</v>
      </c>
      <c r="AA44" s="1802">
        <f t="shared" si="3"/>
        <v>1</v>
      </c>
      <c r="AB44" s="1802">
        <f t="shared" si="4"/>
        <v>1</v>
      </c>
      <c r="AC44" s="1802">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4"/>
      <c r="Q45" s="1801">
        <f t="shared" si="14"/>
        <v>111</v>
      </c>
      <c r="R45" s="777" t="s">
        <v>17</v>
      </c>
      <c r="S45" s="778">
        <f t="shared" si="10"/>
        <v>100</v>
      </c>
      <c r="T45" s="777" t="s">
        <v>17</v>
      </c>
      <c r="U45" s="778">
        <f t="shared" si="11"/>
        <v>100</v>
      </c>
      <c r="V45" s="777" t="s">
        <v>17</v>
      </c>
      <c r="W45" s="778">
        <f t="shared" si="12"/>
        <v>100</v>
      </c>
      <c r="X45" s="779"/>
      <c r="Y45" s="3234"/>
      <c r="Z45" s="780">
        <f t="shared" si="13"/>
        <v>111</v>
      </c>
      <c r="AA45" s="1802">
        <f t="shared" si="3"/>
        <v>1</v>
      </c>
      <c r="AB45" s="1802">
        <f t="shared" si="4"/>
        <v>1</v>
      </c>
      <c r="AC45" s="1802">
        <f t="shared" si="5"/>
        <v>1</v>
      </c>
    </row>
    <row r="46" spans="1:29" ht="15">
      <c r="A46" s="479" t="s">
        <v>2717</v>
      </c>
      <c r="B46" s="2697" t="s">
        <v>2752</v>
      </c>
      <c r="C46" s="682" t="s">
        <v>1</v>
      </c>
      <c r="D46" s="481"/>
      <c r="E46" s="482"/>
      <c r="F46" s="483"/>
      <c r="G46" s="484"/>
      <c r="H46" s="485"/>
      <c r="I46" s="482"/>
      <c r="J46" s="485"/>
      <c r="K46" s="783"/>
      <c r="L46" s="1143"/>
      <c r="M46" s="1144"/>
      <c r="N46" s="1131"/>
      <c r="O46" s="1144"/>
      <c r="P46" s="3236" t="str">
        <f>A46</f>
        <v>成交单价</v>
      </c>
      <c r="Q46" s="3236"/>
      <c r="R46" s="3224">
        <f>E46</f>
        <v>0</v>
      </c>
      <c r="S46" s="3224"/>
      <c r="T46" s="3224">
        <f>G46</f>
        <v>0</v>
      </c>
      <c r="U46" s="3224"/>
      <c r="V46" s="3224">
        <f>I46</f>
        <v>0</v>
      </c>
      <c r="W46" s="322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36" t="str">
        <f>A47</f>
        <v>比较价值（元/平方米）</v>
      </c>
      <c r="Q47" s="3236"/>
      <c r="R47" s="3275" t="e">
        <f>ROUND(PRODUCT(R46,AA7:AA45),0)</f>
        <v>#DIV/0!</v>
      </c>
      <c r="S47" s="3275"/>
      <c r="T47" s="3275" t="e">
        <f>ROUND(PRODUCT(T46,AB7:AB45),0)</f>
        <v>#DIV/0!</v>
      </c>
      <c r="U47" s="3275"/>
      <c r="V47" s="3275" t="e">
        <f>ROUND(PRODUCT(V46,AC7:AC45),0)</f>
        <v>#DIV/0!</v>
      </c>
      <c r="W47" s="327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71" t="str">
        <f>A48</f>
        <v>估价对象XX用房的比较价值（楼面单价，元/平方米）</v>
      </c>
      <c r="Q48" s="3272"/>
      <c r="R48" s="3276" t="e">
        <f>ROUND(AVERAGE(R47:V47),0)</f>
        <v>#DIV/0!</v>
      </c>
      <c r="S48" s="3276"/>
      <c r="T48" s="3276"/>
      <c r="U48" s="3276"/>
      <c r="V48" s="3276"/>
      <c r="W48" s="32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698" t="s">
        <v>2756</v>
      </c>
      <c r="D55" s="2699" t="s">
        <v>2757</v>
      </c>
      <c r="E55" s="686" t="s">
        <v>2758</v>
      </c>
      <c r="F55" s="1107" t="s">
        <v>2759</v>
      </c>
      <c r="G55" s="3211" t="s">
        <v>2760</v>
      </c>
      <c r="H55" s="3277"/>
      <c r="I55" s="144" t="s">
        <v>2761</v>
      </c>
      <c r="J55" s="2700">
        <f>项目基本情况!F35</f>
        <v>0</v>
      </c>
      <c r="K55" s="2701" t="s">
        <v>2762</v>
      </c>
      <c r="L55" s="1106"/>
      <c r="M55" s="1144"/>
      <c r="N55" s="1144"/>
      <c r="O55" s="1144"/>
    </row>
    <row r="56" spans="1:15" s="692" customFormat="1">
      <c r="A56" s="688" t="s">
        <v>2763</v>
      </c>
      <c r="B56" s="689" t="e">
        <f>C48</f>
        <v>#DIV/0!</v>
      </c>
      <c r="C56" s="690">
        <v>1</v>
      </c>
      <c r="D56" s="1163">
        <v>1</v>
      </c>
      <c r="E56" s="690">
        <f>'数据-汇总表'!E8+'数据-汇总表'!E9</f>
        <v>1272.47</v>
      </c>
      <c r="F56" s="1103" t="e">
        <f t="shared" ref="F56:F65" si="15">ROUND(B56*E56/10000,0)</f>
        <v>#DIV/0!</v>
      </c>
      <c r="G56" s="3207"/>
      <c r="H56" s="3236"/>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78"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78"/>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78"/>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78"/>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2"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452.2</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2"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3"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1724.67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4" t="s">
        <v>2778</v>
      </c>
      <c r="B70" s="1359"/>
      <c r="C70" s="1571" t="str">
        <f>YEAR(C68)&amp;"-"&amp;ROUNDUP(MONTH(C68)/3,0)</f>
        <v>2020-3</v>
      </c>
      <c r="D70" s="1571" t="str">
        <f>YEAR(D68)&amp;"-"&amp;ROUNDUP(MONTH(D68)/3,0)</f>
        <v>2020-2</v>
      </c>
      <c r="E70" s="1571" t="str">
        <f t="shared" ref="E70:O70" si="19">YEAR(E68)&amp;"-"&amp;ROUNDUP(MONTH(E68)/3,0)</f>
        <v>2020-1</v>
      </c>
      <c r="F70" s="1571" t="str">
        <f t="shared" si="19"/>
        <v>2019-4</v>
      </c>
      <c r="G70" s="1571" t="str">
        <f t="shared" si="19"/>
        <v>2019-3</v>
      </c>
      <c r="H70" s="1571" t="str">
        <f t="shared" si="19"/>
        <v>2019-2</v>
      </c>
      <c r="I70" s="1571" t="str">
        <f t="shared" si="19"/>
        <v>2019-1</v>
      </c>
      <c r="J70" s="1571" t="str">
        <f t="shared" si="19"/>
        <v>2018-4</v>
      </c>
      <c r="K70" s="1571" t="str">
        <f t="shared" si="19"/>
        <v>2018-3</v>
      </c>
      <c r="L70" s="1571" t="str">
        <f t="shared" si="19"/>
        <v>2018-2</v>
      </c>
      <c r="M70" s="1571" t="str">
        <f t="shared" si="19"/>
        <v>2018-1</v>
      </c>
      <c r="N70" s="1571" t="str">
        <f t="shared" si="19"/>
        <v>2017-4</v>
      </c>
      <c r="O70" s="1571" t="str">
        <f t="shared" si="19"/>
        <v>2017-3</v>
      </c>
      <c r="P70" s="507"/>
    </row>
    <row r="71" spans="1:17" s="117" customFormat="1" ht="30" customHeight="1">
      <c r="A71" s="2705"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23" sqref="H2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79" t="s">
        <v>2793</v>
      </c>
      <c r="D6" s="3280"/>
      <c r="E6" s="3281" t="s">
        <v>2793</v>
      </c>
      <c r="F6" s="3282"/>
      <c r="G6" s="3279" t="s">
        <v>2793</v>
      </c>
      <c r="H6" s="3280"/>
      <c r="I6" s="3279" t="s">
        <v>2793</v>
      </c>
      <c r="J6" s="3280"/>
      <c r="K6" s="61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193" t="s">
        <v>2546</v>
      </c>
      <c r="Q7" s="322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40" si="3">D8/F8</f>
        <v>#DIV/0!</v>
      </c>
      <c r="AB8" s="773" t="e">
        <f t="shared" ref="AB8:AB40" si="4">D8/H8</f>
        <v>#DIV/0!</v>
      </c>
      <c r="AC8" s="773" t="e">
        <f t="shared" ref="AC8:AC40" si="5">D8/J8</f>
        <v>#DIV/0!</v>
      </c>
    </row>
    <row r="9" spans="1:29" s="117" customFormat="1">
      <c r="A9" s="415" t="s">
        <v>2550</v>
      </c>
      <c r="B9" s="71" t="s">
        <v>2551</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36"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236"/>
      <c r="Q10" s="1786" t="str">
        <f t="shared" si="6"/>
        <v>土地使用年限（年）</v>
      </c>
      <c r="R10" s="770" t="s">
        <v>17</v>
      </c>
      <c r="S10" s="771">
        <f t="shared" si="0"/>
        <v>115</v>
      </c>
      <c r="T10" s="770" t="s">
        <v>17</v>
      </c>
      <c r="U10" s="771">
        <f t="shared" si="1"/>
        <v>115</v>
      </c>
      <c r="V10" s="770" t="s">
        <v>17</v>
      </c>
      <c r="W10" s="771">
        <f t="shared" si="2"/>
        <v>115</v>
      </c>
      <c r="X10" s="772"/>
      <c r="Y10" s="3060"/>
      <c r="Z10" s="55" t="str">
        <f t="shared" si="7"/>
        <v>土地使用年限（年）</v>
      </c>
      <c r="AA10" s="773">
        <f t="shared" si="3"/>
        <v>0.86956521739130432</v>
      </c>
      <c r="AB10" s="773">
        <f t="shared" si="4"/>
        <v>0.86956521739130432</v>
      </c>
      <c r="AC10" s="773">
        <f t="shared" si="5"/>
        <v>0.86956521739130432</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6"/>
      <c r="Q11" s="1786"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2556</v>
      </c>
      <c r="B15" s="629" t="s">
        <v>2794</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9" t="s">
        <v>2557</v>
      </c>
      <c r="Q15" s="1801" t="str">
        <f t="shared" si="6"/>
        <v>产业集聚程度</v>
      </c>
      <c r="R15" s="774" t="s">
        <v>17</v>
      </c>
      <c r="S15" s="775">
        <f t="shared" si="0"/>
        <v>100</v>
      </c>
      <c r="T15" s="774" t="s">
        <v>17</v>
      </c>
      <c r="U15" s="775">
        <f t="shared" si="1"/>
        <v>100</v>
      </c>
      <c r="V15" s="774" t="s">
        <v>17</v>
      </c>
      <c r="W15" s="775">
        <f t="shared" si="2"/>
        <v>100</v>
      </c>
      <c r="X15" s="1804"/>
      <c r="Y15" s="3229" t="s">
        <v>2557</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30"/>
      <c r="Q16" s="1801"/>
      <c r="R16" s="774"/>
      <c r="S16" s="775"/>
      <c r="T16" s="774"/>
      <c r="U16" s="775"/>
      <c r="V16" s="774"/>
      <c r="W16" s="775"/>
      <c r="X16" s="1804"/>
      <c r="Y16" s="3230"/>
      <c r="Z16" s="1805"/>
      <c r="AA16" s="1802">
        <v>1</v>
      </c>
      <c r="AB16" s="1802">
        <v>1</v>
      </c>
      <c r="AC16" s="1802">
        <v>1</v>
      </c>
    </row>
    <row r="17" spans="1:29" ht="85.5">
      <c r="A17" s="428"/>
      <c r="B17" s="631" t="s">
        <v>2706</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0"/>
      <c r="Q17" s="1801" t="str">
        <f>B17</f>
        <v>交通便捷度</v>
      </c>
      <c r="R17" s="774" t="s">
        <v>17</v>
      </c>
      <c r="S17" s="775">
        <f>F17</f>
        <v>100</v>
      </c>
      <c r="T17" s="774" t="s">
        <v>17</v>
      </c>
      <c r="U17" s="775">
        <f>H17</f>
        <v>100</v>
      </c>
      <c r="V17" s="774" t="s">
        <v>17</v>
      </c>
      <c r="W17" s="775">
        <f>J17</f>
        <v>100</v>
      </c>
      <c r="X17" s="1804"/>
      <c r="Y17" s="3230"/>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30"/>
      <c r="Q18" s="1801"/>
      <c r="R18" s="774"/>
      <c r="S18" s="775"/>
      <c r="T18" s="774"/>
      <c r="U18" s="775"/>
      <c r="V18" s="774"/>
      <c r="W18" s="775"/>
      <c r="X18" s="1804"/>
      <c r="Y18" s="3230"/>
      <c r="Z18" s="1805"/>
      <c r="AA18" s="1802">
        <v>1</v>
      </c>
      <c r="AB18" s="1802">
        <v>1</v>
      </c>
      <c r="AC18" s="1802">
        <v>1</v>
      </c>
    </row>
    <row r="19" spans="1:29" ht="15">
      <c r="A19" s="428"/>
      <c r="B19" s="631" t="s">
        <v>2744</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0"/>
      <c r="Q19" s="1801" t="str">
        <f t="shared" ref="Q19:Q33" si="8">B19</f>
        <v>区域土地利用方向</v>
      </c>
      <c r="R19" s="774" t="s">
        <v>17</v>
      </c>
      <c r="S19" s="775">
        <f>F19</f>
        <v>100</v>
      </c>
      <c r="T19" s="774" t="s">
        <v>17</v>
      </c>
      <c r="U19" s="775">
        <f>H19</f>
        <v>100</v>
      </c>
      <c r="V19" s="774" t="s">
        <v>17</v>
      </c>
      <c r="W19" s="775">
        <f>J19</f>
        <v>100</v>
      </c>
      <c r="X19" s="1804"/>
      <c r="Y19" s="3230"/>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30"/>
      <c r="Q20" s="1801"/>
      <c r="R20" s="774"/>
      <c r="S20" s="775"/>
      <c r="T20" s="774"/>
      <c r="U20" s="775"/>
      <c r="V20" s="774"/>
      <c r="W20" s="775"/>
      <c r="X20" s="1804"/>
      <c r="Y20" s="3230"/>
      <c r="Z20" s="1805"/>
      <c r="AA20" s="1802"/>
      <c r="AB20" s="1802"/>
      <c r="AC20" s="1802"/>
    </row>
    <row r="21" spans="1:29" ht="71.25">
      <c r="A21" s="404"/>
      <c r="B21" s="631" t="s">
        <v>2795</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0"/>
      <c r="Q21" s="1801" t="str">
        <f t="shared" si="8"/>
        <v>环境状况</v>
      </c>
      <c r="R21" s="774" t="s">
        <v>17</v>
      </c>
      <c r="S21" s="775">
        <f>F21</f>
        <v>100</v>
      </c>
      <c r="T21" s="774" t="s">
        <v>17</v>
      </c>
      <c r="U21" s="775">
        <f>H21</f>
        <v>100</v>
      </c>
      <c r="V21" s="774" t="s">
        <v>17</v>
      </c>
      <c r="W21" s="775">
        <f>J21</f>
        <v>100</v>
      </c>
      <c r="X21" s="1804"/>
      <c r="Y21" s="3230"/>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30"/>
      <c r="Q22" s="1801"/>
      <c r="R22" s="774"/>
      <c r="S22" s="775"/>
      <c r="T22" s="774"/>
      <c r="U22" s="775"/>
      <c r="V22" s="774"/>
      <c r="W22" s="775"/>
      <c r="X22" s="1804"/>
      <c r="Y22" s="3230"/>
      <c r="Z22" s="1805"/>
      <c r="AA22" s="1802">
        <v>1</v>
      </c>
      <c r="AB22" s="1802">
        <v>1</v>
      </c>
      <c r="AC22" s="1802">
        <v>1</v>
      </c>
    </row>
    <row r="23" spans="1:29" s="117" customFormat="1" ht="42.75">
      <c r="A23" s="649"/>
      <c r="B23" s="633" t="s">
        <v>2651</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0"/>
      <c r="Q23" s="1786" t="str">
        <f t="shared" si="8"/>
        <v>公共配套设施</v>
      </c>
      <c r="R23" s="770" t="s">
        <v>17</v>
      </c>
      <c r="S23" s="771">
        <f>F23</f>
        <v>100</v>
      </c>
      <c r="T23" s="770" t="s">
        <v>17</v>
      </c>
      <c r="U23" s="771">
        <f>H23</f>
        <v>100</v>
      </c>
      <c r="V23" s="770" t="s">
        <v>17</v>
      </c>
      <c r="W23" s="771">
        <f>J23</f>
        <v>100</v>
      </c>
      <c r="X23" s="772"/>
      <c r="Y23" s="3230"/>
      <c r="Z23" s="55" t="str">
        <f>Q23</f>
        <v>公共配套设施</v>
      </c>
      <c r="AA23" s="1802">
        <f>D23/F23</f>
        <v>1</v>
      </c>
      <c r="AB23" s="1802">
        <f>D23/H23</f>
        <v>1</v>
      </c>
      <c r="AC23" s="1802">
        <f>D23/J23</f>
        <v>1</v>
      </c>
    </row>
    <row r="24" spans="1:29" s="117" customFormat="1" ht="15">
      <c r="A24" s="649"/>
      <c r="B24" s="632"/>
      <c r="C24" s="2693"/>
      <c r="D24" s="448"/>
      <c r="E24" s="2604"/>
      <c r="F24" s="448"/>
      <c r="G24" s="2604"/>
      <c r="H24" s="448"/>
      <c r="I24" s="447"/>
      <c r="J24" s="448"/>
      <c r="K24" s="672"/>
      <c r="L24" s="1132"/>
      <c r="M24" s="1133"/>
      <c r="N24" s="1133"/>
      <c r="O24" s="1134"/>
      <c r="P24" s="3230"/>
      <c r="Q24" s="1786"/>
      <c r="R24" s="770"/>
      <c r="S24" s="771"/>
      <c r="T24" s="770"/>
      <c r="U24" s="771"/>
      <c r="V24" s="770"/>
      <c r="W24" s="771"/>
      <c r="X24" s="772"/>
      <c r="Y24" s="3230"/>
      <c r="Z24" s="55"/>
      <c r="AA24" s="773">
        <v>1</v>
      </c>
      <c r="AB24" s="773">
        <v>1</v>
      </c>
      <c r="AC24" s="773">
        <v>1</v>
      </c>
    </row>
    <row r="25" spans="1:29" s="117" customFormat="1" ht="28.5">
      <c r="A25" s="649"/>
      <c r="B25" s="633" t="s">
        <v>2652</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0"/>
      <c r="Q25" s="1786" t="str">
        <f t="shared" ref="Q25" si="9">B25</f>
        <v>基础设施水平</v>
      </c>
      <c r="R25" s="770" t="s">
        <v>17</v>
      </c>
      <c r="S25" s="771">
        <f>F25</f>
        <v>100</v>
      </c>
      <c r="T25" s="770" t="s">
        <v>17</v>
      </c>
      <c r="U25" s="771">
        <f>H25</f>
        <v>100</v>
      </c>
      <c r="V25" s="770" t="s">
        <v>17</v>
      </c>
      <c r="W25" s="771">
        <f>J25</f>
        <v>100</v>
      </c>
      <c r="X25" s="772"/>
      <c r="Y25" s="3230"/>
      <c r="Z25" s="55" t="str">
        <f>Q25</f>
        <v>基础设施水平</v>
      </c>
      <c r="AA25" s="1802">
        <f>D25/F25</f>
        <v>1</v>
      </c>
      <c r="AB25" s="1802">
        <f>D25/H25</f>
        <v>1</v>
      </c>
      <c r="AC25" s="1802">
        <f>D25/J25</f>
        <v>1</v>
      </c>
    </row>
    <row r="26" spans="1:29" s="117" customFormat="1" ht="15">
      <c r="A26" s="649"/>
      <c r="B26" s="632"/>
      <c r="C26" s="2693"/>
      <c r="D26" s="448"/>
      <c r="E26" s="2694"/>
      <c r="F26" s="448"/>
      <c r="G26" s="2694"/>
      <c r="H26" s="448"/>
      <c r="I26" s="2694"/>
      <c r="J26" s="448"/>
      <c r="K26" s="672"/>
      <c r="L26" s="1132"/>
      <c r="M26" s="1133"/>
      <c r="N26" s="1133"/>
      <c r="O26" s="1134"/>
      <c r="P26" s="3230"/>
      <c r="Q26" s="1786"/>
      <c r="R26" s="770"/>
      <c r="S26" s="771"/>
      <c r="T26" s="770"/>
      <c r="U26" s="771"/>
      <c r="V26" s="770"/>
      <c r="W26" s="771"/>
      <c r="X26" s="772"/>
      <c r="Y26" s="3230"/>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0"/>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0"/>
      <c r="Z27" s="1805" t="str">
        <f t="shared" ref="Z27:Z40" si="13">Q27</f>
        <v>临街状况</v>
      </c>
      <c r="AA27" s="1802">
        <f t="shared" si="3"/>
        <v>1</v>
      </c>
      <c r="AB27" s="1802">
        <f t="shared" si="4"/>
        <v>1</v>
      </c>
      <c r="AC27" s="1802">
        <f t="shared" si="5"/>
        <v>1</v>
      </c>
    </row>
    <row r="28" spans="1:29" ht="27">
      <c r="A28" s="428"/>
      <c r="B28" s="633" t="s">
        <v>2688</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0"/>
      <c r="Q28" s="1801" t="str">
        <f t="shared" si="8"/>
        <v>毗邻道路的类型与等级</v>
      </c>
      <c r="R28" s="774" t="s">
        <v>17</v>
      </c>
      <c r="S28" s="775">
        <f t="shared" si="10"/>
        <v>100</v>
      </c>
      <c r="T28" s="774" t="s">
        <v>17</v>
      </c>
      <c r="U28" s="775">
        <f t="shared" si="11"/>
        <v>100</v>
      </c>
      <c r="V28" s="774" t="s">
        <v>17</v>
      </c>
      <c r="W28" s="775">
        <f t="shared" si="12"/>
        <v>100</v>
      </c>
      <c r="X28" s="1804"/>
      <c r="Y28" s="3230"/>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30"/>
      <c r="Q29" s="1801"/>
      <c r="R29" s="774"/>
      <c r="S29" s="775"/>
      <c r="T29" s="774"/>
      <c r="U29" s="775"/>
      <c r="V29" s="774"/>
      <c r="W29" s="775"/>
      <c r="X29" s="1804"/>
      <c r="Y29" s="3230"/>
      <c r="Z29" s="1805"/>
      <c r="AA29" s="1802">
        <v>1</v>
      </c>
      <c r="AB29" s="1802">
        <v>1</v>
      </c>
      <c r="AC29" s="1802">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0"/>
      <c r="Q30" s="1801" t="str">
        <f t="shared" si="8"/>
        <v>土地级别</v>
      </c>
      <c r="R30" s="774" t="s">
        <v>17</v>
      </c>
      <c r="S30" s="775">
        <f t="shared" si="10"/>
        <v>100</v>
      </c>
      <c r="T30" s="774" t="s">
        <v>17</v>
      </c>
      <c r="U30" s="775">
        <f t="shared" si="11"/>
        <v>100</v>
      </c>
      <c r="V30" s="774" t="s">
        <v>17</v>
      </c>
      <c r="W30" s="775">
        <f t="shared" si="12"/>
        <v>100</v>
      </c>
      <c r="X30" s="1804"/>
      <c r="Y30" s="3230"/>
      <c r="Z30" s="1805" t="str">
        <f t="shared" si="13"/>
        <v>土地级别</v>
      </c>
      <c r="AA30" s="1802">
        <f t="shared" si="3"/>
        <v>1</v>
      </c>
      <c r="AB30" s="1802">
        <f t="shared" si="4"/>
        <v>1</v>
      </c>
      <c r="AC30" s="1802">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0"/>
      <c r="Q31" s="1801">
        <f t="shared" si="8"/>
        <v>111</v>
      </c>
      <c r="R31" s="774" t="s">
        <v>17</v>
      </c>
      <c r="S31" s="775">
        <f t="shared" si="10"/>
        <v>100</v>
      </c>
      <c r="T31" s="774" t="s">
        <v>17</v>
      </c>
      <c r="U31" s="775">
        <f t="shared" si="11"/>
        <v>100</v>
      </c>
      <c r="V31" s="774" t="s">
        <v>17</v>
      </c>
      <c r="W31" s="775">
        <f t="shared" si="12"/>
        <v>100</v>
      </c>
      <c r="X31" s="1804"/>
      <c r="Y31" s="3230"/>
      <c r="Z31" s="1805">
        <f t="shared" si="13"/>
        <v>111</v>
      </c>
      <c r="AA31" s="1802">
        <f t="shared" si="3"/>
        <v>1</v>
      </c>
      <c r="AB31" s="1802">
        <f t="shared" si="4"/>
        <v>1</v>
      </c>
      <c r="AC31" s="1802">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4" t="s">
        <v>2562</v>
      </c>
      <c r="Q32" s="1801">
        <f t="shared" si="8"/>
        <v>111</v>
      </c>
      <c r="R32" s="774" t="s">
        <v>17</v>
      </c>
      <c r="S32" s="775">
        <f t="shared" si="10"/>
        <v>100</v>
      </c>
      <c r="T32" s="774" t="s">
        <v>17</v>
      </c>
      <c r="U32" s="775">
        <f t="shared" si="11"/>
        <v>100</v>
      </c>
      <c r="V32" s="774" t="s">
        <v>17</v>
      </c>
      <c r="W32" s="775">
        <f t="shared" si="12"/>
        <v>100</v>
      </c>
      <c r="X32" s="1804"/>
      <c r="Y32" s="3234" t="s">
        <v>2562</v>
      </c>
      <c r="Z32" s="1805">
        <f t="shared" si="13"/>
        <v>111</v>
      </c>
      <c r="AA32" s="1802">
        <f t="shared" si="3"/>
        <v>1</v>
      </c>
      <c r="AB32" s="1802">
        <f t="shared" si="4"/>
        <v>1</v>
      </c>
      <c r="AC32" s="1802">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4"/>
      <c r="Q33" s="1801">
        <f t="shared" si="8"/>
        <v>111</v>
      </c>
      <c r="R33" s="777" t="s">
        <v>17</v>
      </c>
      <c r="S33" s="778">
        <f t="shared" si="10"/>
        <v>100</v>
      </c>
      <c r="T33" s="777" t="s">
        <v>17</v>
      </c>
      <c r="U33" s="778">
        <f t="shared" si="11"/>
        <v>100</v>
      </c>
      <c r="V33" s="777" t="s">
        <v>17</v>
      </c>
      <c r="W33" s="778">
        <f t="shared" si="12"/>
        <v>100</v>
      </c>
      <c r="X33" s="779"/>
      <c r="Y33" s="3234"/>
      <c r="Z33" s="780">
        <f t="shared" si="13"/>
        <v>111</v>
      </c>
      <c r="AA33" s="1802">
        <f t="shared" si="3"/>
        <v>1</v>
      </c>
      <c r="AB33" s="1802">
        <f t="shared" si="4"/>
        <v>1</v>
      </c>
      <c r="AC33" s="1802">
        <f t="shared" si="5"/>
        <v>1</v>
      </c>
    </row>
    <row r="34" spans="1:29" ht="15">
      <c r="A34" s="440" t="s">
        <v>2560</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4"/>
      <c r="Q34" s="1801" t="str">
        <f>B34</f>
        <v>宗地面积</v>
      </c>
      <c r="R34" s="774" t="s">
        <v>17</v>
      </c>
      <c r="S34" s="775" t="e">
        <f t="shared" si="10"/>
        <v>#N/A</v>
      </c>
      <c r="T34" s="774" t="s">
        <v>17</v>
      </c>
      <c r="U34" s="775" t="e">
        <f t="shared" si="11"/>
        <v>#N/A</v>
      </c>
      <c r="V34" s="774" t="s">
        <v>17</v>
      </c>
      <c r="W34" s="775" t="e">
        <f t="shared" si="12"/>
        <v>#N/A</v>
      </c>
      <c r="X34" s="1804"/>
      <c r="Y34" s="3234"/>
      <c r="Z34" s="1805" t="str">
        <f t="shared" si="13"/>
        <v>宗地面积</v>
      </c>
      <c r="AA34" s="1802" t="e">
        <f t="shared" si="3"/>
        <v>#N/A</v>
      </c>
      <c r="AB34" s="1802" t="e">
        <f t="shared" si="4"/>
        <v>#N/A</v>
      </c>
      <c r="AC34" s="1802" t="e">
        <f t="shared" si="5"/>
        <v>#N/A</v>
      </c>
    </row>
    <row r="35" spans="1:29" ht="15">
      <c r="A35" s="472"/>
      <c r="B35" s="422" t="s">
        <v>2748</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34"/>
      <c r="Q35" s="1801" t="str">
        <f t="shared" ref="Q35:Q40" si="14">B35</f>
        <v>宗地形状</v>
      </c>
      <c r="R35" s="774" t="s">
        <v>17</v>
      </c>
      <c r="S35" s="775">
        <f t="shared" si="10"/>
        <v>100</v>
      </c>
      <c r="T35" s="774" t="s">
        <v>17</v>
      </c>
      <c r="U35" s="775">
        <f t="shared" si="11"/>
        <v>100</v>
      </c>
      <c r="V35" s="774" t="s">
        <v>17</v>
      </c>
      <c r="W35" s="775">
        <f t="shared" si="12"/>
        <v>100</v>
      </c>
      <c r="X35" s="1804"/>
      <c r="Y35" s="3234"/>
      <c r="Z35" s="1805" t="str">
        <f t="shared" si="13"/>
        <v>宗地形状</v>
      </c>
      <c r="AA35" s="1802">
        <f t="shared" si="3"/>
        <v>1</v>
      </c>
      <c r="AB35" s="1802">
        <f t="shared" si="4"/>
        <v>1</v>
      </c>
      <c r="AC35" s="1802">
        <f t="shared" si="5"/>
        <v>1</v>
      </c>
    </row>
    <row r="36" spans="1:29" s="117" customFormat="1" ht="15">
      <c r="A36" s="473"/>
      <c r="B36" s="422" t="s">
        <v>2750</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34"/>
      <c r="Q36" s="1801"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2751</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34" t="s">
        <v>2562</v>
      </c>
      <c r="Q37" s="1801" t="str">
        <f t="shared" si="14"/>
        <v>工程地质条件</v>
      </c>
      <c r="R37" s="774" t="s">
        <v>17</v>
      </c>
      <c r="S37" s="775">
        <f t="shared" si="10"/>
        <v>100</v>
      </c>
      <c r="T37" s="774" t="s">
        <v>17</v>
      </c>
      <c r="U37" s="775">
        <f t="shared" si="11"/>
        <v>100</v>
      </c>
      <c r="V37" s="774" t="s">
        <v>17</v>
      </c>
      <c r="W37" s="775">
        <f t="shared" si="12"/>
        <v>100</v>
      </c>
      <c r="X37" s="1804"/>
      <c r="Y37" s="3234" t="s">
        <v>2562</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4"/>
      <c r="Q38" s="1801">
        <f t="shared" si="14"/>
        <v>111</v>
      </c>
      <c r="R38" s="774" t="s">
        <v>17</v>
      </c>
      <c r="S38" s="775">
        <f t="shared" si="10"/>
        <v>100</v>
      </c>
      <c r="T38" s="774" t="s">
        <v>17</v>
      </c>
      <c r="U38" s="775">
        <f t="shared" si="11"/>
        <v>100</v>
      </c>
      <c r="V38" s="774" t="s">
        <v>17</v>
      </c>
      <c r="W38" s="775">
        <f t="shared" si="12"/>
        <v>100</v>
      </c>
      <c r="X38" s="1804"/>
      <c r="Y38" s="3234"/>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4"/>
      <c r="Q39" s="1801">
        <f t="shared" si="14"/>
        <v>111</v>
      </c>
      <c r="R39" s="774" t="s">
        <v>17</v>
      </c>
      <c r="S39" s="775">
        <f t="shared" si="10"/>
        <v>100</v>
      </c>
      <c r="T39" s="774" t="s">
        <v>17</v>
      </c>
      <c r="U39" s="775">
        <f t="shared" si="11"/>
        <v>100</v>
      </c>
      <c r="V39" s="774" t="s">
        <v>17</v>
      </c>
      <c r="W39" s="775">
        <f t="shared" si="12"/>
        <v>100</v>
      </c>
      <c r="X39" s="1804"/>
      <c r="Y39" s="3234"/>
      <c r="Z39" s="1805">
        <f t="shared" si="13"/>
        <v>111</v>
      </c>
      <c r="AA39" s="1802">
        <f t="shared" si="3"/>
        <v>1</v>
      </c>
      <c r="AB39" s="1802">
        <f t="shared" si="4"/>
        <v>1</v>
      </c>
      <c r="AC39" s="1802">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4"/>
      <c r="Q40" s="1801">
        <f t="shared" si="14"/>
        <v>111</v>
      </c>
      <c r="R40" s="777" t="s">
        <v>17</v>
      </c>
      <c r="S40" s="778">
        <f t="shared" si="10"/>
        <v>100</v>
      </c>
      <c r="T40" s="777" t="s">
        <v>17</v>
      </c>
      <c r="U40" s="778">
        <f t="shared" si="11"/>
        <v>100</v>
      </c>
      <c r="V40" s="777" t="s">
        <v>17</v>
      </c>
      <c r="W40" s="778">
        <f t="shared" si="12"/>
        <v>100</v>
      </c>
      <c r="X40" s="779"/>
      <c r="Y40" s="3234"/>
      <c r="Z40" s="780">
        <f t="shared" si="13"/>
        <v>111</v>
      </c>
      <c r="AA40" s="1802">
        <f t="shared" si="3"/>
        <v>1</v>
      </c>
      <c r="AB40" s="1802">
        <f t="shared" si="4"/>
        <v>1</v>
      </c>
      <c r="AC40" s="1802">
        <f t="shared" si="5"/>
        <v>1</v>
      </c>
    </row>
    <row r="41" spans="1:29" ht="15">
      <c r="A41" s="479" t="s">
        <v>2717</v>
      </c>
      <c r="B41" s="2697" t="s">
        <v>2796</v>
      </c>
      <c r="C41" s="682" t="s">
        <v>1</v>
      </c>
      <c r="D41" s="481"/>
      <c r="E41" s="482"/>
      <c r="F41" s="483"/>
      <c r="G41" s="484"/>
      <c r="H41" s="485"/>
      <c r="I41" s="482"/>
      <c r="J41" s="485"/>
      <c r="K41" s="783"/>
      <c r="L41" s="1143"/>
      <c r="M41" s="1131"/>
      <c r="N41" s="1131"/>
      <c r="O41" s="1144"/>
      <c r="P41" s="3236" t="str">
        <f>A41</f>
        <v>成交单价</v>
      </c>
      <c r="Q41" s="3236"/>
      <c r="R41" s="3224">
        <f>E41</f>
        <v>0</v>
      </c>
      <c r="S41" s="3224"/>
      <c r="T41" s="3224">
        <f>G41</f>
        <v>0</v>
      </c>
      <c r="U41" s="3224"/>
      <c r="V41" s="3224">
        <f>I41</f>
        <v>0</v>
      </c>
      <c r="W41" s="322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36" t="str">
        <f>A42</f>
        <v>比较价值（元/平方米）</v>
      </c>
      <c r="Q42" s="3236"/>
      <c r="R42" s="3275" t="e">
        <f>ROUND(PRODUCT(R41,AA7:AA40),0)</f>
        <v>#DIV/0!</v>
      </c>
      <c r="S42" s="3275"/>
      <c r="T42" s="3275" t="e">
        <f>ROUND(PRODUCT(T41,AB7:AB40),0)</f>
        <v>#DIV/0!</v>
      </c>
      <c r="U42" s="3275"/>
      <c r="V42" s="3275" t="e">
        <f>ROUND(PRODUCT(V41,AC7:AC40),0)</f>
        <v>#DIV/0!</v>
      </c>
      <c r="W42" s="3275"/>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71" t="str">
        <f>A43</f>
        <v>估价对象XX用房的比较价值（楼面单价，元/平方米）</v>
      </c>
      <c r="Q43" s="3272"/>
      <c r="R43" s="3276" t="e">
        <f>ROUND(AVERAGE(R42:V42),0)</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698" t="s">
        <v>2756</v>
      </c>
      <c r="D50" s="2699" t="s">
        <v>2757</v>
      </c>
      <c r="E50" s="686" t="s">
        <v>2758</v>
      </c>
      <c r="F50" s="687" t="s">
        <v>2759</v>
      </c>
      <c r="G50" s="3211" t="s">
        <v>2760</v>
      </c>
      <c r="H50" s="3277"/>
      <c r="I50" s="1805" t="s">
        <v>2797</v>
      </c>
      <c r="J50" s="1805">
        <f>项目基本情况!F35</f>
        <v>0</v>
      </c>
      <c r="K50" s="2701" t="s">
        <v>2762</v>
      </c>
      <c r="L50" s="1106"/>
      <c r="M50" s="1144"/>
      <c r="N50" s="1144"/>
      <c r="O50" s="1144"/>
    </row>
    <row r="51" spans="1:17" s="692" customFormat="1">
      <c r="A51" s="688" t="s">
        <v>2763</v>
      </c>
      <c r="B51" s="689" t="e">
        <f>C43</f>
        <v>#DIV/0!</v>
      </c>
      <c r="C51" s="690">
        <v>1</v>
      </c>
      <c r="D51" s="1163">
        <v>1</v>
      </c>
      <c r="E51" s="690">
        <f>'数据-汇总表'!E8+'数据-汇总表'!E9</f>
        <v>1272.47</v>
      </c>
      <c r="F51" s="691" t="e">
        <f t="shared" ref="F51:F60" si="15">ROUND(B51*E51/10000,0)</f>
        <v>#DIV/0!</v>
      </c>
      <c r="G51" s="3207"/>
      <c r="H51" s="3236"/>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78"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78"/>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78"/>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78"/>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2"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452.2</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2"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3"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4" t="s">
        <v>2778</v>
      </c>
      <c r="B65" s="1359"/>
      <c r="C65" s="1571" t="str">
        <f>YEAR(C63)&amp;"-"&amp;ROUNDUP(MONTH(C63)/3,0)</f>
        <v>2020-3</v>
      </c>
      <c r="D65" s="1571" t="str">
        <f t="shared" ref="D65:O65" si="19">YEAR(D63)&amp;"-"&amp;ROUNDUP(MONTH(D63)/3,0)</f>
        <v>2020-2</v>
      </c>
      <c r="E65" s="1571" t="str">
        <f t="shared" si="19"/>
        <v>2020-1</v>
      </c>
      <c r="F65" s="1571" t="str">
        <f t="shared" si="19"/>
        <v>2019-4</v>
      </c>
      <c r="G65" s="1571" t="str">
        <f t="shared" si="19"/>
        <v>2019-3</v>
      </c>
      <c r="H65" s="1571" t="str">
        <f t="shared" si="19"/>
        <v>2019-2</v>
      </c>
      <c r="I65" s="1571" t="str">
        <f t="shared" si="19"/>
        <v>2019-1</v>
      </c>
      <c r="J65" s="1571" t="str">
        <f t="shared" si="19"/>
        <v>2018-4</v>
      </c>
      <c r="K65" s="1571" t="str">
        <f t="shared" si="19"/>
        <v>2018-3</v>
      </c>
      <c r="L65" s="1571" t="str">
        <f t="shared" si="19"/>
        <v>2018-2</v>
      </c>
      <c r="M65" s="1571" t="str">
        <f t="shared" si="19"/>
        <v>2018-1</v>
      </c>
      <c r="N65" s="1571" t="str">
        <f t="shared" si="19"/>
        <v>2017-4</v>
      </c>
      <c r="O65" s="1571" t="str">
        <f t="shared" si="19"/>
        <v>2017-3</v>
      </c>
      <c r="P65" s="507"/>
    </row>
    <row r="66" spans="1:17" s="117" customFormat="1" ht="30.75" customHeight="1">
      <c r="A66" s="2709" t="s">
        <v>2798</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2800</v>
      </c>
      <c r="B1" s="241"/>
      <c r="C1" s="245" t="s">
        <v>2801</v>
      </c>
      <c r="D1" s="388">
        <f>SUM(D29:D30,D33:D39)</f>
        <v>0</v>
      </c>
      <c r="E1" s="2710"/>
      <c r="F1" s="2710"/>
      <c r="G1" s="2710"/>
      <c r="H1" s="2710"/>
      <c r="I1" s="2710"/>
      <c r="J1" s="2710"/>
      <c r="K1" s="1370"/>
      <c r="L1" s="2711" t="s">
        <v>2802</v>
      </c>
      <c r="M1" s="1080">
        <f>SUMPRODUCT((区片价!B5:B9=I2)*(区片价!C3:F3=E2)*(区片价!C5:F9))</f>
        <v>0</v>
      </c>
      <c r="N1" s="1083">
        <f>SUMPRODUCT((因素修正幅度!B5:B9=I2)*(因素修正幅度!C3:F3=E2)*(因素修正幅度!C5:F9))</f>
        <v>0</v>
      </c>
      <c r="O1" s="2712"/>
      <c r="P1" s="2712"/>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t="e">
        <f>C26</f>
        <v>#DIV/0!</v>
      </c>
      <c r="C2" s="2714" t="s">
        <v>2809</v>
      </c>
      <c r="D2" s="2715" t="s">
        <v>2810</v>
      </c>
      <c r="E2" s="2716"/>
      <c r="F2" s="2715" t="s">
        <v>2811</v>
      </c>
      <c r="G2" s="2717">
        <f>IF(E2="商业",项目基本情况!B37,IF(E2="办公",项目基本情况!C37,IF(E2="住宅",项目基本情况!D37,项目基本情况!E37)))</f>
        <v>0</v>
      </c>
      <c r="H2" s="2715" t="s">
        <v>2812</v>
      </c>
      <c r="I2" s="2717">
        <f>IF(E2="商业",项目基本情况!B38,IF(E2="办公",项目基本情况!C38,IF(E2="住宅",项目基本情况!D38,项目基本情况!E38)))</f>
        <v>0</v>
      </c>
      <c r="J2" s="2718"/>
      <c r="K2" s="1370"/>
      <c r="L2" s="2719" t="s">
        <v>2813</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2814</v>
      </c>
      <c r="B3" s="248" t="e">
        <f>ROUND(B2*10000/D1,0)</f>
        <v>#DIV/0!</v>
      </c>
      <c r="C3" s="2714" t="s">
        <v>2815</v>
      </c>
      <c r="D3" s="2715" t="s">
        <v>2816</v>
      </c>
      <c r="E3" s="2720"/>
      <c r="F3" s="2721" t="s">
        <v>2817</v>
      </c>
      <c r="G3" s="916" t="e">
        <f>IF(F3="宗地容积率",'数据-汇总表'!I4,IF(F3="估价对象容积率",'数据-汇总表'!I6,'数据-汇总表'!I7))</f>
        <v>#DIV/0!</v>
      </c>
      <c r="H3" s="198" t="s">
        <v>2818</v>
      </c>
      <c r="I3" s="944"/>
      <c r="J3" s="2718" t="s">
        <v>2819</v>
      </c>
      <c r="K3" s="1370"/>
      <c r="L3" s="2719" t="s">
        <v>2820</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9"/>
      <c r="B4" s="3300"/>
      <c r="C4" s="3300"/>
      <c r="D4" s="3301"/>
      <c r="E4" s="3301"/>
      <c r="F4" s="3301"/>
      <c r="G4" s="3301"/>
      <c r="H4" s="3301"/>
      <c r="I4" s="3301"/>
      <c r="J4" s="3302"/>
      <c r="K4" s="1370"/>
      <c r="L4" s="2719" t="s">
        <v>2821</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2822</v>
      </c>
      <c r="C5" s="917" t="e">
        <f>ROUND(IF(E2="商业",C6*C7+C16,(IF(E2="住宅",C6*C12+C16,C6+C16))),0)</f>
        <v>#DIV/0!</v>
      </c>
      <c r="D5" s="1778" t="e">
        <f>ROUND(C6+C16,0)</f>
        <v>#DIV/0!</v>
      </c>
      <c r="E5" s="1778"/>
      <c r="F5" s="2724"/>
      <c r="G5" s="2725"/>
      <c r="H5" s="2725"/>
      <c r="I5" s="2725"/>
      <c r="J5" s="2726"/>
      <c r="K5" s="2727"/>
      <c r="L5" s="2719" t="s">
        <v>2823</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2824</v>
      </c>
      <c r="B6" s="2733" t="s">
        <v>2825</v>
      </c>
      <c r="C6" s="918">
        <f>SUMIF(L1:L12,G2,M1:M12)</f>
        <v>0</v>
      </c>
      <c r="D6" s="2734" t="s">
        <v>2826</v>
      </c>
      <c r="E6" s="2735"/>
      <c r="F6" s="2735"/>
      <c r="G6" s="2736"/>
      <c r="H6" s="2736"/>
      <c r="I6" s="2736"/>
      <c r="J6" s="2737"/>
      <c r="K6" s="1833"/>
      <c r="L6" s="2719" t="s">
        <v>2827</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83" t="str">
        <f>IF(E2="商业",IF(C8="不临58条商业街","",2),"")</f>
        <v/>
      </c>
      <c r="B7" s="2738" t="s">
        <v>2828</v>
      </c>
      <c r="C7" s="919" t="e">
        <f>IF(C8="不临58条商业街",1,ROUND(1+(1.6*E8+1.2*E9+0.8*E10+0.4*E11)*C9,4))</f>
        <v>#DIV/0!</v>
      </c>
      <c r="D7" s="2739" t="s">
        <v>2829</v>
      </c>
      <c r="E7" s="945"/>
      <c r="F7" s="2740"/>
      <c r="G7" s="2741"/>
      <c r="H7" s="2741"/>
      <c r="I7" s="2741"/>
      <c r="J7" s="2742"/>
      <c r="K7" s="1833"/>
      <c r="L7" s="2719" t="s">
        <v>2830</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07" t="s">
        <v>2831</v>
      </c>
      <c r="X7" s="1603">
        <f>G2</f>
        <v>0</v>
      </c>
      <c r="Y7" s="1603" t="s">
        <v>2832</v>
      </c>
      <c r="Z7" s="1604" t="e">
        <f>G3</f>
        <v>#DIV/0!</v>
      </c>
      <c r="AA7" s="1605"/>
      <c r="AB7" s="1605"/>
      <c r="AC7" s="1606"/>
      <c r="AD7" s="1607"/>
      <c r="AE7" s="1607"/>
      <c r="AF7" s="1607"/>
      <c r="AG7" s="1607"/>
      <c r="AH7" s="1607"/>
      <c r="AI7" s="1607"/>
      <c r="AJ7" s="1608"/>
    </row>
    <row r="8" spans="1:36" ht="15">
      <c r="A8" s="3303"/>
      <c r="B8" s="198" t="s">
        <v>2833</v>
      </c>
      <c r="C8" s="2743"/>
      <c r="D8" s="920" t="s">
        <v>139</v>
      </c>
      <c r="E8" s="921" t="e">
        <f>ROUND(C11/E7,4)</f>
        <v>#DIV/0!</v>
      </c>
      <c r="F8" s="2744" t="s">
        <v>2834</v>
      </c>
      <c r="G8" s="2745"/>
      <c r="H8" s="2745"/>
      <c r="I8" s="2745"/>
      <c r="J8" s="2746"/>
      <c r="K8" s="1370"/>
      <c r="L8" s="2719"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6" t="s">
        <v>2836</v>
      </c>
      <c r="X8" s="3297"/>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03"/>
      <c r="B9" s="198" t="s">
        <v>2849</v>
      </c>
      <c r="C9" s="922">
        <f>SUMIF(修正!C59:C119,C8,修正!E59:E119)</f>
        <v>0</v>
      </c>
      <c r="D9" s="200" t="s">
        <v>140</v>
      </c>
      <c r="E9" s="200" t="e">
        <f>ROUND(C11/E7,4)</f>
        <v>#DIV/0!</v>
      </c>
      <c r="F9" s="2744" t="s">
        <v>2850</v>
      </c>
      <c r="G9" s="2745"/>
      <c r="H9" s="2745"/>
      <c r="I9" s="2745"/>
      <c r="J9" s="2746"/>
      <c r="K9" s="1370"/>
      <c r="L9" s="2719" t="s">
        <v>2851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8" t="s">
        <v>2852</v>
      </c>
      <c r="X9" s="1610" t="s">
        <v>2853</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3"/>
      <c r="B10" s="198" t="s">
        <v>2854</v>
      </c>
      <c r="C10" s="200">
        <f>SUMIF(修正!C59:C119,C8,修正!F59:F119)</f>
        <v>0</v>
      </c>
      <c r="D10" s="200" t="s">
        <v>141</v>
      </c>
      <c r="E10" s="200" t="e">
        <f>ROUND(C11/E7,4)</f>
        <v>#DIV/0!</v>
      </c>
      <c r="F10" s="2744" t="s">
        <v>2855</v>
      </c>
      <c r="G10" s="2745"/>
      <c r="H10" s="2745"/>
      <c r="I10" s="2745"/>
      <c r="J10" s="2746"/>
      <c r="K10" s="1370"/>
      <c r="L10" s="2719"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3"/>
      <c r="B11" s="2747" t="s">
        <v>2857</v>
      </c>
      <c r="C11" s="923">
        <f>C10/4</f>
        <v>0</v>
      </c>
      <c r="D11" s="923" t="s">
        <v>142</v>
      </c>
      <c r="E11" s="923" t="e">
        <f>ROUND(C11/E7,4)</f>
        <v>#DIV/0!</v>
      </c>
      <c r="F11" s="2748" t="s">
        <v>2858</v>
      </c>
      <c r="G11" s="2749"/>
      <c r="H11" s="2749"/>
      <c r="I11" s="2749"/>
      <c r="J11" s="2750"/>
      <c r="K11" s="1370"/>
      <c r="L11" s="2719"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8" t="s">
        <v>2860</v>
      </c>
      <c r="X11" s="1613" t="s">
        <v>2861</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83" t="s">
        <v>2862</v>
      </c>
      <c r="B12" s="2751" t="s">
        <v>2863</v>
      </c>
      <c r="C12" s="919">
        <f>ROUND(C15*D15*E15*F15*G15*H15*I15*J15,4)</f>
        <v>1</v>
      </c>
      <c r="D12" s="2752" t="s">
        <v>2864</v>
      </c>
      <c r="E12" s="2753"/>
      <c r="F12" s="2753"/>
      <c r="G12" s="2754"/>
      <c r="H12" s="2754"/>
      <c r="I12" s="2754"/>
      <c r="J12" s="2755"/>
      <c r="K12" s="1370"/>
      <c r="L12" s="2756"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8"/>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57" t="s">
        <v>2867</v>
      </c>
      <c r="C13" s="2758" t="s">
        <v>2868</v>
      </c>
      <c r="D13" s="1799" t="s">
        <v>2869</v>
      </c>
      <c r="E13" s="1799" t="s">
        <v>2870</v>
      </c>
      <c r="F13" s="30" t="s">
        <v>2871</v>
      </c>
      <c r="G13" s="2759" t="s">
        <v>2872</v>
      </c>
      <c r="H13" s="2759" t="s">
        <v>2872</v>
      </c>
      <c r="I13" s="2759" t="s">
        <v>2872</v>
      </c>
      <c r="J13" s="2760" t="s">
        <v>2872</v>
      </c>
      <c r="K13" s="1370"/>
      <c r="L13" s="1370"/>
      <c r="M13" s="1370"/>
      <c r="N13" s="1370"/>
      <c r="O13" s="1370"/>
      <c r="P13" s="1370"/>
      <c r="Q13" s="1370"/>
      <c r="R13" s="1601">
        <v>12</v>
      </c>
      <c r="S13" s="1602"/>
      <c r="T13" s="1601" t="e">
        <f t="shared" si="0"/>
        <v>#DIV/0!</v>
      </c>
      <c r="U13" s="1602"/>
      <c r="V13" s="1601" t="e">
        <f t="shared" si="1"/>
        <v>#DIV/0!</v>
      </c>
      <c r="W13" s="3298"/>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04"/>
      <c r="B14" s="2761"/>
      <c r="C14" s="2762"/>
      <c r="D14" s="2763"/>
      <c r="E14" s="2763"/>
      <c r="F14" s="2764"/>
      <c r="G14" s="2765" t="s">
        <v>2873</v>
      </c>
      <c r="H14" s="2766"/>
      <c r="I14" s="2767"/>
      <c r="J14" s="2768"/>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5"/>
      <c r="B15" s="2769" t="s">
        <v>2874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3" t="s">
        <v>2879</v>
      </c>
      <c r="B16" s="2738" t="s">
        <v>2880</v>
      </c>
      <c r="C16" s="2925" t="e">
        <f>ROUND(IF(F17="与级别开发程度一致",0,(G17-E17)/C17),0)</f>
        <v>#DIV/0!</v>
      </c>
      <c r="D16" s="3294" t="s">
        <v>2884</v>
      </c>
      <c r="E16" s="3295"/>
      <c r="F16" s="3294" t="s">
        <v>2881</v>
      </c>
      <c r="G16" s="3295"/>
      <c r="H16" s="2772"/>
      <c r="I16" s="2772"/>
      <c r="J16" s="2929"/>
      <c r="K16" s="2772"/>
      <c r="L16" s="2772"/>
      <c r="M16" s="2772"/>
      <c r="N16" s="2772"/>
      <c r="O16" s="2773"/>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4"/>
      <c r="B17" s="2936" t="s">
        <v>2883</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2886</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2887</v>
      </c>
      <c r="C19" s="924" t="e">
        <f>ROUND(IF(H19="按公示增长率计算",SUMPRODUCT((地价!A3:A30=YEAR(G19)&amp;"-"&amp;ROUNDUP(MONTH(G19)/3,0))*(地价!X2:AB2=E2)*(地价!X3:AB30)),IF(H19="地价指数",M20/M19,(1+I19)^O19)),4)</f>
        <v>#VALUE!</v>
      </c>
      <c r="D19" s="2782" t="s">
        <v>2888</v>
      </c>
      <c r="E19" s="925">
        <v>41640</v>
      </c>
      <c r="F19" s="2782" t="s">
        <v>2889</v>
      </c>
      <c r="G19" s="926">
        <f>'数据-取费表'!B2</f>
        <v>44020</v>
      </c>
      <c r="H19" s="2783"/>
      <c r="I19" s="927" t="str">
        <f>IF(H19="季度增幅（自定义）",SUMIF(N21:N24,E2,O21:O24),"")</f>
        <v/>
      </c>
      <c r="J19" s="2780"/>
      <c r="K19" s="1377"/>
      <c r="L19" s="2784" t="s">
        <v>2890</v>
      </c>
      <c r="M19" s="1733">
        <f>ROUND(SUMIF(地价!B2:F2,E2,地价!B30:F30),0)</f>
        <v>0</v>
      </c>
      <c r="N19" s="2785" t="s">
        <v>2891</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2892</v>
      </c>
      <c r="C20" s="929" t="e">
        <f>ROUND(POWER(1+G20,J20-I20)*(POWER(1+G20,I20)-1)/(POWER(1+G20,J20)-1),4)</f>
        <v>#DIV/0!</v>
      </c>
      <c r="D20" s="2791" t="s">
        <v>2893</v>
      </c>
      <c r="E20" s="1759">
        <f ca="1">存贷款利率!D4/100</f>
        <v>4.3499999999999997E-2</v>
      </c>
      <c r="F20" s="2791" t="s">
        <v>2885</v>
      </c>
      <c r="G20" s="934">
        <f>SUMIF(M26:P26,E2,M28:P28)</f>
        <v>0</v>
      </c>
      <c r="H20" s="2791" t="s">
        <v>2894</v>
      </c>
      <c r="I20" s="935" t="e">
        <f>SUMIF('数据-取费表'!C6:C15,E2,'数据-取费表'!F6:F15)/COUNTIF('数据-取费表'!C6:C15,E2)</f>
        <v>#DIV/0!</v>
      </c>
      <c r="J20" s="936">
        <f>IF(E2="住宅",70,IF(E2="商业",40,50))</f>
        <v>50</v>
      </c>
      <c r="K20" s="1377"/>
      <c r="L20" s="2792" t="s">
        <v>2895</v>
      </c>
      <c r="M20" s="1734">
        <f>ROUND(SUMPRODUCT((地价!A4:A30=YEAR(G19)&amp;"-"&amp;ROUNDUP(MONTH(G19)/3,0))*(地价!B2:F2=E2)*(地价!B4:F30)),0)</f>
        <v>0</v>
      </c>
      <c r="N20" s="2793" t="s">
        <v>2896</v>
      </c>
      <c r="O20" s="2794" t="s">
        <v>2897</v>
      </c>
      <c r="P20" s="2795" t="s">
        <v>2898</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2899</v>
      </c>
      <c r="C21" s="937" t="e">
        <f>IF(B21="容积率修正",IF(G3&lt;=10,D22,J22),C23)</f>
        <v>#DIV/0!</v>
      </c>
      <c r="D21" s="2798"/>
      <c r="E21" s="2798"/>
      <c r="F21" s="2798"/>
      <c r="G21" s="2798"/>
      <c r="H21" s="2798"/>
      <c r="I21" s="2798"/>
      <c r="J21" s="2799"/>
      <c r="K21" s="1377"/>
      <c r="N21" s="2800" t="s">
        <v>2900</v>
      </c>
      <c r="O21" s="1561"/>
      <c r="P21" s="1562">
        <f>SUMPRODUCT((地价!A3:A30=YEAR(G19)&amp;"-"&amp;ROUNDUP(MONTH(G19)/3,0))*(地价!AD2:AH2=N21)*(地价!AD3:AH30))</f>
        <v>0</v>
      </c>
      <c r="R21" s="1376"/>
      <c r="S21" s="1376"/>
      <c r="T21" s="1371"/>
      <c r="U21" s="1371"/>
      <c r="V21" s="1371"/>
      <c r="W21" s="1370"/>
      <c r="X21" s="1370"/>
      <c r="Y21" s="1370"/>
      <c r="Z21" s="1377"/>
      <c r="AA21" s="1378"/>
      <c r="AB21" s="1378"/>
      <c r="AC21" s="1378"/>
      <c r="AD21" s="1378"/>
      <c r="AE21" s="1378"/>
      <c r="AF21" s="1378"/>
    </row>
    <row r="22" spans="1:37" s="2731" customFormat="1" ht="14.25">
      <c r="A22" s="2657" t="s">
        <v>2901</v>
      </c>
      <c r="B22" s="2801" t="s">
        <v>2902</v>
      </c>
      <c r="C22" s="1801" t="s">
        <v>2903</v>
      </c>
      <c r="D22" s="1801" t="e">
        <f>IF(E22=G22,F22,IF(G3&lt;=10,ROUND(F22+(H22-F22)*(G3-E22)/(G22-E22),4),"——"))</f>
        <v>#DIV/0!</v>
      </c>
      <c r="E22" s="916" t="e">
        <f>ROUNDDOWN(G3,1)</f>
        <v>#DIV/0!</v>
      </c>
      <c r="F22" s="180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1" t="s">
        <v>155</v>
      </c>
      <c r="J22" s="938" t="e">
        <f>IF(G3&gt;10,D113,"——")</f>
        <v>#DIV/0!</v>
      </c>
      <c r="K22" s="1377"/>
      <c r="N22" s="2800" t="s">
        <v>2904</v>
      </c>
      <c r="O22" s="1561"/>
      <c r="P22" s="1562">
        <f>SUMPRODUCT((地价!A3:A30=YEAR(G19)&amp;"-"&amp;ROUNDUP(MONTH(G19)/3,0))*(地价!AD2:AH2=N22)*(地价!AD3:AH30))</f>
        <v>0</v>
      </c>
      <c r="R22" s="1376"/>
      <c r="S22" s="1376"/>
      <c r="T22" s="1371"/>
      <c r="U22" s="1371"/>
      <c r="V22" s="1371"/>
      <c r="W22" s="1370"/>
      <c r="X22" s="1370"/>
      <c r="Y22" s="1370"/>
      <c r="Z22" s="1377"/>
      <c r="AA22" s="1378"/>
      <c r="AB22" s="1378"/>
      <c r="AC22" s="1378"/>
      <c r="AD22" s="1378"/>
      <c r="AE22" s="1378"/>
      <c r="AF22" s="1378"/>
    </row>
    <row r="23" spans="1:37" ht="27.75" thickBot="1">
      <c r="A23" s="2657" t="s">
        <v>2905</v>
      </c>
      <c r="B23" s="2802" t="s">
        <v>2906</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2907</v>
      </c>
      <c r="O23" s="1561"/>
      <c r="P23" s="1562">
        <f>SUMPRODUCT((地价!A3:A30=YEAR(G19)&amp;"-"&amp;ROUNDUP(MONTH(G19)/3,0))*(地价!AD2:AH2=N23)*(地价!AD3:AH30))</f>
        <v>0</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2908</v>
      </c>
      <c r="C24" s="924">
        <f>SUMIF(A45:A88,E2,B45:B88)</f>
        <v>0</v>
      </c>
      <c r="D24" s="2779"/>
      <c r="E24" s="2808"/>
      <c r="F24" s="2808"/>
      <c r="G24" s="2808"/>
      <c r="H24" s="2808"/>
      <c r="I24" s="2808"/>
      <c r="J24" s="2809"/>
      <c r="K24" s="1377"/>
      <c r="N24" s="2810" t="s">
        <v>2909</v>
      </c>
      <c r="O24" s="1563"/>
      <c r="P24" s="1564">
        <f>SUMPRODUCT((地价!A3:A30=YEAR(G19)&amp;"-"&amp;ROUNDUP(MONTH(G19)/3,0))*(地价!AD2:AH2=N24)*(地价!AD3:AH30))</f>
        <v>0</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2910</v>
      </c>
      <c r="C25" s="930"/>
      <c r="D25" s="2741"/>
      <c r="E25" s="2741"/>
      <c r="F25" s="2812"/>
      <c r="G25" s="2741"/>
      <c r="H25" s="2741"/>
      <c r="I25" s="2741"/>
      <c r="J25" s="2742"/>
      <c r="K25" s="1370"/>
      <c r="N25" s="2813" t="s">
        <v>2911</v>
      </c>
      <c r="O25" s="1565"/>
      <c r="P25" s="1564">
        <f>SUMPRODUCT((地价!A3:A30=YEAR(G19)&amp;"-"&amp;ROUNDUP(MONTH(G19)/3,0))*(地价!AD2:AH2=N25)*(地价!AD3:AH30))</f>
        <v>0</v>
      </c>
      <c r="R25" s="1376"/>
      <c r="S25" s="1376"/>
      <c r="T25" s="1371"/>
      <c r="U25" s="1371"/>
      <c r="V25" s="1371"/>
      <c r="W25" s="1370"/>
      <c r="X25" s="1370"/>
      <c r="Y25" s="1370"/>
      <c r="Z25" s="1377"/>
      <c r="AA25" s="1378"/>
      <c r="AB25" s="1378"/>
      <c r="AC25" s="1378"/>
      <c r="AD25" s="1378"/>
    </row>
    <row r="26" spans="1:37" ht="15">
      <c r="A26" s="2814"/>
      <c r="B26" s="2801" t="s">
        <v>2912</v>
      </c>
      <c r="C26" s="206" t="e">
        <f>E29+SUM(E33:E39)</f>
        <v>#DIV/0!</v>
      </c>
      <c r="D26" s="2815"/>
      <c r="E26" s="2766"/>
      <c r="F26" s="2816"/>
      <c r="G26" s="2766"/>
      <c r="H26" s="2766"/>
      <c r="I26" s="2766"/>
      <c r="J26" s="2817"/>
      <c r="K26" s="1370"/>
      <c r="L26" s="2770" t="s">
        <v>2810</v>
      </c>
      <c r="M26" s="920" t="s">
        <v>2875</v>
      </c>
      <c r="N26" s="920" t="s">
        <v>2876</v>
      </c>
      <c r="O26" s="920" t="s">
        <v>2877</v>
      </c>
      <c r="P26" s="2771" t="s">
        <v>2878</v>
      </c>
      <c r="R26" s="1376"/>
      <c r="S26" s="1376"/>
      <c r="T26" s="1371"/>
      <c r="U26" s="1371"/>
      <c r="V26" s="1371"/>
      <c r="W26" s="1370"/>
      <c r="X26" s="1370"/>
      <c r="Y26" s="1370"/>
      <c r="Z26" s="1377"/>
      <c r="AA26" s="1378"/>
      <c r="AB26" s="1378"/>
      <c r="AC26" s="1378"/>
      <c r="AD26" s="1378"/>
    </row>
    <row r="27" spans="1:37" ht="15.75" thickBot="1">
      <c r="A27" s="2814"/>
      <c r="B27" s="2818" t="s">
        <v>2913</v>
      </c>
      <c r="C27" s="931" t="e">
        <f>E30+SUM(I33:I39)</f>
        <v>#DIV/0!</v>
      </c>
      <c r="D27" s="2819"/>
      <c r="E27" s="2820"/>
      <c r="F27" s="2821"/>
      <c r="G27" s="2820"/>
      <c r="H27" s="2820"/>
      <c r="I27" s="2820"/>
      <c r="J27" s="2822"/>
      <c r="K27" s="1370"/>
      <c r="L27" s="277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2914</v>
      </c>
      <c r="C28" s="2825" t="s">
        <v>2915</v>
      </c>
      <c r="D28" s="2825" t="s">
        <v>2916</v>
      </c>
      <c r="E28" s="2826" t="s">
        <v>2917</v>
      </c>
      <c r="F28" s="2827"/>
      <c r="G28" s="2754"/>
      <c r="H28" s="2754"/>
      <c r="I28" s="2754"/>
      <c r="J28" s="2755"/>
      <c r="K28" s="1370"/>
      <c r="L28" s="277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2918</v>
      </c>
      <c r="C29" s="206" t="e">
        <f>ROUND(C5*C18*C19*C20*C21*C24,0)</f>
        <v>#DIV/0!</v>
      </c>
      <c r="D29" s="2830"/>
      <c r="E29" s="942" t="e">
        <f>ROUND(C29*D29/10000,0)</f>
        <v>#DIV/0!</v>
      </c>
      <c r="F29" s="2831" t="s">
        <v>2919</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2920</v>
      </c>
      <c r="C30" s="229" t="e">
        <f>ROUND(IF(E2="工业",C29*M39,C29*M38),0)</f>
        <v>#DIV/0!</v>
      </c>
      <c r="D30" s="2836"/>
      <c r="E30" s="942" t="e">
        <f>ROUND(C30*D30/10000,0)</f>
        <v>#DIV/0!</v>
      </c>
      <c r="F30" s="2837" t="s">
        <v>2921</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2922</v>
      </c>
      <c r="C31" s="2842" t="s">
        <v>2923</v>
      </c>
      <c r="D31" s="2754"/>
      <c r="E31" s="2842"/>
      <c r="F31" s="2842"/>
      <c r="G31" s="2752" t="s">
        <v>2924</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2915</v>
      </c>
      <c r="D32" s="498" t="s">
        <v>2916</v>
      </c>
      <c r="E32" s="498" t="s">
        <v>2917</v>
      </c>
      <c r="F32" s="388" t="s">
        <v>2925</v>
      </c>
      <c r="G32" s="2845" t="s">
        <v>2915</v>
      </c>
      <c r="H32" s="2845" t="s">
        <v>2916</v>
      </c>
      <c r="I32" s="2845"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91" t="s">
        <v>2926</v>
      </c>
      <c r="B33" s="2846" t="s">
        <v>2927</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2"/>
      <c r="B34" s="2758" t="s">
        <v>2928</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2"/>
      <c r="B35" s="2758" t="s">
        <v>2929</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293"/>
      <c r="B36" s="2758" t="s">
        <v>2930</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2931</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2932</v>
      </c>
      <c r="M37" s="2850"/>
      <c r="N37" s="1370"/>
      <c r="O37" s="1370"/>
      <c r="P37" s="1370"/>
      <c r="Q37" s="1370"/>
      <c r="R37" s="1370"/>
      <c r="S37" s="1370"/>
      <c r="T37" s="1370"/>
      <c r="U37" s="1370"/>
      <c r="V37" s="1370"/>
      <c r="W37" s="1370"/>
      <c r="X37" s="1370"/>
      <c r="Y37" s="1370"/>
      <c r="Z37" s="1371"/>
    </row>
    <row r="38" spans="1:37">
      <c r="A38" s="2848"/>
      <c r="B38" s="2758" t="s">
        <v>2933</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8" t="s">
        <v>2934</v>
      </c>
      <c r="M38" s="2851">
        <v>0.25</v>
      </c>
      <c r="N38" s="1370"/>
      <c r="O38" s="1370"/>
      <c r="P38" s="1370"/>
      <c r="Q38" s="1370"/>
      <c r="R38" s="1370"/>
      <c r="S38" s="1370"/>
      <c r="T38" s="1370"/>
      <c r="U38" s="1370"/>
      <c r="V38" s="1370"/>
      <c r="W38" s="1370"/>
      <c r="X38" s="1370"/>
      <c r="Y38" s="1370"/>
      <c r="Z38" s="1371"/>
    </row>
    <row r="39" spans="1:37" ht="13.5" thickBot="1">
      <c r="A39" s="2834"/>
      <c r="B39" s="2852" t="s">
        <v>2935</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2878</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3043</v>
      </c>
      <c r="C41" s="388" t="e">
        <f>ROUND(POWER(1+E41,H41-G41)*(POWER(1+E41,G41)-1)/(POWER(1+E41,H41)-1),4)</f>
        <v>#DIV/0!</v>
      </c>
      <c r="D41" s="200" t="s">
        <v>2885</v>
      </c>
      <c r="E41" s="2922">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2936</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2937</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2938</v>
      </c>
      <c r="B47" s="1800" t="s">
        <v>2939</v>
      </c>
      <c r="C47" s="1800" t="s">
        <v>2940</v>
      </c>
      <c r="D47" s="1800" t="s">
        <v>2941</v>
      </c>
      <c r="E47" s="819" t="s">
        <v>2942</v>
      </c>
      <c r="F47" s="2864" t="s">
        <v>2943</v>
      </c>
      <c r="G47" s="1800" t="s">
        <v>754</v>
      </c>
      <c r="H47" s="2865" t="s">
        <v>2944</v>
      </c>
      <c r="I47" s="1800"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3" t="s">
        <v>2946</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3" t="s">
        <v>2947</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2948</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2949</v>
      </c>
      <c r="B51" s="2868" t="s">
        <v>2950</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2951</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2952</v>
      </c>
      <c r="B53" s="2869" t="s">
        <v>2953</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0" t="s">
        <v>2954</v>
      </c>
      <c r="B54" s="1724"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0" t="s">
        <v>2955</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1" t="s">
        <v>2956</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2957</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2938</v>
      </c>
      <c r="B58" s="1800"/>
      <c r="C58" s="1800" t="s">
        <v>2940</v>
      </c>
      <c r="D58" s="1800" t="s">
        <v>2941</v>
      </c>
      <c r="E58" s="819" t="s">
        <v>2942</v>
      </c>
      <c r="F58" s="2864" t="s">
        <v>2958</v>
      </c>
      <c r="G58" s="1800" t="s">
        <v>754</v>
      </c>
      <c r="H58" s="2865" t="s">
        <v>2944</v>
      </c>
      <c r="I58" s="1800"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3" t="s">
        <v>2959</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2947</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2948</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2949</v>
      </c>
      <c r="B62" s="2868" t="s">
        <v>2950</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2951</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2952</v>
      </c>
      <c r="B64" s="2869" t="s">
        <v>2953</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2954</v>
      </c>
      <c r="B65" s="1724"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2955</v>
      </c>
      <c r="B66" s="1724"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2956</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2960</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2938</v>
      </c>
      <c r="B69" s="1800"/>
      <c r="C69" s="1800" t="s">
        <v>2940</v>
      </c>
      <c r="D69" s="1800" t="s">
        <v>2941</v>
      </c>
      <c r="E69" s="819" t="s">
        <v>2942</v>
      </c>
      <c r="F69" s="2864" t="s">
        <v>2958</v>
      </c>
      <c r="G69" s="1800" t="s">
        <v>754</v>
      </c>
      <c r="H69" s="2865" t="s">
        <v>2944</v>
      </c>
      <c r="I69" s="1800"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3" t="s">
        <v>2961</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2947</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2948</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2962</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2954</v>
      </c>
      <c r="B74" s="1724"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2955</v>
      </c>
      <c r="B75" s="1724"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2952</v>
      </c>
      <c r="B76" s="2869" t="s">
        <v>2953</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2956</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2963</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2964</v>
      </c>
      <c r="B79" s="2860">
        <f>1+E81</f>
        <v>1</v>
      </c>
      <c r="C79" s="814"/>
      <c r="D79" s="814"/>
      <c r="E79" s="815"/>
      <c r="F79" s="2862"/>
      <c r="G79" s="6"/>
      <c r="H79" s="6"/>
      <c r="I79" s="6"/>
      <c r="J79" s="7"/>
      <c r="K79" s="7"/>
      <c r="L79" s="7"/>
      <c r="M79" s="7"/>
      <c r="N79" s="7"/>
      <c r="Z79" s="2713"/>
      <c r="AA79" s="2781"/>
      <c r="AG79" s="1372"/>
      <c r="AK79" s="2781"/>
    </row>
    <row r="80" spans="1:37" ht="24.75">
      <c r="A80" s="2863" t="s">
        <v>2938</v>
      </c>
      <c r="B80" s="1800"/>
      <c r="C80" s="1800" t="s">
        <v>2940</v>
      </c>
      <c r="D80" s="1800" t="s">
        <v>2941</v>
      </c>
      <c r="E80" s="819" t="s">
        <v>2942</v>
      </c>
      <c r="F80" s="2864" t="s">
        <v>2958</v>
      </c>
      <c r="G80" s="1800" t="s">
        <v>754</v>
      </c>
      <c r="H80" s="2865" t="s">
        <v>2944</v>
      </c>
      <c r="I80" s="1800" t="s">
        <v>2945</v>
      </c>
      <c r="J80" s="603" t="s">
        <v>2594</v>
      </c>
      <c r="K80" s="603" t="s">
        <v>2595</v>
      </c>
      <c r="L80" s="603" t="s">
        <v>2596</v>
      </c>
      <c r="M80" s="603" t="s">
        <v>2597</v>
      </c>
      <c r="N80" s="603" t="s">
        <v>2598</v>
      </c>
      <c r="Z80" s="2713"/>
      <c r="AA80" s="2781"/>
      <c r="AG80" s="1372"/>
      <c r="AK80" s="2781"/>
    </row>
    <row r="81" spans="1:37" ht="38.25">
      <c r="A81" s="2863" t="s">
        <v>2965</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2947</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2948</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2962</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2954</v>
      </c>
      <c r="B85" s="1724"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2955</v>
      </c>
      <c r="B86" s="1724"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2952</v>
      </c>
      <c r="B87" s="2869" t="s">
        <v>2966</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2967</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85" t="s">
        <v>2968</v>
      </c>
      <c r="B90" s="3285"/>
      <c r="C90" s="3285"/>
      <c r="D90" s="3285"/>
      <c r="E90" s="3285"/>
      <c r="F90" s="3285"/>
      <c r="G90" s="3285"/>
      <c r="H90" s="3285"/>
      <c r="I90" s="3285"/>
      <c r="J90" s="3285"/>
      <c r="K90" s="2877"/>
      <c r="L90" s="2877"/>
      <c r="M90" s="2877"/>
      <c r="N90" s="2877"/>
    </row>
    <row r="91" spans="1:37">
      <c r="A91" s="3287" t="s">
        <v>2969</v>
      </c>
      <c r="B91" s="3287" t="s">
        <v>2970</v>
      </c>
      <c r="C91" s="2831" t="s">
        <v>2971</v>
      </c>
      <c r="D91" s="2832"/>
      <c r="E91" s="2832"/>
      <c r="F91" s="2832"/>
      <c r="G91" s="2832"/>
      <c r="H91" s="2832"/>
      <c r="I91" s="2832"/>
      <c r="J91" s="2878"/>
      <c r="K91" s="2879"/>
      <c r="L91" s="2879"/>
      <c r="M91" s="2879"/>
      <c r="N91" s="2879"/>
    </row>
    <row r="92" spans="1:37">
      <c r="A92" s="3287"/>
      <c r="B92" s="3287"/>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88" t="s">
        <v>2972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9"/>
      <c r="B99" s="2880" t="s">
        <v>2853</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0"/>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88" t="s">
        <v>2973</v>
      </c>
      <c r="B101" s="2884" t="s">
        <v>2974</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289"/>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289"/>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289"/>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289"/>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289"/>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289"/>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289"/>
      <c r="B108" s="3116" t="s">
        <v>2975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0"/>
      <c r="B109" s="3117"/>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286" t="s">
        <v>2976</v>
      </c>
      <c r="B110" s="3286"/>
      <c r="C110" s="3286"/>
      <c r="D110" s="3286"/>
      <c r="E110" s="3286"/>
      <c r="F110" s="3286"/>
      <c r="G110" s="3286"/>
      <c r="H110" s="3286"/>
      <c r="I110" s="3286"/>
      <c r="J110" s="3286"/>
      <c r="K110" s="2886"/>
      <c r="L110" s="2886"/>
      <c r="M110" s="2886"/>
      <c r="N110" s="2886"/>
    </row>
    <row r="112" spans="1:14" ht="13.5" thickBot="1"/>
    <row r="113" spans="1:13" ht="25.5" thickBot="1">
      <c r="A113" s="903" t="s">
        <v>2977</v>
      </c>
      <c r="B113" s="1287" t="e">
        <f>G3</f>
        <v>#DIV/0!</v>
      </c>
      <c r="C113" s="904" t="s">
        <v>2978</v>
      </c>
      <c r="D113" s="905" t="e">
        <f>SUMPRODUCT((A115:A118=F113)*(B114:M114=H113)*B115:M118)</f>
        <v>#DIV/0!</v>
      </c>
      <c r="E113" s="2717" t="s">
        <v>2810</v>
      </c>
      <c r="F113" s="2888">
        <f>E2</f>
        <v>0</v>
      </c>
      <c r="G113" s="2717" t="s">
        <v>2811</v>
      </c>
      <c r="H113" s="2888">
        <f>G2</f>
        <v>0</v>
      </c>
      <c r="I113" s="2717"/>
      <c r="J113" s="2889"/>
      <c r="K113" s="2889"/>
      <c r="L113" s="2889"/>
      <c r="M113" s="2889"/>
    </row>
    <row r="114" spans="1:13">
      <c r="A114" s="908"/>
      <c r="B114" s="2890" t="s">
        <v>2979</v>
      </c>
      <c r="C114" s="2890" t="s">
        <v>2980</v>
      </c>
      <c r="D114" s="2890" t="s">
        <v>2981</v>
      </c>
      <c r="E114" s="2891" t="s">
        <v>2982</v>
      </c>
      <c r="F114" s="2891" t="s">
        <v>2983</v>
      </c>
      <c r="G114" s="2891" t="s">
        <v>2984</v>
      </c>
      <c r="H114" s="2892" t="s">
        <v>2985</v>
      </c>
      <c r="I114" s="2892" t="s">
        <v>2986</v>
      </c>
      <c r="J114" s="2893" t="s">
        <v>2987</v>
      </c>
      <c r="K114" s="2893" t="s">
        <v>2988</v>
      </c>
      <c r="L114" s="2893" t="s">
        <v>2989</v>
      </c>
      <c r="M114" s="2894"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6" t="s">
        <v>183</v>
      </c>
      <c r="B18" s="882" t="s">
        <v>560</v>
      </c>
      <c r="C18" s="883" t="s">
        <v>561</v>
      </c>
      <c r="D18" s="884"/>
      <c r="E18" s="882">
        <v>1</v>
      </c>
      <c r="F18" s="885" t="s">
        <v>562</v>
      </c>
      <c r="G18" s="886"/>
      <c r="H18" s="878"/>
      <c r="I18" s="878"/>
    </row>
    <row r="19" spans="1:9" s="887" customFormat="1" ht="19.5" customHeight="1">
      <c r="A19" s="3306"/>
      <c r="B19" s="3306" t="s">
        <v>563</v>
      </c>
      <c r="C19" s="883" t="s">
        <v>564</v>
      </c>
      <c r="D19" s="884"/>
      <c r="E19" s="882">
        <v>0.9</v>
      </c>
      <c r="F19" s="885" t="s">
        <v>565</v>
      </c>
      <c r="G19" s="886"/>
      <c r="H19" s="878"/>
      <c r="I19" s="878"/>
    </row>
    <row r="20" spans="1:9" s="887" customFormat="1" ht="19.5" customHeight="1">
      <c r="A20" s="3306"/>
      <c r="B20" s="3306"/>
      <c r="C20" s="883" t="s">
        <v>566</v>
      </c>
      <c r="D20" s="884"/>
      <c r="E20" s="882">
        <v>1.1000000000000001</v>
      </c>
      <c r="F20" s="885" t="s">
        <v>567</v>
      </c>
      <c r="G20" s="886"/>
      <c r="H20" s="878"/>
      <c r="I20" s="878"/>
    </row>
    <row r="21" spans="1:9" s="887" customFormat="1" ht="19.5" customHeight="1">
      <c r="A21" s="3306"/>
      <c r="B21" s="3306"/>
      <c r="C21" s="883" t="s">
        <v>568</v>
      </c>
      <c r="D21" s="884"/>
      <c r="E21" s="882">
        <v>0.8</v>
      </c>
      <c r="F21" s="885" t="s">
        <v>569</v>
      </c>
      <c r="G21" s="886"/>
      <c r="H21" s="878"/>
      <c r="I21" s="878"/>
    </row>
    <row r="22" spans="1:9" s="887" customFormat="1" ht="19.5" customHeight="1">
      <c r="A22" s="3306"/>
      <c r="B22" s="3306"/>
      <c r="C22" s="883" t="s">
        <v>570</v>
      </c>
      <c r="D22" s="884"/>
      <c r="E22" s="882">
        <v>0.5</v>
      </c>
      <c r="F22" s="885"/>
      <c r="G22" s="886"/>
      <c r="H22" s="878"/>
      <c r="I22" s="878"/>
    </row>
    <row r="23" spans="1:9" s="887" customFormat="1" ht="19.5" customHeight="1">
      <c r="A23" s="3306" t="s">
        <v>184</v>
      </c>
      <c r="B23" s="882" t="s">
        <v>560</v>
      </c>
      <c r="C23" s="883" t="s">
        <v>571</v>
      </c>
      <c r="D23" s="884"/>
      <c r="E23" s="882">
        <v>1</v>
      </c>
      <c r="F23" s="885" t="s">
        <v>572</v>
      </c>
      <c r="G23" s="886"/>
      <c r="H23" s="878"/>
      <c r="I23" s="878"/>
    </row>
    <row r="24" spans="1:9" s="887" customFormat="1" ht="19.5" customHeight="1">
      <c r="A24" s="3306"/>
      <c r="B24" s="3306" t="s">
        <v>563</v>
      </c>
      <c r="C24" s="883" t="s">
        <v>573</v>
      </c>
      <c r="D24" s="884"/>
      <c r="E24" s="882">
        <v>0.5</v>
      </c>
      <c r="F24" s="885"/>
      <c r="G24" s="886"/>
      <c r="H24" s="878"/>
      <c r="I24" s="878"/>
    </row>
    <row r="25" spans="1:9" s="887" customFormat="1" ht="19.5" customHeight="1">
      <c r="A25" s="3306"/>
      <c r="B25" s="3306"/>
      <c r="C25" s="883" t="s">
        <v>574</v>
      </c>
      <c r="D25" s="884"/>
      <c r="E25" s="882">
        <v>1.1000000000000001</v>
      </c>
      <c r="F25" s="885"/>
      <c r="G25" s="886"/>
      <c r="H25" s="878"/>
      <c r="I25" s="878"/>
    </row>
    <row r="26" spans="1:9" s="887" customFormat="1" ht="19.5" customHeight="1">
      <c r="A26" s="3306"/>
      <c r="B26" s="3306"/>
      <c r="C26" s="883" t="s">
        <v>575</v>
      </c>
      <c r="D26" s="884"/>
      <c r="E26" s="882">
        <v>1.1000000000000001</v>
      </c>
      <c r="F26" s="885"/>
      <c r="G26" s="886"/>
      <c r="H26" s="878"/>
      <c r="I26" s="878"/>
    </row>
    <row r="27" spans="1:9" s="887" customFormat="1" ht="19.5" customHeight="1">
      <c r="A27" s="3306"/>
      <c r="B27" s="3306"/>
      <c r="C27" s="883" t="s">
        <v>576</v>
      </c>
      <c r="D27" s="884"/>
      <c r="E27" s="882">
        <v>0.9</v>
      </c>
      <c r="F27" s="885" t="s">
        <v>577</v>
      </c>
      <c r="G27" s="886"/>
      <c r="H27" s="878"/>
      <c r="I27" s="878"/>
    </row>
    <row r="28" spans="1:9" s="887" customFormat="1" ht="19.5" customHeight="1">
      <c r="A28" s="3306"/>
      <c r="B28" s="3306"/>
      <c r="C28" s="883" t="s">
        <v>578</v>
      </c>
      <c r="D28" s="884"/>
      <c r="E28" s="882">
        <v>0.9</v>
      </c>
      <c r="F28" s="885" t="s">
        <v>579</v>
      </c>
      <c r="G28" s="886"/>
      <c r="H28" s="878"/>
      <c r="I28" s="878"/>
    </row>
    <row r="29" spans="1:9" s="887" customFormat="1" ht="19.5" customHeight="1">
      <c r="A29" s="3306"/>
      <c r="B29" s="3306"/>
      <c r="C29" s="883" t="s">
        <v>580</v>
      </c>
      <c r="D29" s="884"/>
      <c r="E29" s="882">
        <v>0.9</v>
      </c>
      <c r="F29" s="885" t="s">
        <v>581</v>
      </c>
      <c r="G29" s="886"/>
      <c r="H29" s="878"/>
      <c r="I29" s="878"/>
    </row>
    <row r="30" spans="1:9" s="887" customFormat="1" ht="19.5" customHeight="1">
      <c r="A30" s="3306"/>
      <c r="B30" s="3306"/>
      <c r="C30" s="883" t="s">
        <v>582</v>
      </c>
      <c r="D30" s="884"/>
      <c r="E30" s="882">
        <v>0.9</v>
      </c>
      <c r="F30" s="885" t="s">
        <v>583</v>
      </c>
      <c r="G30" s="886"/>
      <c r="H30" s="878"/>
      <c r="I30" s="878"/>
    </row>
    <row r="31" spans="1:9" s="887" customFormat="1" ht="19.5" customHeight="1">
      <c r="A31" s="3306"/>
      <c r="B31" s="3306"/>
      <c r="C31" s="883" t="s">
        <v>584</v>
      </c>
      <c r="D31" s="884"/>
      <c r="E31" s="882">
        <v>0.8</v>
      </c>
      <c r="F31" s="885" t="s">
        <v>585</v>
      </c>
      <c r="G31" s="886"/>
      <c r="H31" s="878"/>
      <c r="I31" s="878"/>
    </row>
    <row r="32" spans="1:9" s="887" customFormat="1" ht="19.5" customHeight="1">
      <c r="A32" s="3306"/>
      <c r="B32" s="3306"/>
      <c r="C32" s="883" t="s">
        <v>586</v>
      </c>
      <c r="D32" s="884"/>
      <c r="E32" s="882">
        <v>0.8</v>
      </c>
      <c r="F32" s="885" t="s">
        <v>587</v>
      </c>
      <c r="G32" s="886"/>
      <c r="H32" s="878"/>
      <c r="I32" s="878"/>
    </row>
    <row r="33" spans="1:9" s="887" customFormat="1" ht="19.5" customHeight="1">
      <c r="A33" s="3306" t="s">
        <v>185</v>
      </c>
      <c r="B33" s="882" t="s">
        <v>560</v>
      </c>
      <c r="C33" s="883" t="s">
        <v>588</v>
      </c>
      <c r="D33" s="884"/>
      <c r="E33" s="882">
        <v>1</v>
      </c>
      <c r="F33" s="885" t="s">
        <v>589</v>
      </c>
      <c r="G33" s="886"/>
      <c r="H33" s="878"/>
      <c r="I33" s="878"/>
    </row>
    <row r="34" spans="1:9" s="887" customFormat="1" ht="19.5" customHeight="1">
      <c r="A34" s="3306"/>
      <c r="B34" s="882" t="s">
        <v>563</v>
      </c>
      <c r="C34" s="883" t="s">
        <v>590</v>
      </c>
      <c r="D34" s="884"/>
      <c r="E34" s="882">
        <v>1.5</v>
      </c>
      <c r="F34" s="885" t="s">
        <v>591</v>
      </c>
      <c r="G34" s="886"/>
      <c r="H34" s="878"/>
      <c r="I34" s="878"/>
    </row>
    <row r="35" spans="1:9" s="887" customFormat="1" ht="19.5" customHeight="1">
      <c r="A35" s="3306" t="s">
        <v>186</v>
      </c>
      <c r="B35" s="882" t="s">
        <v>560</v>
      </c>
      <c r="C35" s="883" t="s">
        <v>592</v>
      </c>
      <c r="D35" s="884"/>
      <c r="E35" s="882">
        <v>1</v>
      </c>
      <c r="F35" s="885" t="s">
        <v>593</v>
      </c>
      <c r="G35" s="886"/>
      <c r="H35" s="878"/>
      <c r="I35" s="878"/>
    </row>
    <row r="36" spans="1:9" s="887" customFormat="1" ht="19.5" customHeight="1">
      <c r="A36" s="3306"/>
      <c r="B36" s="3306" t="s">
        <v>563</v>
      </c>
      <c r="C36" s="883" t="s">
        <v>594</v>
      </c>
      <c r="D36" s="884"/>
      <c r="E36" s="882">
        <v>1</v>
      </c>
      <c r="F36" s="885" t="s">
        <v>595</v>
      </c>
      <c r="G36" s="886"/>
      <c r="H36" s="878"/>
      <c r="I36" s="878"/>
    </row>
    <row r="37" spans="1:9" s="887" customFormat="1" ht="19.5" customHeight="1">
      <c r="A37" s="3306"/>
      <c r="B37" s="3306"/>
      <c r="C37" s="883" t="s">
        <v>596</v>
      </c>
      <c r="D37" s="884"/>
      <c r="E37" s="882">
        <v>1.5</v>
      </c>
      <c r="F37" s="885" t="s">
        <v>597</v>
      </c>
      <c r="G37" s="886"/>
      <c r="H37" s="878"/>
      <c r="I37" s="878"/>
    </row>
    <row r="38" spans="1:9" s="887" customFormat="1" ht="19.5" customHeight="1">
      <c r="A38" s="3306"/>
      <c r="B38" s="3306"/>
      <c r="C38" s="883" t="s">
        <v>598</v>
      </c>
      <c r="D38" s="884"/>
      <c r="E38" s="882">
        <v>1</v>
      </c>
      <c r="F38" s="885" t="s">
        <v>599</v>
      </c>
      <c r="G38" s="886"/>
      <c r="H38" s="878"/>
      <c r="I38" s="878"/>
    </row>
    <row r="39" spans="1:9" s="887" customFormat="1" ht="19.5" customHeight="1">
      <c r="A39" s="3306"/>
      <c r="B39" s="330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6" t="s">
        <v>614</v>
      </c>
      <c r="C61" s="818" t="s">
        <v>615</v>
      </c>
      <c r="D61" s="818" t="s">
        <v>616</v>
      </c>
      <c r="E61" s="895">
        <v>0.5</v>
      </c>
      <c r="F61" s="882">
        <v>80</v>
      </c>
    </row>
    <row r="62" spans="1:8" s="878" customFormat="1" ht="24">
      <c r="A62" s="882">
        <v>2</v>
      </c>
      <c r="B62" s="3306"/>
      <c r="C62" s="818" t="s">
        <v>617</v>
      </c>
      <c r="D62" s="818" t="s">
        <v>618</v>
      </c>
      <c r="E62" s="895">
        <v>0.5</v>
      </c>
      <c r="F62" s="882">
        <v>80</v>
      </c>
    </row>
    <row r="63" spans="1:8" s="878" customFormat="1" ht="36">
      <c r="A63" s="882">
        <v>3</v>
      </c>
      <c r="B63" s="3306"/>
      <c r="C63" s="818" t="s">
        <v>619</v>
      </c>
      <c r="D63" s="818" t="s">
        <v>620</v>
      </c>
      <c r="E63" s="895">
        <v>0.5</v>
      </c>
      <c r="F63" s="882">
        <v>80</v>
      </c>
    </row>
    <row r="64" spans="1:8" s="878" customFormat="1" ht="36">
      <c r="A64" s="882">
        <v>4</v>
      </c>
      <c r="B64" s="3306"/>
      <c r="C64" s="818" t="s">
        <v>621</v>
      </c>
      <c r="D64" s="818" t="s">
        <v>622</v>
      </c>
      <c r="E64" s="895">
        <v>0.4</v>
      </c>
      <c r="F64" s="882">
        <v>60</v>
      </c>
    </row>
    <row r="65" spans="1:6" s="878" customFormat="1" ht="36">
      <c r="A65" s="882">
        <v>5</v>
      </c>
      <c r="B65" s="3306"/>
      <c r="C65" s="818" t="s">
        <v>623</v>
      </c>
      <c r="D65" s="818" t="s">
        <v>624</v>
      </c>
      <c r="E65" s="895">
        <v>0.2</v>
      </c>
      <c r="F65" s="882">
        <v>30</v>
      </c>
    </row>
    <row r="66" spans="1:6" s="878" customFormat="1" ht="36">
      <c r="A66" s="882">
        <v>6</v>
      </c>
      <c r="B66" s="3306"/>
      <c r="C66" s="818" t="s">
        <v>625</v>
      </c>
      <c r="D66" s="818" t="s">
        <v>626</v>
      </c>
      <c r="E66" s="895">
        <v>0.3</v>
      </c>
      <c r="F66" s="882">
        <v>50</v>
      </c>
    </row>
    <row r="67" spans="1:6" s="878" customFormat="1" ht="36">
      <c r="A67" s="882">
        <v>7</v>
      </c>
      <c r="B67" s="3306"/>
      <c r="C67" s="818" t="s">
        <v>627</v>
      </c>
      <c r="D67" s="818" t="s">
        <v>628</v>
      </c>
      <c r="E67" s="895">
        <v>0.2</v>
      </c>
      <c r="F67" s="882">
        <v>30</v>
      </c>
    </row>
    <row r="68" spans="1:6" s="878" customFormat="1" ht="36">
      <c r="A68" s="882">
        <v>8</v>
      </c>
      <c r="B68" s="3306"/>
      <c r="C68" s="818" t="s">
        <v>629</v>
      </c>
      <c r="D68" s="818" t="s">
        <v>630</v>
      </c>
      <c r="E68" s="895">
        <v>0.2</v>
      </c>
      <c r="F68" s="882">
        <v>30</v>
      </c>
    </row>
    <row r="69" spans="1:6" s="878" customFormat="1" ht="36">
      <c r="A69" s="882">
        <v>9</v>
      </c>
      <c r="B69" s="3306"/>
      <c r="C69" s="818" t="s">
        <v>631</v>
      </c>
      <c r="D69" s="818" t="s">
        <v>632</v>
      </c>
      <c r="E69" s="895">
        <v>0.2</v>
      </c>
      <c r="F69" s="882">
        <v>30</v>
      </c>
    </row>
    <row r="70" spans="1:6" s="878" customFormat="1" ht="48">
      <c r="A70" s="882">
        <v>10</v>
      </c>
      <c r="B70" s="3306"/>
      <c r="C70" s="818" t="s">
        <v>633</v>
      </c>
      <c r="D70" s="818" t="s">
        <v>634</v>
      </c>
      <c r="E70" s="895">
        <v>0.2</v>
      </c>
      <c r="F70" s="882">
        <v>30</v>
      </c>
    </row>
    <row r="71" spans="1:6" s="878" customFormat="1" ht="48">
      <c r="A71" s="882">
        <v>11</v>
      </c>
      <c r="B71" s="3306"/>
      <c r="C71" s="818" t="s">
        <v>635</v>
      </c>
      <c r="D71" s="818" t="s">
        <v>636</v>
      </c>
      <c r="E71" s="895">
        <v>0.2</v>
      </c>
      <c r="F71" s="882">
        <v>30</v>
      </c>
    </row>
    <row r="72" spans="1:6" s="878" customFormat="1" ht="36">
      <c r="A72" s="882">
        <v>12</v>
      </c>
      <c r="B72" s="3306"/>
      <c r="C72" s="818" t="s">
        <v>637</v>
      </c>
      <c r="D72" s="818" t="s">
        <v>638</v>
      </c>
      <c r="E72" s="895">
        <v>0.5</v>
      </c>
      <c r="F72" s="882">
        <v>80</v>
      </c>
    </row>
    <row r="73" spans="1:6" s="878" customFormat="1" ht="24">
      <c r="A73" s="882">
        <v>13</v>
      </c>
      <c r="B73" s="3306"/>
      <c r="C73" s="818" t="s">
        <v>639</v>
      </c>
      <c r="D73" s="818" t="s">
        <v>640</v>
      </c>
      <c r="E73" s="895">
        <v>0.4</v>
      </c>
      <c r="F73" s="882">
        <v>60</v>
      </c>
    </row>
    <row r="74" spans="1:6" s="878" customFormat="1" ht="24">
      <c r="A74" s="882">
        <v>14</v>
      </c>
      <c r="B74" s="3306"/>
      <c r="C74" s="818" t="s">
        <v>641</v>
      </c>
      <c r="D74" s="818" t="s">
        <v>642</v>
      </c>
      <c r="E74" s="895">
        <v>0.2</v>
      </c>
      <c r="F74" s="882">
        <v>30</v>
      </c>
    </row>
    <row r="75" spans="1:6" s="878" customFormat="1" ht="24">
      <c r="A75" s="882">
        <v>15</v>
      </c>
      <c r="B75" s="3306"/>
      <c r="C75" s="818" t="s">
        <v>643</v>
      </c>
      <c r="D75" s="818" t="s">
        <v>644</v>
      </c>
      <c r="E75" s="895">
        <v>0.2</v>
      </c>
      <c r="F75" s="882">
        <v>30</v>
      </c>
    </row>
    <row r="76" spans="1:6" s="878" customFormat="1" ht="24">
      <c r="A76" s="882">
        <v>16</v>
      </c>
      <c r="B76" s="3306" t="s">
        <v>645</v>
      </c>
      <c r="C76" s="818" t="s">
        <v>646</v>
      </c>
      <c r="D76" s="818" t="s">
        <v>647</v>
      </c>
      <c r="E76" s="895">
        <v>0.5</v>
      </c>
      <c r="F76" s="882">
        <v>80</v>
      </c>
    </row>
    <row r="77" spans="1:6" s="878" customFormat="1" ht="24">
      <c r="A77" s="882">
        <v>17</v>
      </c>
      <c r="B77" s="3306"/>
      <c r="C77" s="818" t="s">
        <v>648</v>
      </c>
      <c r="D77" s="818" t="s">
        <v>649</v>
      </c>
      <c r="E77" s="895">
        <v>0.5</v>
      </c>
      <c r="F77" s="882">
        <v>80</v>
      </c>
    </row>
    <row r="78" spans="1:6" s="878" customFormat="1" ht="24">
      <c r="A78" s="882">
        <v>18</v>
      </c>
      <c r="B78" s="3306"/>
      <c r="C78" s="818" t="s">
        <v>650</v>
      </c>
      <c r="D78" s="818" t="s">
        <v>651</v>
      </c>
      <c r="E78" s="895">
        <v>0.2</v>
      </c>
      <c r="F78" s="882">
        <v>30</v>
      </c>
    </row>
    <row r="79" spans="1:6" s="878" customFormat="1" ht="24">
      <c r="A79" s="882">
        <v>19</v>
      </c>
      <c r="B79" s="3306"/>
      <c r="C79" s="818" t="s">
        <v>652</v>
      </c>
      <c r="D79" s="818" t="s">
        <v>653</v>
      </c>
      <c r="E79" s="895">
        <v>0.5</v>
      </c>
      <c r="F79" s="882">
        <v>80</v>
      </c>
    </row>
    <row r="80" spans="1:6" s="878" customFormat="1" ht="36">
      <c r="A80" s="882">
        <v>20</v>
      </c>
      <c r="B80" s="3306"/>
      <c r="C80" s="818" t="s">
        <v>654</v>
      </c>
      <c r="D80" s="818" t="s">
        <v>655</v>
      </c>
      <c r="E80" s="895">
        <v>0.2</v>
      </c>
      <c r="F80" s="882">
        <v>30</v>
      </c>
    </row>
    <row r="81" spans="1:6" s="878" customFormat="1" ht="36">
      <c r="A81" s="882">
        <v>21</v>
      </c>
      <c r="B81" s="3306"/>
      <c r="C81" s="818" t="s">
        <v>656</v>
      </c>
      <c r="D81" s="818" t="s">
        <v>657</v>
      </c>
      <c r="E81" s="895">
        <v>0.2</v>
      </c>
      <c r="F81" s="882">
        <v>30</v>
      </c>
    </row>
    <row r="82" spans="1:6" s="878" customFormat="1" ht="48">
      <c r="A82" s="882">
        <v>22</v>
      </c>
      <c r="B82" s="3306"/>
      <c r="C82" s="818" t="s">
        <v>658</v>
      </c>
      <c r="D82" s="818" t="s">
        <v>659</v>
      </c>
      <c r="E82" s="895">
        <v>0.2</v>
      </c>
      <c r="F82" s="882">
        <v>30</v>
      </c>
    </row>
    <row r="83" spans="1:6" s="878" customFormat="1" ht="48">
      <c r="A83" s="882">
        <v>23</v>
      </c>
      <c r="B83" s="3306"/>
      <c r="C83" s="818" t="s">
        <v>660</v>
      </c>
      <c r="D83" s="818" t="s">
        <v>661</v>
      </c>
      <c r="E83" s="895">
        <v>0.2</v>
      </c>
      <c r="F83" s="882">
        <v>30</v>
      </c>
    </row>
    <row r="84" spans="1:6" s="878" customFormat="1" ht="36">
      <c r="A84" s="882">
        <v>24</v>
      </c>
      <c r="B84" s="3306"/>
      <c r="C84" s="818" t="s">
        <v>662</v>
      </c>
      <c r="D84" s="818" t="s">
        <v>663</v>
      </c>
      <c r="E84" s="895">
        <v>0.2</v>
      </c>
      <c r="F84" s="882">
        <v>30</v>
      </c>
    </row>
    <row r="85" spans="1:6" s="878" customFormat="1" ht="36">
      <c r="A85" s="882">
        <v>25</v>
      </c>
      <c r="B85" s="3306"/>
      <c r="C85" s="818" t="s">
        <v>664</v>
      </c>
      <c r="D85" s="818" t="s">
        <v>665</v>
      </c>
      <c r="E85" s="895">
        <v>0.5</v>
      </c>
      <c r="F85" s="882">
        <v>80</v>
      </c>
    </row>
    <row r="86" spans="1:6" s="878" customFormat="1" ht="36">
      <c r="A86" s="882">
        <v>26</v>
      </c>
      <c r="B86" s="3306"/>
      <c r="C86" s="818" t="s">
        <v>666</v>
      </c>
      <c r="D86" s="818" t="s">
        <v>667</v>
      </c>
      <c r="E86" s="895">
        <v>0.2</v>
      </c>
      <c r="F86" s="882">
        <v>30</v>
      </c>
    </row>
    <row r="87" spans="1:6" s="878" customFormat="1" ht="36">
      <c r="A87" s="882">
        <v>27</v>
      </c>
      <c r="B87" s="3306"/>
      <c r="C87" s="818" t="s">
        <v>668</v>
      </c>
      <c r="D87" s="818" t="s">
        <v>669</v>
      </c>
      <c r="E87" s="895">
        <v>0.2</v>
      </c>
      <c r="F87" s="882">
        <v>30</v>
      </c>
    </row>
    <row r="88" spans="1:6" s="878" customFormat="1" ht="36">
      <c r="A88" s="882">
        <v>28</v>
      </c>
      <c r="B88" s="3306"/>
      <c r="C88" s="818" t="s">
        <v>670</v>
      </c>
      <c r="D88" s="818" t="s">
        <v>671</v>
      </c>
      <c r="E88" s="895">
        <v>0.2</v>
      </c>
      <c r="F88" s="882">
        <v>30</v>
      </c>
    </row>
    <row r="89" spans="1:6" s="878" customFormat="1" ht="24">
      <c r="A89" s="882">
        <v>29</v>
      </c>
      <c r="B89" s="3306"/>
      <c r="C89" s="818" t="s">
        <v>672</v>
      </c>
      <c r="D89" s="818" t="s">
        <v>673</v>
      </c>
      <c r="E89" s="895">
        <v>0.2</v>
      </c>
      <c r="F89" s="882">
        <v>30</v>
      </c>
    </row>
    <row r="90" spans="1:6" s="878" customFormat="1" ht="24">
      <c r="A90" s="882">
        <v>30</v>
      </c>
      <c r="B90" s="3306"/>
      <c r="C90" s="818" t="s">
        <v>674</v>
      </c>
      <c r="D90" s="818" t="s">
        <v>675</v>
      </c>
      <c r="E90" s="895">
        <v>0.2</v>
      </c>
      <c r="F90" s="882">
        <v>30</v>
      </c>
    </row>
    <row r="91" spans="1:6" s="878" customFormat="1" ht="36">
      <c r="A91" s="882">
        <v>31</v>
      </c>
      <c r="B91" s="3306"/>
      <c r="C91" s="818" t="s">
        <v>676</v>
      </c>
      <c r="D91" s="818" t="s">
        <v>677</v>
      </c>
      <c r="E91" s="895">
        <v>0.2</v>
      </c>
      <c r="F91" s="882">
        <v>30</v>
      </c>
    </row>
    <row r="92" spans="1:6" s="878" customFormat="1" ht="24">
      <c r="A92" s="882">
        <v>32</v>
      </c>
      <c r="B92" s="3306" t="s">
        <v>678</v>
      </c>
      <c r="C92" s="882" t="s">
        <v>679</v>
      </c>
      <c r="D92" s="818" t="s">
        <v>680</v>
      </c>
      <c r="E92" s="895">
        <v>0.2</v>
      </c>
      <c r="F92" s="882">
        <v>30</v>
      </c>
    </row>
    <row r="93" spans="1:6" s="878" customFormat="1" ht="36">
      <c r="A93" s="882">
        <v>33</v>
      </c>
      <c r="B93" s="3306"/>
      <c r="C93" s="882" t="s">
        <v>681</v>
      </c>
      <c r="D93" s="818" t="s">
        <v>682</v>
      </c>
      <c r="E93" s="895">
        <v>0.2</v>
      </c>
      <c r="F93" s="882">
        <v>30</v>
      </c>
    </row>
    <row r="94" spans="1:6" s="878" customFormat="1" ht="48">
      <c r="A94" s="882">
        <v>34</v>
      </c>
      <c r="B94" s="3306"/>
      <c r="C94" s="882" t="s">
        <v>683</v>
      </c>
      <c r="D94" s="818" t="s">
        <v>684</v>
      </c>
      <c r="E94" s="895">
        <v>0.2</v>
      </c>
      <c r="F94" s="882">
        <v>30</v>
      </c>
    </row>
    <row r="95" spans="1:6" s="878" customFormat="1" ht="36">
      <c r="A95" s="882">
        <v>35</v>
      </c>
      <c r="B95" s="3306"/>
      <c r="C95" s="882" t="s">
        <v>685</v>
      </c>
      <c r="D95" s="818" t="s">
        <v>686</v>
      </c>
      <c r="E95" s="895">
        <v>0.2</v>
      </c>
      <c r="F95" s="882">
        <v>30</v>
      </c>
    </row>
    <row r="96" spans="1:6" s="878" customFormat="1" ht="48">
      <c r="A96" s="882">
        <v>36</v>
      </c>
      <c r="B96" s="3306"/>
      <c r="C96" s="818" t="s">
        <v>687</v>
      </c>
      <c r="D96" s="818" t="s">
        <v>688</v>
      </c>
      <c r="E96" s="895">
        <v>0.2</v>
      </c>
      <c r="F96" s="882">
        <v>30</v>
      </c>
    </row>
    <row r="97" spans="1:6" s="878" customFormat="1" ht="36">
      <c r="A97" s="882">
        <v>37</v>
      </c>
      <c r="B97" s="3306"/>
      <c r="C97" s="882" t="s">
        <v>689</v>
      </c>
      <c r="D97" s="818" t="s">
        <v>690</v>
      </c>
      <c r="E97" s="895">
        <v>0.2</v>
      </c>
      <c r="F97" s="882">
        <v>30</v>
      </c>
    </row>
    <row r="98" spans="1:6" s="878" customFormat="1" ht="36">
      <c r="A98" s="882">
        <v>38</v>
      </c>
      <c r="B98" s="3306"/>
      <c r="C98" s="882" t="s">
        <v>691</v>
      </c>
      <c r="D98" s="818" t="s">
        <v>692</v>
      </c>
      <c r="E98" s="895">
        <v>0.2</v>
      </c>
      <c r="F98" s="882">
        <v>30</v>
      </c>
    </row>
    <row r="99" spans="1:6" s="878" customFormat="1" ht="36">
      <c r="A99" s="882">
        <v>39</v>
      </c>
      <c r="B99" s="3306" t="s">
        <v>693</v>
      </c>
      <c r="C99" s="882" t="s">
        <v>694</v>
      </c>
      <c r="D99" s="818" t="s">
        <v>695</v>
      </c>
      <c r="E99" s="895">
        <v>0.3</v>
      </c>
      <c r="F99" s="882">
        <v>50</v>
      </c>
    </row>
    <row r="100" spans="1:6" s="878" customFormat="1" ht="24">
      <c r="A100" s="882">
        <v>40</v>
      </c>
      <c r="B100" s="3306"/>
      <c r="C100" s="882" t="s">
        <v>696</v>
      </c>
      <c r="D100" s="818" t="s">
        <v>697</v>
      </c>
      <c r="E100" s="895">
        <v>0.2</v>
      </c>
      <c r="F100" s="882">
        <v>30</v>
      </c>
    </row>
    <row r="101" spans="1:6" s="878" customFormat="1" ht="36">
      <c r="A101" s="882">
        <v>41</v>
      </c>
      <c r="B101" s="330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6" t="s">
        <v>708</v>
      </c>
      <c r="C105" s="882" t="s">
        <v>709</v>
      </c>
      <c r="D105" s="818" t="s">
        <v>710</v>
      </c>
      <c r="E105" s="895">
        <v>0.2</v>
      </c>
      <c r="F105" s="882">
        <v>30</v>
      </c>
    </row>
    <row r="106" spans="1:6" s="878" customFormat="1" ht="36">
      <c r="A106" s="882">
        <v>46</v>
      </c>
      <c r="B106" s="3306"/>
      <c r="C106" s="882" t="s">
        <v>711</v>
      </c>
      <c r="D106" s="818" t="s">
        <v>712</v>
      </c>
      <c r="E106" s="895">
        <v>0.2</v>
      </c>
      <c r="F106" s="882">
        <v>30</v>
      </c>
    </row>
    <row r="107" spans="1:6" s="878" customFormat="1" ht="36">
      <c r="A107" s="882">
        <v>47</v>
      </c>
      <c r="B107" s="3306" t="s">
        <v>713</v>
      </c>
      <c r="C107" s="882" t="s">
        <v>714</v>
      </c>
      <c r="D107" s="818" t="s">
        <v>715</v>
      </c>
      <c r="E107" s="895">
        <v>0.3</v>
      </c>
      <c r="F107" s="882">
        <v>50</v>
      </c>
    </row>
    <row r="108" spans="1:6" s="878" customFormat="1" ht="36">
      <c r="A108" s="882">
        <v>48</v>
      </c>
      <c r="B108" s="330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6" t="s">
        <v>724</v>
      </c>
      <c r="C111" s="882" t="s">
        <v>725</v>
      </c>
      <c r="D111" s="818" t="s">
        <v>726</v>
      </c>
      <c r="E111" s="895">
        <v>0.2</v>
      </c>
      <c r="F111" s="882">
        <v>30</v>
      </c>
    </row>
    <row r="112" spans="1:6" s="878" customFormat="1" ht="24">
      <c r="A112" s="882">
        <v>52</v>
      </c>
      <c r="B112" s="3306"/>
      <c r="C112" s="882" t="s">
        <v>727</v>
      </c>
      <c r="D112" s="818" t="s">
        <v>728</v>
      </c>
      <c r="E112" s="895">
        <v>0.2</v>
      </c>
      <c r="F112" s="882">
        <v>30</v>
      </c>
    </row>
    <row r="113" spans="1:6" s="878" customFormat="1" ht="24">
      <c r="A113" s="882">
        <v>53</v>
      </c>
      <c r="B113" s="330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6" t="s">
        <v>737</v>
      </c>
      <c r="C116" s="882" t="s">
        <v>738</v>
      </c>
      <c r="D116" s="818" t="s">
        <v>739</v>
      </c>
      <c r="E116" s="895">
        <v>0.2</v>
      </c>
      <c r="F116" s="882">
        <v>30</v>
      </c>
    </row>
    <row r="117" spans="1:6" ht="36">
      <c r="A117" s="882">
        <v>57</v>
      </c>
      <c r="B117" s="330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2999</v>
      </c>
    </row>
    <row r="2" spans="1:5" ht="15.75">
      <c r="A2" s="2895" t="s">
        <v>2991</v>
      </c>
      <c r="B2" s="2896" t="e">
        <f ca="1">SUMIF(B6:B13,"&lt;&gt;#ref!",B6:B13)</f>
        <v>#DIV/0!</v>
      </c>
      <c r="C2" s="2895" t="s">
        <v>2992</v>
      </c>
      <c r="D2" s="2895" t="s">
        <v>2993</v>
      </c>
      <c r="E2" s="2896">
        <f ca="1">SUMIF(E6:E13,"&lt;&gt;#ref!",E6:E13)</f>
        <v>0</v>
      </c>
    </row>
    <row r="3" spans="1:5" ht="15.75">
      <c r="A3" s="2895" t="s">
        <v>2994</v>
      </c>
      <c r="B3" s="2896" t="e">
        <f ca="1">ROUND(B2*10000/E2,0)</f>
        <v>#DIV/0!</v>
      </c>
      <c r="C3" s="2895" t="s">
        <v>3000</v>
      </c>
      <c r="D3" s="2897"/>
      <c r="E3" s="2897"/>
    </row>
    <row r="4" spans="1:5" ht="15.75">
      <c r="A4" s="2898"/>
      <c r="B4" s="2897"/>
      <c r="C4" s="2897"/>
      <c r="D4" s="2897"/>
      <c r="E4" s="2897"/>
    </row>
    <row r="5" spans="1:5" ht="28.5">
      <c r="A5" s="2899" t="s">
        <v>2995</v>
      </c>
      <c r="B5" s="2895" t="s">
        <v>2996</v>
      </c>
      <c r="C5" s="2896"/>
      <c r="D5" s="2897"/>
      <c r="E5" s="2895" t="s">
        <v>2997</v>
      </c>
    </row>
    <row r="6" spans="1:5" ht="15.75">
      <c r="A6" s="2900" t="s">
        <v>2998</v>
      </c>
      <c r="B6" s="2896" t="e">
        <f ca="1">SUMIF(INDIRECT("'"&amp;A6&amp;"'"&amp;"!A:A"),"总价",INDIRECT("'"&amp;A6&amp;"'"&amp;"!B:B"))</f>
        <v>#DIV/0!</v>
      </c>
      <c r="C6" s="2895" t="s">
        <v>2992</v>
      </c>
      <c r="D6" s="2897"/>
      <c r="E6" s="2568">
        <f ca="1">SUMIF(INDIRECT("'"&amp;A6&amp;"'"&amp;"!C:C"),"建筑面积",INDIRECT("'"&amp;A6&amp;"'"&amp;"!D:D"))</f>
        <v>0</v>
      </c>
    </row>
    <row r="7" spans="1:5" ht="15.75">
      <c r="A7" s="2900"/>
      <c r="B7" s="2896" t="e">
        <f ca="1">SUMIF(INDIRECT("'"&amp;A7&amp;"'"&amp;"!A:A"),"总价",INDIRECT("'"&amp;A7&amp;"'"&amp;"!B:B"))</f>
        <v>#REF!</v>
      </c>
      <c r="C7" s="2895" t="s">
        <v>2992</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2992</v>
      </c>
      <c r="D8" s="2897"/>
      <c r="E8" s="2568" t="e">
        <f t="shared" ca="1" si="0"/>
        <v>#REF!</v>
      </c>
    </row>
    <row r="9" spans="1:5" ht="15.75">
      <c r="A9" s="2900"/>
      <c r="B9" s="2896" t="e">
        <f t="shared" ca="1" si="1"/>
        <v>#REF!</v>
      </c>
      <c r="C9" s="2895" t="s">
        <v>2992</v>
      </c>
      <c r="D9" s="2897"/>
      <c r="E9" s="2568" t="e">
        <f t="shared" ca="1" si="0"/>
        <v>#REF!</v>
      </c>
    </row>
    <row r="10" spans="1:5" ht="15.75">
      <c r="A10" s="2900"/>
      <c r="B10" s="2896" t="e">
        <f t="shared" ca="1" si="1"/>
        <v>#REF!</v>
      </c>
      <c r="C10" s="2895" t="s">
        <v>2992</v>
      </c>
      <c r="D10" s="2897"/>
      <c r="E10" s="2568" t="e">
        <f t="shared" ca="1" si="0"/>
        <v>#REF!</v>
      </c>
    </row>
    <row r="11" spans="1:5" ht="15.75">
      <c r="A11" s="2900"/>
      <c r="B11" s="2896" t="e">
        <f t="shared" ca="1" si="1"/>
        <v>#REF!</v>
      </c>
      <c r="C11" s="2895" t="s">
        <v>2992</v>
      </c>
      <c r="D11" s="2897"/>
      <c r="E11" s="2568" t="e">
        <f t="shared" ca="1" si="0"/>
        <v>#REF!</v>
      </c>
    </row>
    <row r="12" spans="1:5" ht="15.75">
      <c r="A12" s="2900"/>
      <c r="B12" s="2896" t="e">
        <f t="shared" ca="1" si="1"/>
        <v>#REF!</v>
      </c>
      <c r="C12" s="2895" t="s">
        <v>2992</v>
      </c>
      <c r="D12" s="2897"/>
      <c r="E12" s="2568" t="e">
        <f t="shared" ca="1" si="0"/>
        <v>#REF!</v>
      </c>
    </row>
    <row r="13" spans="1:5" ht="15.75">
      <c r="A13" s="2900"/>
      <c r="B13" s="2896" t="e">
        <f t="shared" ca="1" si="1"/>
        <v>#REF!</v>
      </c>
      <c r="C13" s="2895" t="s">
        <v>2992</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13"/>
  <sheetViews>
    <sheetView zoomScale="80" zoomScaleNormal="80" workbookViewId="0">
      <selection activeCell="M45" sqref="M4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2" t="s">
        <v>1145</v>
      </c>
      <c r="C1" s="3312"/>
      <c r="D1" s="3312"/>
      <c r="E1" s="3312"/>
      <c r="F1" s="3312"/>
      <c r="G1" s="3308" t="s">
        <v>1146</v>
      </c>
      <c r="H1" s="3308"/>
      <c r="I1" s="3308"/>
      <c r="J1" s="3308"/>
      <c r="K1" s="3308"/>
      <c r="L1" s="3308"/>
      <c r="N1" s="3308" t="s">
        <v>1147</v>
      </c>
      <c r="O1" s="3308"/>
      <c r="P1" s="3308"/>
      <c r="Q1" s="3308"/>
      <c r="R1" s="1446"/>
      <c r="S1" s="3308" t="s">
        <v>1148</v>
      </c>
      <c r="T1" s="3308"/>
      <c r="U1" s="3308"/>
      <c r="V1" s="3308"/>
      <c r="X1" s="3307" t="s">
        <v>1149</v>
      </c>
      <c r="Y1" s="3308"/>
      <c r="Z1" s="3308"/>
      <c r="AA1" s="3308"/>
      <c r="AB1" s="3308"/>
      <c r="AD1" s="3307" t="s">
        <v>1150</v>
      </c>
      <c r="AE1" s="3308"/>
      <c r="AF1" s="3308"/>
      <c r="AG1" s="3308"/>
      <c r="AH1" s="330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3034</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7">
        <f t="shared" ref="N5" si="7">I5/100</f>
        <v>0</v>
      </c>
      <c r="O5" s="1467">
        <f t="shared" ref="O5" si="8">J5/100</f>
        <v>0</v>
      </c>
      <c r="P5" s="1467">
        <f t="shared" ref="P5" si="9">K5/100</f>
        <v>0</v>
      </c>
      <c r="Q5" s="1467">
        <f t="shared" ref="Q5" si="10">L5/100</f>
        <v>0</v>
      </c>
      <c r="R5" s="1731"/>
      <c r="S5" s="1732"/>
      <c r="T5" s="1731"/>
      <c r="U5" s="1731"/>
      <c r="V5" s="1731"/>
      <c r="W5" s="2910" t="s">
        <v>3035</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3053</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3052</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3048</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3046</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3044</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3047</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10">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3041</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0"/>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3040</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0"/>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3033</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7"/>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3030</v>
      </c>
      <c r="B15" s="1469">
        <v>439</v>
      </c>
      <c r="C15" s="1469">
        <v>327</v>
      </c>
      <c r="D15" s="1469">
        <f>C15</f>
        <v>327</v>
      </c>
      <c r="E15" s="1469">
        <v>627</v>
      </c>
      <c r="F15" s="1470">
        <v>283</v>
      </c>
      <c r="G15" s="3313">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3031</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0"/>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0"/>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7"/>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13">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0"/>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0"/>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1"/>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9">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0"/>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0"/>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1"/>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9">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0"/>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0"/>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1"/>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14">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5"/>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5"/>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16"/>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9">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0"/>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0"/>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1"/>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9">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0">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0">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1">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9">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0">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0">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1">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9">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0">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0">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1">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9">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0">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0">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1">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9">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0">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0">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1">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9">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0">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0">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1">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9">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0">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0">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1">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9">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0">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0">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1">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0">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0">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0">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0">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1">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51"/>
      <c r="B4" s="2998" t="s">
        <v>1624</v>
      </c>
      <c r="C4" s="2998"/>
      <c r="D4" s="2998"/>
      <c r="E4" s="1951"/>
    </row>
    <row r="5" spans="1:5" ht="16.5" thickTop="1">
      <c r="A5" s="1949"/>
      <c r="B5" s="2996" t="s">
        <v>1616</v>
      </c>
      <c r="C5" s="1952" t="s">
        <v>1617</v>
      </c>
      <c r="D5" s="1040">
        <f ca="1">结果表!H101</f>
        <v>5123</v>
      </c>
      <c r="E5" s="1949"/>
    </row>
    <row r="6" spans="1:5" ht="15.75">
      <c r="A6" s="1949"/>
      <c r="B6" s="2996"/>
      <c r="C6" s="1952" t="s">
        <v>1618</v>
      </c>
      <c r="D6" s="1040" t="str">
        <f ca="1">NUMBERSTRING(INT(D5*10000),2)&amp;"元整"</f>
        <v>伍仟壹佰贰拾叁万元整</v>
      </c>
      <c r="E6" s="1949"/>
    </row>
    <row r="7" spans="1:5" ht="15.75">
      <c r="A7" s="1949"/>
      <c r="B7" s="3001"/>
      <c r="C7" s="1953" t="s">
        <v>1619</v>
      </c>
      <c r="D7" s="1041">
        <f ca="1">结果表!H102</f>
        <v>29704</v>
      </c>
      <c r="E7" s="1949"/>
    </row>
    <row r="8" spans="1:5" ht="15.75">
      <c r="A8" s="1949"/>
      <c r="B8" s="3002" t="str">
        <f>结果表!E103</f>
        <v>2.估价师知悉的法定优先受偿款</v>
      </c>
      <c r="C8" s="1954" t="s">
        <v>1620</v>
      </c>
      <c r="D8" s="1041">
        <f>结果表!H103</f>
        <v>0</v>
      </c>
      <c r="E8" s="1949"/>
    </row>
    <row r="9" spans="1:5" ht="15.75">
      <c r="A9" s="1949"/>
      <c r="B9" s="3004"/>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2995" t="str">
        <f>结果表!E107</f>
        <v>3.房地产抵押价值</v>
      </c>
      <c r="C13" s="1957" t="s">
        <v>1617</v>
      </c>
      <c r="D13" s="1043">
        <f ca="1">结果表!H107</f>
        <v>5123</v>
      </c>
      <c r="E13" s="1949"/>
    </row>
    <row r="14" spans="1:5" ht="15.75">
      <c r="A14" s="1949"/>
      <c r="B14" s="2996"/>
      <c r="C14" s="1952" t="s">
        <v>1618</v>
      </c>
      <c r="D14" s="1040" t="str">
        <f ca="1">NUMBERSTRING(INT(D13*10000),2)&amp;"元整"</f>
        <v>伍仟壹佰贰拾叁万元整</v>
      </c>
      <c r="E14" s="1949"/>
    </row>
    <row r="15" spans="1:5" ht="15">
      <c r="A15" s="1949"/>
      <c r="B15" s="3001"/>
      <c r="C15" s="1953" t="s">
        <v>1628</v>
      </c>
      <c r="D15" s="1052">
        <f ca="1">结果表!H108</f>
        <v>29704</v>
      </c>
      <c r="E15" s="1949"/>
    </row>
    <row r="16" spans="1:5" ht="15">
      <c r="A16" s="1949"/>
      <c r="B16" s="3002" t="str">
        <f>结果表!E109</f>
        <v>——</v>
      </c>
      <c r="C16" s="1957" t="s">
        <v>1629</v>
      </c>
      <c r="D16" s="1958" t="str">
        <f>结果表!H109</f>
        <v>——</v>
      </c>
      <c r="E16" s="1949"/>
    </row>
    <row r="17" spans="1:5" ht="15.75">
      <c r="A17" s="1949"/>
      <c r="B17" s="3003"/>
      <c r="C17" s="1952" t="s">
        <v>1630</v>
      </c>
      <c r="D17" s="1040" t="e">
        <f>NUMBERSTRING(INT(D16*10000),2)&amp;"元整"</f>
        <v>#VALUE!</v>
      </c>
      <c r="E17" s="1949"/>
    </row>
    <row r="18" spans="1:5" ht="15">
      <c r="A18" s="1949"/>
      <c r="B18" s="3004"/>
      <c r="C18" s="1953" t="s">
        <v>1619</v>
      </c>
      <c r="D18" s="1052" t="str">
        <f>结果表!H110</f>
        <v>——</v>
      </c>
      <c r="E18" s="1949"/>
    </row>
    <row r="19" spans="1:5" ht="15.75">
      <c r="A19" s="1949"/>
      <c r="B19" s="2995" t="str">
        <f>结果表!E111</f>
        <v>——</v>
      </c>
      <c r="C19" s="1957" t="s">
        <v>1617</v>
      </c>
      <c r="D19" s="1041" t="str">
        <f>结果表!H111</f>
        <v>——</v>
      </c>
      <c r="E19" s="1949"/>
    </row>
    <row r="20" spans="1:5" ht="15.75">
      <c r="A20" s="1949"/>
      <c r="B20" s="2996"/>
      <c r="C20" s="1952" t="s">
        <v>1630</v>
      </c>
      <c r="D20" s="1040" t="e">
        <f>NUMBERSTRING(INT(D19*10000),2)&amp;"元整"</f>
        <v>#VALUE!</v>
      </c>
      <c r="E20" s="1949"/>
    </row>
    <row r="21" spans="1:5" ht="15.75" thickBot="1">
      <c r="A21" s="1949"/>
      <c r="B21" s="2997"/>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sheetPr>
  <dimension ref="A1:AK83"/>
  <sheetViews>
    <sheetView zoomScale="85" zoomScaleNormal="85" zoomScaleSheetLayoutView="90" workbookViewId="0">
      <selection activeCell="I15" sqref="I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3069</v>
      </c>
      <c r="D1" s="1811" t="s">
        <v>70</v>
      </c>
      <c r="E1" s="1812" t="s">
        <v>1381</v>
      </c>
      <c r="F1" s="1283">
        <f ca="1">J53</f>
        <v>32.61</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ROUND(D2/10000,0)</f>
        <v>152</v>
      </c>
      <c r="C2" s="1836" t="s">
        <v>1510</v>
      </c>
      <c r="D2" s="1928">
        <f ca="1">C40+J29+L46</f>
        <v>1515445</v>
      </c>
      <c r="E2" s="1837" t="s">
        <v>1586</v>
      </c>
      <c r="F2" s="1838"/>
      <c r="G2" s="1839"/>
      <c r="H2" s="1831"/>
      <c r="I2" s="1831"/>
      <c r="J2" s="1831"/>
      <c r="K2" s="1832"/>
      <c r="L2" s="1831"/>
      <c r="M2" s="1831"/>
    </row>
    <row r="3" spans="1:37" ht="18" customHeight="1" thickBot="1">
      <c r="A3" s="1840" t="s">
        <v>1511</v>
      </c>
      <c r="B3" s="1841">
        <f ca="1">IF(ISERROR(D2/F43),0,ROUND(D2/F43,0))</f>
        <v>3351</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129600</v>
      </c>
      <c r="D5" s="1813" t="s">
        <v>1396</v>
      </c>
      <c r="E5" s="1293"/>
      <c r="F5" s="1294"/>
      <c r="G5" s="1842"/>
      <c r="H5" s="344">
        <v>1</v>
      </c>
      <c r="I5" s="345" t="s">
        <v>1395</v>
      </c>
      <c r="J5" s="1292">
        <f ca="1">J6+J10+J12</f>
        <v>0</v>
      </c>
      <c r="K5" s="1813" t="s">
        <v>1396</v>
      </c>
      <c r="L5" s="1293"/>
      <c r="M5" s="1294"/>
    </row>
    <row r="6" spans="1:37" ht="18" customHeight="1">
      <c r="A6" s="1291" t="s">
        <v>1031</v>
      </c>
      <c r="B6" s="3187" t="s">
        <v>1397</v>
      </c>
      <c r="C6" s="1296">
        <f ca="1">ROUND(F6*F8*F7*(1-F9),0)</f>
        <v>129600</v>
      </c>
      <c r="D6" s="164" t="s">
        <v>3025</v>
      </c>
      <c r="E6" s="347" t="s">
        <v>1399</v>
      </c>
      <c r="F6" s="348">
        <f ca="1">INDIRECT("'数据-取费表'!u"&amp;$G$1)</f>
        <v>1200</v>
      </c>
      <c r="G6" s="1842"/>
      <c r="H6" s="1291" t="s">
        <v>1031</v>
      </c>
      <c r="I6" s="3187" t="s">
        <v>1397</v>
      </c>
      <c r="J6" s="346">
        <f ca="1">ROUND(M6*M8*M7*(1-M9),0)</f>
        <v>0</v>
      </c>
      <c r="K6" s="1825" t="s">
        <v>3026</v>
      </c>
      <c r="L6" s="347" t="s">
        <v>1399</v>
      </c>
      <c r="M6" s="348">
        <f ca="1">INDIRECT("'数据-取费表'!z"&amp;$G$1)</f>
        <v>0</v>
      </c>
    </row>
    <row r="7" spans="1:37" ht="18" customHeight="1">
      <c r="A7" s="1295"/>
      <c r="B7" s="3188"/>
      <c r="C7" s="1297"/>
      <c r="D7" s="352"/>
      <c r="E7" s="2966" t="s">
        <v>1400</v>
      </c>
      <c r="F7" s="348">
        <f ca="1">IF(INDIRECT("'数据-取费表'!ah"&amp;$G$1)="",INDIRECT("'数据-取费表'!k"&amp;$G$1),INDIRECT("'数据-取费表'!ah"&amp;$G$1))</f>
        <v>10</v>
      </c>
      <c r="G7" s="1842"/>
      <c r="H7" s="349"/>
      <c r="I7" s="3188"/>
      <c r="J7" s="351"/>
      <c r="K7" s="352"/>
      <c r="L7" s="347" t="s">
        <v>1400</v>
      </c>
      <c r="M7" s="348">
        <f ca="1">F7</f>
        <v>10</v>
      </c>
    </row>
    <row r="8" spans="1:37" ht="18" customHeight="1">
      <c r="A8" s="349"/>
      <c r="B8" s="3188"/>
      <c r="C8" s="351"/>
      <c r="D8" s="352"/>
      <c r="E8" s="347" t="s">
        <v>1401</v>
      </c>
      <c r="F8" s="348">
        <f ca="1">INDIRECT("'数据-取费表'!ai"&amp;$G$1)</f>
        <v>12</v>
      </c>
      <c r="G8" s="1842"/>
      <c r="H8" s="349"/>
      <c r="I8" s="3188"/>
      <c r="J8" s="351"/>
      <c r="K8" s="352"/>
      <c r="L8" s="347" t="s">
        <v>1401</v>
      </c>
      <c r="M8" s="348">
        <f ca="1">INDIRECT("'数据-取费表'!ai"&amp;$G$1)</f>
        <v>12</v>
      </c>
    </row>
    <row r="9" spans="1:37" ht="18" customHeight="1">
      <c r="A9" s="349"/>
      <c r="B9" s="3189"/>
      <c r="C9" s="351"/>
      <c r="D9" s="352"/>
      <c r="E9" s="347" t="s">
        <v>1402</v>
      </c>
      <c r="F9" s="357">
        <f ca="1">INDIRECT("'数据-取费表'!w"&amp;$G$1)</f>
        <v>0.1</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3036</v>
      </c>
      <c r="E10" s="358" t="s">
        <v>1404</v>
      </c>
      <c r="F10" s="2993" t="s">
        <v>3118</v>
      </c>
      <c r="G10" s="1842"/>
      <c r="H10" s="1291" t="s">
        <v>1035</v>
      </c>
      <c r="I10" s="1814" t="s">
        <v>1403</v>
      </c>
      <c r="J10" s="346">
        <f ca="1">ROUND(IF(M10="押一",J6/12*M11,IF(M10="押二",J6/12*2*M11,IF(M10="押三",J6/12*3*M11,J11*M11))),0)</f>
        <v>0</v>
      </c>
      <c r="K10" s="1826" t="s">
        <v>3038</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1676827</v>
      </c>
      <c r="D13" s="1331" t="s">
        <v>1409</v>
      </c>
      <c r="E13" s="1331" t="s">
        <v>1410</v>
      </c>
      <c r="F13" s="1332">
        <f ca="1">INDIRECT("'数据-取费表'!y"&amp;$G$1)</f>
        <v>0.73</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1718360</v>
      </c>
      <c r="D14" s="2975" t="s">
        <v>1412</v>
      </c>
      <c r="E14" s="2974"/>
      <c r="F14" s="364"/>
      <c r="G14" s="1842"/>
      <c r="H14" s="1201" t="s">
        <v>1031</v>
      </c>
      <c r="I14" s="347" t="s">
        <v>1413</v>
      </c>
      <c r="J14" s="24">
        <f ca="1">C29</f>
        <v>2297023</v>
      </c>
      <c r="K14" s="2965"/>
      <c r="L14" s="979"/>
      <c r="M14" s="980"/>
    </row>
    <row r="15" spans="1:37" s="1849" customFormat="1" ht="18" customHeight="1" thickBot="1">
      <c r="A15" s="1201" t="s">
        <v>1032</v>
      </c>
      <c r="B15" s="347" t="s">
        <v>1414</v>
      </c>
      <c r="C15" s="24">
        <f ca="1">ROUND(C14*F15,0)</f>
        <v>51551</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53750</v>
      </c>
      <c r="K16" s="1337" t="s">
        <v>1419</v>
      </c>
      <c r="L16" s="2978"/>
      <c r="M16" s="1294"/>
    </row>
    <row r="17" spans="1:37" s="1849" customFormat="1" ht="18" customHeight="1">
      <c r="A17" s="1201" t="s">
        <v>1384</v>
      </c>
      <c r="B17" s="347" t="s">
        <v>1420</v>
      </c>
      <c r="C17" s="24">
        <f ca="1">ROUND(F17*(F43+INDIRECT("'数据-取费表'!S"&amp;$G$1)),0)</f>
        <v>90440</v>
      </c>
      <c r="D17" s="347" t="s">
        <v>1421</v>
      </c>
      <c r="E17" s="347" t="s">
        <v>1422</v>
      </c>
      <c r="F17" s="26">
        <f>'数据-取费表'!B35</f>
        <v>200</v>
      </c>
      <c r="G17" s="1845"/>
      <c r="H17" s="1201" t="s">
        <v>1031</v>
      </c>
      <c r="I17" s="347" t="s">
        <v>1423</v>
      </c>
      <c r="J17" s="24">
        <f ca="1">ROUND(IF(项目基本情况!B11="自然人",J6*M17/(1+'数据-取费表'!C42),J18+J19+J20),0)</f>
        <v>19295</v>
      </c>
      <c r="K17" s="2975" t="s">
        <v>1424</v>
      </c>
      <c r="L17" s="297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25775</v>
      </c>
      <c r="D18" s="347" t="s">
        <v>1415</v>
      </c>
      <c r="E18" s="347" t="s">
        <v>1416</v>
      </c>
      <c r="F18" s="367">
        <f>'数据-取费表'!B36</f>
        <v>1.4999999999999999E-2</v>
      </c>
      <c r="G18" s="1845"/>
      <c r="H18" s="1201" t="s">
        <v>1030</v>
      </c>
      <c r="I18" s="347" t="s">
        <v>1427</v>
      </c>
      <c r="J18" s="24">
        <f ca="1">ROUND(J6*M18/(1+'数据-取费表'!C42),0)</f>
        <v>0</v>
      </c>
      <c r="K18" s="2977"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1886126</v>
      </c>
      <c r="D19" s="140" t="s">
        <v>1430</v>
      </c>
      <c r="E19" s="2963"/>
      <c r="F19" s="26"/>
      <c r="G19" s="1842"/>
      <c r="H19" s="1201" t="s">
        <v>1032</v>
      </c>
      <c r="I19" s="347" t="s">
        <v>1431</v>
      </c>
      <c r="J19" s="24">
        <f ca="1">IF(K19="按租金收入计税",ROUND(J6*M19/(1+'数据-取费表'!C42),0),ROUND(C29*M19*0.7,0))</f>
        <v>19295</v>
      </c>
      <c r="K19" s="1819" t="s">
        <v>1432</v>
      </c>
      <c r="L19" s="347" t="s">
        <v>1416</v>
      </c>
      <c r="M19" s="367">
        <f>IF(K19="按租金收入计税",'数据-取费表'!B51,'数据-取费表'!B50)</f>
        <v>1.2E-2</v>
      </c>
    </row>
    <row r="20" spans="1:37" s="1849" customFormat="1" ht="18" customHeight="1">
      <c r="A20" s="1201" t="s">
        <v>1035</v>
      </c>
      <c r="B20" s="347" t="s">
        <v>1433</v>
      </c>
      <c r="C20" s="24">
        <f ca="1">ROUND(C19*F20,0)</f>
        <v>37723</v>
      </c>
      <c r="D20" s="369" t="s">
        <v>1434</v>
      </c>
      <c r="E20" s="347" t="s">
        <v>1416</v>
      </c>
      <c r="F20" s="367">
        <f>'数据-取费表'!B37</f>
        <v>0.02</v>
      </c>
      <c r="G20" s="1845"/>
      <c r="H20" s="1201" t="s">
        <v>1383</v>
      </c>
      <c r="I20" s="164" t="s">
        <v>1435</v>
      </c>
      <c r="J20" s="25">
        <f ca="1">ROUND(M20*M21,0)</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3"/>
      <c r="F22" s="26"/>
      <c r="G22" s="1842"/>
      <c r="H22" s="1201" t="s">
        <v>1035</v>
      </c>
      <c r="I22" s="347" t="s">
        <v>1443</v>
      </c>
      <c r="J22" s="24">
        <f ca="1">ROUND(J14*M22,0)</f>
        <v>34455</v>
      </c>
      <c r="K22" s="297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91383</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2977"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ROUND(J5*M24,0)</f>
        <v>0</v>
      </c>
      <c r="K24" s="1342" t="s">
        <v>1453</v>
      </c>
      <c r="L24" s="1340" t="s">
        <v>1416</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2963"/>
      <c r="F25" s="26"/>
      <c r="G25" s="1842"/>
      <c r="H25" s="1329" t="s">
        <v>1027</v>
      </c>
      <c r="I25" s="1344" t="s">
        <v>1457</v>
      </c>
      <c r="J25" s="355">
        <f ca="1">J5-J16</f>
        <v>-53750</v>
      </c>
      <c r="K25" s="1345" t="s">
        <v>1458</v>
      </c>
      <c r="L25" s="1346"/>
      <c r="M25" s="1347"/>
    </row>
    <row r="26" spans="1:37" ht="18" customHeight="1">
      <c r="A26" s="1201" t="s">
        <v>1030</v>
      </c>
      <c r="B26" s="347" t="s">
        <v>1459</v>
      </c>
      <c r="C26" s="24">
        <f ca="1">ROUND((C19+C20)*F26,0)</f>
        <v>96192</v>
      </c>
      <c r="D26" s="369" t="s">
        <v>1460</v>
      </c>
      <c r="E26" s="358" t="s">
        <v>1461</v>
      </c>
      <c r="F26" s="357">
        <f ca="1">INDIRECT("'数据-取费表'!q"&amp;$G$1)</f>
        <v>0.05</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1.2999999999999999E-3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2297023</v>
      </c>
      <c r="D29" s="1342"/>
      <c r="E29" s="1340"/>
      <c r="F29" s="1343"/>
      <c r="G29" s="1845"/>
      <c r="H29" s="380" t="s">
        <v>1029</v>
      </c>
      <c r="I29" s="381" t="s">
        <v>1473</v>
      </c>
      <c r="J29" s="382">
        <f ca="1">ROUND(J26/(1+F40)^F41,0)</f>
        <v>0</v>
      </c>
      <c r="K29" s="383" t="s">
        <v>1474</v>
      </c>
      <c r="L29" s="384"/>
      <c r="M29" s="385">
        <f ca="1">INDIRECT("'数据-取费表'!k"&amp;$G$1)</f>
        <v>452.2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59989</v>
      </c>
      <c r="D30" s="1337" t="s">
        <v>1419</v>
      </c>
      <c r="E30" s="2978"/>
      <c r="F30" s="1294"/>
      <c r="G30" s="1842"/>
      <c r="H30" s="745"/>
      <c r="I30" s="746"/>
      <c r="J30" s="747"/>
      <c r="K30" s="748"/>
      <c r="L30" s="749"/>
      <c r="M30" s="750"/>
    </row>
    <row r="31" spans="1:37" ht="18" customHeight="1">
      <c r="A31" s="1201" t="s">
        <v>1031</v>
      </c>
      <c r="B31" s="347" t="s">
        <v>1423</v>
      </c>
      <c r="C31" s="24">
        <f ca="1">ROUND(IF(项目基本情况!B11="自然人",C6*F31/(1+'数据-取费表'!C42),C32+C33+C34),0)</f>
        <v>21723</v>
      </c>
      <c r="D31" s="2975" t="s">
        <v>1424</v>
      </c>
      <c r="E31" s="297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6912</v>
      </c>
      <c r="D32" s="2977"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14811</v>
      </c>
      <c r="D33" s="1819" t="s">
        <v>3075</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34455</v>
      </c>
      <c r="D36" s="297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2515</v>
      </c>
      <c r="D37" s="2977"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1296</v>
      </c>
      <c r="D38" s="1342" t="s">
        <v>1453</v>
      </c>
      <c r="E38" s="1340" t="s">
        <v>1416</v>
      </c>
      <c r="F38" s="1336">
        <f ca="1">INDIRECT("'数据-取费表'!Am"&amp;$G$1)</f>
        <v>0.01</v>
      </c>
      <c r="G38" s="1842"/>
      <c r="H38" s="1850"/>
      <c r="I38" s="1851"/>
      <c r="J38" s="1852"/>
      <c r="K38" s="1856"/>
      <c r="L38" s="1850"/>
      <c r="M38" s="1850"/>
    </row>
    <row r="39" spans="1:18" ht="24.6" customHeight="1" thickTop="1">
      <c r="A39" s="1329" t="s">
        <v>1027</v>
      </c>
      <c r="B39" s="1344" t="s">
        <v>1457</v>
      </c>
      <c r="C39" s="355">
        <f ca="1">C5-C30</f>
        <v>69611</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1515445</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32.61</v>
      </c>
      <c r="G41" s="1842"/>
      <c r="H41" s="732"/>
      <c r="I41" s="1851"/>
      <c r="J41" s="1852"/>
      <c r="K41" s="751"/>
      <c r="L41" s="732"/>
      <c r="M41" s="732"/>
    </row>
    <row r="42" spans="1:18" ht="18" customHeight="1">
      <c r="A42" s="353"/>
      <c r="B42" s="354"/>
      <c r="C42" s="355"/>
      <c r="D42" s="373"/>
      <c r="E42" s="347" t="s">
        <v>1471</v>
      </c>
      <c r="F42" s="357">
        <f ca="1">INDIRECT("'数据-取费表'!v"&amp;$G$1)</f>
        <v>2.5000000000000001E-2</v>
      </c>
      <c r="G42" s="1842"/>
      <c r="H42" s="732"/>
      <c r="I42" s="1851"/>
      <c r="J42" s="1852"/>
      <c r="K42" s="751"/>
      <c r="L42" s="732"/>
      <c r="M42" s="732"/>
    </row>
    <row r="43" spans="1:18" ht="18" customHeight="1" thickBot="1">
      <c r="A43" s="380" t="s">
        <v>1029</v>
      </c>
      <c r="B43" s="381" t="s">
        <v>1481</v>
      </c>
      <c r="C43" s="382">
        <f ca="1">ROUND(C40/F43,0)</f>
        <v>3351</v>
      </c>
      <c r="D43" s="383" t="s">
        <v>1482</v>
      </c>
      <c r="E43" s="384" t="s">
        <v>1483</v>
      </c>
      <c r="F43" s="385">
        <f ca="1">INDIRECT("'数据-取费表'!k"&amp;$G$1)</f>
        <v>452.2</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-6520847</v>
      </c>
      <c r="D45" s="1930" t="s">
        <v>1598</v>
      </c>
      <c r="E45" s="1857"/>
      <c r="F45" s="1857"/>
      <c r="O45" s="1860" t="s">
        <v>1513</v>
      </c>
      <c r="P45" s="1830"/>
      <c r="Q45" s="1830"/>
      <c r="R45" s="1830"/>
    </row>
    <row r="46" spans="1:18" s="1833" customFormat="1" ht="13.5" thickBot="1">
      <c r="A46" s="1861" t="s">
        <v>1514</v>
      </c>
      <c r="C46" s="1862">
        <f ca="1">ROUND(C45/10000,0)</f>
        <v>-652</v>
      </c>
      <c r="D46" s="1863" t="str">
        <f>C2</f>
        <v>万元</v>
      </c>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t="s">
        <v>3076</v>
      </c>
      <c r="K47" s="1873" t="s">
        <v>1521</v>
      </c>
      <c r="L47" s="1874">
        <f ca="1">INDIRECT("'数据-取费表'!d"&amp;$G$1)</f>
        <v>50</v>
      </c>
      <c r="M47" s="1829" t="str">
        <f>IF(ISNUMBER(FIND("住宅",C1)),"住宅","非住宅")</f>
        <v>非住宅</v>
      </c>
      <c r="O47" s="1875" t="s">
        <v>1036</v>
      </c>
      <c r="P47" s="1876" t="s">
        <v>1522</v>
      </c>
      <c r="Q47" s="1877">
        <f ca="1">C40+J29</f>
        <v>1515445</v>
      </c>
      <c r="R47" s="1877" t="s">
        <v>1523</v>
      </c>
    </row>
    <row r="48" spans="1:18" s="1833" customFormat="1" ht="28.5" thickBot="1">
      <c r="A48" s="1360" t="s">
        <v>1131</v>
      </c>
      <c r="B48" s="345" t="s">
        <v>1395</v>
      </c>
      <c r="C48" s="2962">
        <f ca="1">C49+C53+C55</f>
        <v>0</v>
      </c>
      <c r="D48" s="1362"/>
      <c r="E48" s="1363"/>
      <c r="F48" s="1181"/>
      <c r="G48" s="792"/>
      <c r="H48" s="793"/>
      <c r="I48" s="1878" t="s">
        <v>1524</v>
      </c>
      <c r="J48" s="1879" t="s">
        <v>3077</v>
      </c>
      <c r="K48" s="1880" t="s">
        <v>1525</v>
      </c>
      <c r="L48" s="1881">
        <f ca="1">INDIRECT("'数据-取费表'!f"&amp;$G$1)</f>
        <v>32.61</v>
      </c>
      <c r="O48" s="1875" t="s">
        <v>1037</v>
      </c>
      <c r="P48" s="1876" t="s">
        <v>1526</v>
      </c>
      <c r="Q48" s="1877" t="str">
        <f ca="1">J60</f>
        <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v>2004</v>
      </c>
      <c r="K49" s="1880" t="s">
        <v>1529</v>
      </c>
      <c r="L49" s="1884"/>
      <c r="O49" s="1885" t="s">
        <v>1038</v>
      </c>
      <c r="P49" s="1876" t="s">
        <v>1530</v>
      </c>
      <c r="Q49" s="1877">
        <f ca="1">C29</f>
        <v>2297023</v>
      </c>
      <c r="R49" s="1877" t="s">
        <v>1523</v>
      </c>
    </row>
    <row r="50" spans="1:18" s="1833" customFormat="1" ht="13.5" thickBot="1">
      <c r="A50" s="1195"/>
      <c r="B50" s="1198"/>
      <c r="C50" s="1199"/>
      <c r="D50" s="1172"/>
      <c r="E50" s="1277" t="s">
        <v>1400</v>
      </c>
      <c r="F50" s="1278">
        <f ca="1">F7</f>
        <v>10</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12</v>
      </c>
      <c r="I51" s="1889" t="s">
        <v>1534</v>
      </c>
      <c r="J51" s="1890">
        <f>IF(J49="",J50,J49+J50-YEAR('数据-取费表'!B2))</f>
        <v>44</v>
      </c>
      <c r="K51" s="1891" t="s">
        <v>1535</v>
      </c>
      <c r="L51" s="1892">
        <f ca="1">ROUND(-PV(INDIRECT("'数据-取费表'!h"&amp;$G$1),J51,(C39-C13*C76),0),0)</f>
        <v>-1386807</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32.61</v>
      </c>
      <c r="R52" s="1877" t="s">
        <v>1540</v>
      </c>
    </row>
    <row r="53" spans="1:18" s="1833" customFormat="1" ht="30.75" customHeight="1" thickBot="1">
      <c r="A53" s="1361" t="s">
        <v>1133</v>
      </c>
      <c r="B53" s="369" t="s">
        <v>1403</v>
      </c>
      <c r="C53" s="361">
        <f ca="1">ROUND(IF(F53="押一",C49/12*F11,IF(F53="押二",C49/12*2*F11,IF(F53="押三",C49/12*3*F11,C54*F11))),0)</f>
        <v>0</v>
      </c>
      <c r="D53" s="1815" t="s">
        <v>3039</v>
      </c>
      <c r="E53" s="358" t="s">
        <v>1404</v>
      </c>
      <c r="F53" s="1366"/>
      <c r="I53" s="1896" t="s">
        <v>1541</v>
      </c>
      <c r="J53" s="2943">
        <f ca="1">IF(M47="住宅",IF(D1="——",MAX(J51,L48),MAX(J51,L48-'数据-取费表'!B24)),IF(D1="——",MIN(J51,L48),MIN(J51,L48-'数据-取费表'!B24)))</f>
        <v>32.61</v>
      </c>
      <c r="K53" s="3185" t="s">
        <v>1542</v>
      </c>
      <c r="L53" s="3186"/>
      <c r="O53" s="1875" t="s">
        <v>1042</v>
      </c>
      <c r="P53" s="1876" t="s">
        <v>1543</v>
      </c>
      <c r="Q53" s="1877">
        <f ca="1">Q47+Q48</f>
        <v>1515445</v>
      </c>
      <c r="R53" s="1877" t="s">
        <v>1043</v>
      </c>
    </row>
    <row r="54" spans="1:18" s="1833" customFormat="1" ht="13.5" thickBot="1">
      <c r="A54" s="1194"/>
      <c r="B54" s="1931" t="s">
        <v>1597</v>
      </c>
      <c r="C54" s="1178"/>
      <c r="D54" s="1815"/>
      <c r="E54" s="2967"/>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67"/>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1676827</v>
      </c>
      <c r="D56" s="1904"/>
      <c r="E56" s="1905"/>
      <c r="F56" s="1897"/>
      <c r="I56" s="1906" t="s">
        <v>1548</v>
      </c>
      <c r="J56" s="1907" t="s">
        <v>3064</v>
      </c>
      <c r="K56" s="1878" t="s">
        <v>1549</v>
      </c>
      <c r="L56" s="1881" t="str">
        <f ca="1">IF(L48&lt;J51,"——",L48-J51)</f>
        <v>——</v>
      </c>
      <c r="O56" s="1875" t="s">
        <v>1036</v>
      </c>
      <c r="P56" s="1876" t="s">
        <v>1522</v>
      </c>
      <c r="Q56" s="1877">
        <f ca="1">C40+J29</f>
        <v>1515445</v>
      </c>
      <c r="R56" s="1877" t="s">
        <v>1523</v>
      </c>
    </row>
    <row r="57" spans="1:18" s="1833" customFormat="1" ht="24.75" thickBot="1">
      <c r="A57" s="1908"/>
      <c r="B57" s="1169" t="s">
        <v>1472</v>
      </c>
      <c r="C57" s="282">
        <f ca="1">C29</f>
        <v>2297023</v>
      </c>
      <c r="D57" s="1909"/>
      <c r="E57" s="1910"/>
      <c r="F57" s="1911"/>
      <c r="I57" s="1912" t="s">
        <v>1550</v>
      </c>
      <c r="J57" s="1913" t="str">
        <f ca="1">IF(OR(M47="住宅",J51&lt;L48,J56="是"),"——",J51-L48)</f>
        <v>——</v>
      </c>
      <c r="K57" s="1878" t="s">
        <v>1599</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229920</v>
      </c>
      <c r="D58" s="1179" t="s">
        <v>1419</v>
      </c>
      <c r="E58" s="1180"/>
      <c r="F58" s="1181"/>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192950</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1431</v>
      </c>
      <c r="C61" s="24">
        <f ca="1">IF(项目基本情况!B11="自然人","——",IF(D61="按租金收入计税",ROUND(C48*F61,0),IF(D61="按房产原值计税",ROUND(C57*F61*0.7,0),INDIRECT("'数据-取费表'!Aj"&amp;$G$1))))</f>
        <v>192950</v>
      </c>
      <c r="D61" s="1819" t="s">
        <v>1432</v>
      </c>
      <c r="E61" s="1169" t="s">
        <v>1416</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IF(项目基本情况!B11="自然人","——",ROUND(F62*F63,0))</f>
        <v>0</v>
      </c>
      <c r="D62" s="1184" t="s">
        <v>1436</v>
      </c>
      <c r="E62" s="1169" t="s">
        <v>1437</v>
      </c>
      <c r="F62" s="371">
        <f t="shared" si="0"/>
        <v>18</v>
      </c>
      <c r="I62" s="1919" t="s">
        <v>1564</v>
      </c>
      <c r="J62" s="1920" t="s">
        <v>1565</v>
      </c>
      <c r="K62" s="1920" t="s">
        <v>1566</v>
      </c>
      <c r="L62" s="1920" t="s">
        <v>1567</v>
      </c>
      <c r="M62" s="1921" t="s">
        <v>1568</v>
      </c>
      <c r="O62" s="1875" t="s">
        <v>1042</v>
      </c>
      <c r="P62" s="1876" t="s">
        <v>1543</v>
      </c>
      <c r="Q62" s="1877">
        <f ca="1">Q56+Q57</f>
        <v>1515445</v>
      </c>
      <c r="R62" s="1877" t="s">
        <v>1043</v>
      </c>
    </row>
    <row r="63" spans="1:18" s="1833" customFormat="1" ht="13.5" thickBot="1">
      <c r="A63" s="372"/>
      <c r="B63" s="1175"/>
      <c r="C63" s="29"/>
      <c r="D63" s="1185"/>
      <c r="E63" s="1169" t="s">
        <v>1441</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1035</v>
      </c>
      <c r="B64" s="1169" t="s">
        <v>1443</v>
      </c>
      <c r="C64" s="24">
        <f ca="1">ROUND(C57*F64,0)</f>
        <v>34455</v>
      </c>
      <c r="D64" s="1183" t="s">
        <v>1476</v>
      </c>
      <c r="E64" s="1169" t="s">
        <v>1416</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2515</v>
      </c>
      <c r="D65" s="1183" t="s">
        <v>1448</v>
      </c>
      <c r="E65" s="1169" t="s">
        <v>1416</v>
      </c>
      <c r="F65" s="376">
        <f t="shared" ca="1" si="0"/>
        <v>1.5E-3</v>
      </c>
      <c r="I65" s="1919" t="s">
        <v>1573</v>
      </c>
      <c r="J65" s="1920">
        <v>40</v>
      </c>
      <c r="K65" s="1920">
        <v>30</v>
      </c>
      <c r="L65" s="1920">
        <v>50</v>
      </c>
      <c r="M65" s="1922">
        <v>0.02</v>
      </c>
      <c r="O65" s="1875" t="s">
        <v>1036</v>
      </c>
      <c r="P65" s="1876" t="s">
        <v>1522</v>
      </c>
      <c r="Q65" s="1877">
        <f ca="1">C40+J29</f>
        <v>1515445</v>
      </c>
      <c r="R65" s="1877" t="s">
        <v>1523</v>
      </c>
    </row>
    <row r="66" spans="1:18" s="1833" customFormat="1" ht="16.5" thickBot="1">
      <c r="A66" s="1201" t="s">
        <v>1498</v>
      </c>
      <c r="B66" s="1169" t="s">
        <v>1433</v>
      </c>
      <c r="C66" s="24">
        <f ca="1">ROUND(C48*F66,0)</f>
        <v>0</v>
      </c>
      <c r="D66" s="1183" t="s">
        <v>1453</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-229920</v>
      </c>
      <c r="D67" s="1182" t="s">
        <v>1458</v>
      </c>
      <c r="E67" s="1187"/>
      <c r="F67" s="1188"/>
      <c r="O67" s="1885" t="s">
        <v>1038</v>
      </c>
      <c r="P67" s="1876" t="s">
        <v>1556</v>
      </c>
      <c r="Q67" s="1923">
        <f ca="1">L51</f>
        <v>-1386807</v>
      </c>
      <c r="R67" s="1877" t="s">
        <v>1576</v>
      </c>
    </row>
    <row r="68" spans="1:18" s="1833" customFormat="1" ht="16.5" thickBot="1">
      <c r="A68" s="1166" t="s">
        <v>1028</v>
      </c>
      <c r="B68" s="1167" t="s">
        <v>1479</v>
      </c>
      <c r="C68" s="346">
        <f ca="1">ROUND(C67*(1-((1+F70)/(1+F68))^F69)/(F68-F70),0)</f>
        <v>-5005402</v>
      </c>
      <c r="D68" s="1184" t="s">
        <v>1463</v>
      </c>
      <c r="E68" s="1169" t="s">
        <v>1464</v>
      </c>
      <c r="F68" s="357">
        <f ca="1">F40</f>
        <v>0.05</v>
      </c>
      <c r="O68" s="1885" t="s">
        <v>1039</v>
      </c>
      <c r="P68" s="1924" t="s">
        <v>1577</v>
      </c>
      <c r="Q68" s="1877">
        <f ca="1">ROUND(Q69-Q70*Q71,0)</f>
        <v>-72919</v>
      </c>
      <c r="R68" s="1877" t="s">
        <v>1047</v>
      </c>
    </row>
    <row r="69" spans="1:18" s="1833" customFormat="1" ht="13.5" thickBot="1">
      <c r="A69" s="1170"/>
      <c r="B69" s="1171"/>
      <c r="C69" s="351"/>
      <c r="D69" s="1189" t="s">
        <v>1467</v>
      </c>
      <c r="E69" s="1169" t="s">
        <v>1468</v>
      </c>
      <c r="F69" s="379">
        <f ca="1">F41</f>
        <v>32.61</v>
      </c>
      <c r="O69" s="1885" t="s">
        <v>1044</v>
      </c>
      <c r="P69" s="1924" t="s">
        <v>1578</v>
      </c>
      <c r="Q69" s="1877">
        <f ca="1">C39</f>
        <v>69611</v>
      </c>
      <c r="R69" s="1877" t="s">
        <v>1523</v>
      </c>
    </row>
    <row r="70" spans="1:18" s="1833" customFormat="1" ht="13.5" thickBot="1">
      <c r="A70" s="1173"/>
      <c r="B70" s="1174"/>
      <c r="C70" s="355"/>
      <c r="D70" s="1185"/>
      <c r="E70" s="1169" t="s">
        <v>1471</v>
      </c>
      <c r="F70" s="1275">
        <f ca="1">F42</f>
        <v>2.5000000000000001E-2</v>
      </c>
      <c r="O70" s="1885" t="s">
        <v>1045</v>
      </c>
      <c r="P70" s="1924" t="s">
        <v>1579</v>
      </c>
      <c r="Q70" s="1877">
        <f ca="1">C13</f>
        <v>1676827</v>
      </c>
      <c r="R70" s="1877" t="s">
        <v>1523</v>
      </c>
    </row>
    <row r="71" spans="1:18" s="1833" customFormat="1" ht="13.5" thickBot="1">
      <c r="A71" s="1190" t="s">
        <v>1029</v>
      </c>
      <c r="B71" s="1191" t="s">
        <v>1481</v>
      </c>
      <c r="C71" s="382">
        <f ca="1">ROUND(C68/F71,0)</f>
        <v>-11069</v>
      </c>
      <c r="D71" s="1192" t="s">
        <v>1482</v>
      </c>
      <c r="E71" s="1193" t="s">
        <v>1483</v>
      </c>
      <c r="F71" s="385">
        <f ca="1">F43</f>
        <v>452.2</v>
      </c>
      <c r="O71" s="1885" t="s">
        <v>1046</v>
      </c>
      <c r="P71" s="1924" t="s">
        <v>1580</v>
      </c>
      <c r="Q71" s="1888">
        <f ca="1">C76</f>
        <v>8.5000000000000006E-2</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142530</v>
      </c>
      <c r="D75" s="1833"/>
      <c r="E75" s="1833"/>
      <c r="F75" s="1833"/>
      <c r="K75" s="1859"/>
      <c r="L75" s="1833"/>
      <c r="O75" s="1875" t="s">
        <v>1042</v>
      </c>
      <c r="P75" s="1876" t="s">
        <v>1543</v>
      </c>
      <c r="Q75" s="1877">
        <f ca="1">Q65+Q66</f>
        <v>1515445</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-1.048</v>
      </c>
    </row>
    <row r="80" spans="1:18">
      <c r="B80" s="386" t="s">
        <v>1505</v>
      </c>
      <c r="C80" s="318">
        <f ca="1">ROUND(C75/C39,3)</f>
        <v>2.048</v>
      </c>
    </row>
    <row r="81" spans="2:3">
      <c r="B81" s="314" t="s">
        <v>1506</v>
      </c>
      <c r="C81" s="282"/>
    </row>
    <row r="82" spans="2:3">
      <c r="B82" s="317" t="s">
        <v>1507</v>
      </c>
      <c r="C82" s="319">
        <f ca="1">1-C83</f>
        <v>-0.10600000000000009</v>
      </c>
    </row>
    <row r="83" spans="2:3">
      <c r="B83" s="317" t="s">
        <v>1508</v>
      </c>
      <c r="C83" s="318">
        <f ca="1">ROUND(C13/C40,3)</f>
        <v>1.1060000000000001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44" sqref="L4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19" t="s">
        <v>3002</v>
      </c>
      <c r="D1" s="3320"/>
      <c r="E1" s="3320"/>
      <c r="F1" s="3320"/>
      <c r="G1" s="3320"/>
      <c r="H1" s="3320"/>
      <c r="I1" s="3320"/>
      <c r="J1" s="3320"/>
      <c r="K1" s="3320"/>
      <c r="L1" s="3320"/>
      <c r="M1" s="3320"/>
      <c r="N1" s="3320"/>
      <c r="O1" s="3320"/>
      <c r="P1" s="3320"/>
      <c r="Q1" s="3320"/>
      <c r="R1" s="3320"/>
      <c r="S1" s="3321"/>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3011</v>
      </c>
      <c r="B17" s="2902"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3013</v>
      </c>
      <c r="E19" s="1783"/>
      <c r="F19" s="1783"/>
      <c r="G19" s="1783"/>
      <c r="H19" s="1280"/>
      <c r="I19" s="168"/>
      <c r="J19" s="168"/>
      <c r="K19" s="168"/>
      <c r="L19" s="168"/>
      <c r="M19" s="168"/>
      <c r="N19" s="168"/>
      <c r="O19" s="168"/>
      <c r="P19" s="168"/>
      <c r="Q19" s="168"/>
      <c r="R19" s="788"/>
      <c r="S19" s="138"/>
    </row>
    <row r="20" spans="1:45" ht="16.5" thickBot="1">
      <c r="A20" s="715" t="s">
        <v>3014</v>
      </c>
      <c r="B20" s="338" t="e">
        <f ca="1">IF(D20="——",S22,S22-F20)</f>
        <v>#REF!</v>
      </c>
      <c r="C20" s="168"/>
      <c r="D20" s="2904" t="s">
        <v>3015</v>
      </c>
      <c r="E20" s="1784"/>
      <c r="F20" s="1204" t="e">
        <f ca="1">SUMIF(INDIRECT("'"&amp;H20&amp;"'"&amp;"!A:A"),"承租人权益价值",INDIRECT("'"&amp;H20&amp;"'"&amp;"!c:c"))</f>
        <v>#REF!</v>
      </c>
      <c r="G20" s="1204" t="s">
        <v>3016</v>
      </c>
      <c r="H20" s="2905"/>
      <c r="I20" s="168"/>
      <c r="J20" s="168"/>
      <c r="K20" s="168"/>
      <c r="L20" s="168"/>
      <c r="M20" s="168"/>
      <c r="N20" s="168"/>
      <c r="O20" s="168"/>
      <c r="P20" s="168"/>
      <c r="Q20" s="168"/>
      <c r="R20" s="788"/>
      <c r="S20" s="138"/>
    </row>
    <row r="21" spans="1:45" ht="15.75">
      <c r="A21" s="715" t="s">
        <v>3017</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95" t="s">
        <v>33</v>
      </c>
      <c r="D22" s="3096"/>
      <c r="E22" s="3096"/>
      <c r="F22" s="3096"/>
      <c r="G22" s="3096"/>
      <c r="H22" s="3096"/>
      <c r="I22" s="3096"/>
      <c r="J22" s="3096"/>
      <c r="K22" s="3096"/>
      <c r="L22" s="3096"/>
      <c r="M22" s="3096"/>
      <c r="N22" s="3096"/>
      <c r="O22" s="3096"/>
      <c r="P22" s="3096"/>
      <c r="Q22" s="331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29595</v>
      </c>
      <c r="C2" s="2" t="s">
        <v>133</v>
      </c>
      <c r="D2" s="243"/>
      <c r="E2" s="243"/>
      <c r="F2" s="243"/>
      <c r="G2" s="243"/>
    </row>
    <row r="3" spans="1:7" s="244" customFormat="1" ht="18" customHeight="1" thickBot="1">
      <c r="A3" s="247" t="s">
        <v>85</v>
      </c>
      <c r="B3" s="248">
        <f ca="1">ROUND(B2*10000/'数据-汇总表'!E3,0)</f>
        <v>171598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34</v>
      </c>
      <c r="D10" s="1032">
        <f>'数据-汇总表'!E6</f>
        <v>1724.67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34</v>
      </c>
      <c r="D19" s="1036">
        <f>'数据-汇总表'!E3</f>
        <v>1724.67</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2027</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3369</v>
      </c>
      <c r="D27" s="279">
        <f>C29</f>
        <v>4.0000000000000001E-3</v>
      </c>
      <c r="E27" s="280" t="s">
        <v>126</v>
      </c>
      <c r="F27" s="290">
        <f>'数据-取费表'!Q16</f>
        <v>0.16</v>
      </c>
      <c r="G27" s="291" t="s">
        <v>1065</v>
      </c>
    </row>
    <row r="28" spans="1:7" s="258" customFormat="1" ht="13.5" customHeight="1">
      <c r="A28" s="951" t="s">
        <v>794</v>
      </c>
      <c r="B28" s="292" t="s">
        <v>1058</v>
      </c>
      <c r="C28" s="293">
        <f>ROUND((C5+C19+C20)*F27*'数据-取费表'!B21/'数据-取费表'!B20,0)</f>
        <v>3369</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745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681</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34</v>
      </c>
      <c r="D37" s="261">
        <f>'数据-汇总表'!E3</f>
        <v>1724.67</v>
      </c>
      <c r="E37" s="293">
        <f>'数据-取费表'!B35</f>
        <v>200</v>
      </c>
      <c r="F37" s="303"/>
      <c r="G37" s="305" t="s">
        <v>119</v>
      </c>
    </row>
    <row r="38" spans="1:7" ht="13.5" customHeight="1">
      <c r="A38" s="951" t="s">
        <v>799</v>
      </c>
      <c r="B38" s="259" t="s">
        <v>63</v>
      </c>
      <c r="C38" s="264">
        <f>ROUND(C34*F38,0)</f>
        <v>10</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1067</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36</v>
      </c>
      <c r="D41" s="279">
        <f ca="1">C44</f>
        <v>1.1999999999999999E-3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35</v>
      </c>
      <c r="D42" s="282"/>
      <c r="E42" s="282"/>
      <c r="F42" s="283"/>
      <c r="G42" s="3182" t="s">
        <v>121</v>
      </c>
    </row>
    <row r="43" spans="1:7" ht="13.5" customHeight="1">
      <c r="A43" s="951" t="s">
        <v>792</v>
      </c>
      <c r="B43" s="259" t="s">
        <v>1060</v>
      </c>
      <c r="C43" s="282">
        <f ca="1">ROUND(IF('数据-取费表'!B22&lt;=1,C39*F22*'数据-取费表'!B21/2,C39*(POWER((1+F22),'数据-取费表'!B21/2)-1)),0)</f>
        <v>1</v>
      </c>
      <c r="D43" s="282"/>
      <c r="E43" s="282"/>
      <c r="F43" s="283"/>
      <c r="G43" s="3183"/>
    </row>
    <row r="44" spans="1:7" ht="13.5" customHeight="1">
      <c r="A44" s="951" t="s">
        <v>793</v>
      </c>
      <c r="B44" s="259" t="s">
        <v>1062</v>
      </c>
      <c r="C44" s="282">
        <f ca="1">ROUND(IF('数据-取费表'!B22&lt;=1,C40*F22*'数据-取费表'!B21/2,C40*(POWER((1+F22),'数据-取费表'!B21/2)-1)),4)</f>
        <v>1.1999999999999999E-3</v>
      </c>
      <c r="D44" s="282"/>
      <c r="E44" s="282"/>
      <c r="F44" s="283"/>
      <c r="G44" s="3184"/>
    </row>
    <row r="45" spans="1:7" s="258" customFormat="1" ht="13.5" customHeight="1">
      <c r="A45" s="948" t="s">
        <v>786</v>
      </c>
      <c r="B45" s="288" t="s">
        <v>112</v>
      </c>
      <c r="C45" s="289">
        <f>C46</f>
        <v>122</v>
      </c>
      <c r="D45" s="279">
        <f>C47</f>
        <v>4.0000000000000001E-3</v>
      </c>
      <c r="E45" s="280" t="s">
        <v>129</v>
      </c>
      <c r="F45" s="290"/>
      <c r="G45" s="291" t="s">
        <v>1068</v>
      </c>
    </row>
    <row r="46" spans="1:7" s="258" customFormat="1" ht="13.5" customHeight="1">
      <c r="A46" s="951" t="s">
        <v>794</v>
      </c>
      <c r="B46" s="292" t="s">
        <v>1061</v>
      </c>
      <c r="C46" s="293">
        <f>ROUND((C33+C39)*F27,0)</f>
        <v>122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1002</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731</v>
      </c>
      <c r="D51" s="276"/>
      <c r="E51" s="276"/>
      <c r="F51" s="308"/>
      <c r="G51" s="278" t="s">
        <v>64</v>
      </c>
    </row>
    <row r="52" spans="1:7" s="252" customFormat="1" ht="16.5" thickBot="1">
      <c r="A52" s="309" t="s">
        <v>65</v>
      </c>
      <c r="B52" s="310"/>
      <c r="C52" s="311">
        <f ca="1">C31+C51</f>
        <v>29595</v>
      </c>
      <c r="D52" s="310"/>
      <c r="E52" s="310"/>
      <c r="F52" s="310"/>
      <c r="G52" s="312"/>
    </row>
    <row r="55" spans="1:7" ht="15">
      <c r="B55" s="314" t="s">
        <v>66</v>
      </c>
      <c r="C55" s="315"/>
    </row>
    <row r="56" spans="1:7">
      <c r="B56" s="317" t="s">
        <v>67</v>
      </c>
      <c r="C56" s="318">
        <f ca="1">ROUND(C51/C52,3)</f>
        <v>2.5000000000000001E-2</v>
      </c>
    </row>
    <row r="57" spans="1:7">
      <c r="B57" s="317" t="s">
        <v>68</v>
      </c>
      <c r="C57" s="319">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2" t="s">
        <v>156</v>
      </c>
      <c r="B1" s="3322"/>
      <c r="C1" s="3322"/>
      <c r="D1" s="3322"/>
      <c r="E1" s="3322"/>
      <c r="F1" s="33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3" t="s">
        <v>169</v>
      </c>
      <c r="B2" s="3323"/>
      <c r="C2" s="3323"/>
      <c r="D2" s="3323"/>
      <c r="E2" s="3323"/>
      <c r="F2" s="33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2" t="s">
        <v>867</v>
      </c>
      <c r="B1" s="332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44020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T28" sqref="T28"/>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48"/>
  <sheetViews>
    <sheetView topLeftCell="A33" workbookViewId="0">
      <selection activeCell="P42" sqref="P42"/>
    </sheetView>
  </sheetViews>
  <sheetFormatPr defaultRowHeight="13.5"/>
  <sheetData>
    <row r="48" spans="5:5">
      <c r="E48" s="2987" t="s">
        <v>3115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1635</v>
      </c>
      <c r="B2" s="3006" t="s">
        <v>1636</v>
      </c>
      <c r="C2" s="3006" t="s">
        <v>1637</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4" t="s">
        <v>1632</v>
      </c>
      <c r="E3" s="1044" t="s">
        <v>1638</v>
      </c>
      <c r="F3" s="1044" t="s">
        <v>1632</v>
      </c>
      <c r="G3" s="1044" t="s">
        <v>1633</v>
      </c>
      <c r="H3" s="1044" t="s">
        <v>1632</v>
      </c>
      <c r="I3" s="1044" t="s">
        <v>1633</v>
      </c>
    </row>
    <row r="4" spans="1:9" ht="15">
      <c r="A4" s="1963" t="str">
        <f>项目基本情况!S2</f>
        <v>北京市房地产</v>
      </c>
      <c r="B4" s="1044">
        <f>项目基本情况!C17</f>
        <v>1724.67</v>
      </c>
      <c r="C4" s="1044">
        <f>项目基本情况!C18</f>
        <v>0</v>
      </c>
      <c r="D4" s="1044" t="e">
        <f ca="1">结果表!D118</f>
        <v>#REF!</v>
      </c>
      <c r="E4" s="1044" t="e">
        <f ca="1">结果表!E118</f>
        <v>#REF!</v>
      </c>
      <c r="F4" s="1044" t="e">
        <f ca="1">结果表!F118</f>
        <v>#REF!</v>
      </c>
      <c r="G4" s="1044" t="e">
        <f ca="1">结果表!G118</f>
        <v>#REF!</v>
      </c>
      <c r="H4" s="1044">
        <f ca="1">结果表!H118</f>
        <v>5123</v>
      </c>
      <c r="I4" s="1044">
        <f ca="1">结果表!I118</f>
        <v>29704</v>
      </c>
    </row>
    <row r="5" spans="1:9" ht="30" customHeight="1">
      <c r="A5" s="3007" t="s">
        <v>1634</v>
      </c>
      <c r="B5" s="3007"/>
      <c r="C5" s="3007"/>
      <c r="D5" s="3008" t="e">
        <f ca="1">结果表!D119</f>
        <v>#REF!</v>
      </c>
      <c r="E5" s="3008"/>
      <c r="F5" s="3008" t="e">
        <f ca="1">结果表!F119</f>
        <v>#REF!</v>
      </c>
      <c r="G5" s="3008"/>
      <c r="H5" s="3008" t="str">
        <f ca="1">结果表!H119</f>
        <v>伍仟壹佰贰拾叁万元整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1634</v>
      </c>
      <c r="B7" s="3007"/>
      <c r="C7" s="3007"/>
      <c r="D7" s="3010" t="str">
        <f>结果表!D121</f>
        <v>零元整</v>
      </c>
      <c r="E7" s="3011"/>
      <c r="F7" s="3011"/>
      <c r="G7" s="3011"/>
      <c r="H7" s="3011"/>
      <c r="I7" s="3012"/>
    </row>
    <row r="8" spans="1:9" ht="15.75">
      <c r="A8" s="3009" t="str">
        <f>结果表!A122</f>
        <v>房地产抵押价值</v>
      </c>
      <c r="B8" s="3009"/>
      <c r="C8" s="3009"/>
      <c r="D8" s="3009">
        <f ca="1">结果表!D122</f>
        <v>5123</v>
      </c>
      <c r="E8" s="3009"/>
      <c r="F8" s="3009"/>
      <c r="G8" s="3009"/>
      <c r="H8" s="3009"/>
      <c r="I8" s="3009"/>
    </row>
    <row r="9" spans="1:9" ht="15">
      <c r="A9" s="3007" t="s">
        <v>1634</v>
      </c>
      <c r="B9" s="3007"/>
      <c r="C9" s="3007"/>
      <c r="D9" s="3008" t="str">
        <f ca="1">结果表!D123</f>
        <v>伍仟壹佰贰拾叁万元整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1634</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1634</v>
      </c>
      <c r="B13" s="3013"/>
      <c r="C13" s="3013"/>
      <c r="D13" s="3014" t="e">
        <f>结果表!D127</f>
        <v>#VALUE!</v>
      </c>
      <c r="E13" s="3014"/>
      <c r="F13" s="3014"/>
      <c r="G13" s="3014"/>
      <c r="H13" s="3014"/>
      <c r="I13" s="3014"/>
    </row>
    <row r="14" spans="1:9" ht="15" thickTop="1">
      <c r="A14" s="3015" t="s">
        <v>1639</v>
      </c>
      <c r="B14" s="3015"/>
      <c r="C14" s="3015"/>
      <c r="D14" s="3015"/>
      <c r="E14" s="3015"/>
      <c r="F14" s="3015"/>
      <c r="G14" s="3015"/>
      <c r="H14" s="3015"/>
      <c r="I14" s="3015"/>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6" t="s">
        <v>1656</v>
      </c>
      <c r="B1" s="3016"/>
      <c r="C1" s="3016"/>
      <c r="D1" s="3016"/>
    </row>
    <row r="2" spans="1:4" ht="18">
      <c r="A2" s="3017" t="s">
        <v>1640</v>
      </c>
      <c r="B2" s="3017"/>
      <c r="C2" s="3017"/>
      <c r="D2" s="3017"/>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17" t="s">
        <v>1646</v>
      </c>
      <c r="B6" s="3017"/>
      <c r="C6" s="3017"/>
      <c r="D6" s="3017"/>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18" t="s">
        <v>1649</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2" t="s">
        <v>1650</v>
      </c>
      <c r="B16" s="3022"/>
      <c r="C16" s="3022"/>
      <c r="D16" s="3022"/>
    </row>
    <row r="17" spans="1:4" ht="144" customHeight="1">
      <c r="A17" s="3022" t="s">
        <v>1651</v>
      </c>
      <c r="B17" s="3022"/>
      <c r="C17" s="3022"/>
      <c r="D17" s="3022"/>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1652</v>
      </c>
      <c r="B22" s="3024"/>
      <c r="C22" s="3024"/>
      <c r="D22" s="3024"/>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30" t="s">
        <v>1663</v>
      </c>
      <c r="B15" s="3025" t="s">
        <v>136</v>
      </c>
      <c r="C15" s="3026"/>
    </row>
    <row r="16" spans="1:7" ht="13.5">
      <c r="A16" s="3031"/>
      <c r="B16" s="3025" t="s">
        <v>69</v>
      </c>
      <c r="C16" s="3026"/>
    </row>
    <row r="17" spans="1:3" ht="13.5">
      <c r="A17" s="3031"/>
      <c r="B17" s="3028" t="s">
        <v>1664</v>
      </c>
      <c r="C17" s="1990" t="s">
        <v>1663</v>
      </c>
    </row>
    <row r="18" spans="1:3" ht="13.5">
      <c r="A18" s="3031"/>
      <c r="B18" s="3028"/>
      <c r="C18" s="1990" t="s">
        <v>1665</v>
      </c>
    </row>
    <row r="19" spans="1:3" ht="13.5">
      <c r="A19" s="3031"/>
      <c r="B19" s="3028"/>
      <c r="C19" s="1990" t="s">
        <v>1666</v>
      </c>
    </row>
    <row r="20" spans="1:3" ht="13.5">
      <c r="A20" s="3032"/>
      <c r="B20" s="3027" t="s">
        <v>1667</v>
      </c>
      <c r="C20" s="3026"/>
    </row>
    <row r="21" spans="1:3" ht="13.5">
      <c r="A21" s="1991" t="s">
        <v>1668</v>
      </c>
      <c r="B21" s="1992"/>
      <c r="C21" s="1993"/>
    </row>
    <row r="22" spans="1:3" ht="13.5">
      <c r="A22" s="3029" t="s">
        <v>1669</v>
      </c>
      <c r="B22" s="3027" t="s">
        <v>1670</v>
      </c>
      <c r="C22" s="3026"/>
    </row>
    <row r="23" spans="1:3" ht="13.5">
      <c r="A23" s="3029"/>
      <c r="B23" s="3027" t="s">
        <v>1671</v>
      </c>
      <c r="C23" s="3026"/>
    </row>
    <row r="24" spans="1:3" ht="13.5">
      <c r="A24" s="3029"/>
      <c r="B24" s="3027" t="s">
        <v>1672</v>
      </c>
      <c r="C24" s="3026"/>
    </row>
    <row r="25" spans="1:3" ht="13.5">
      <c r="A25" s="3029"/>
      <c r="B25" s="3028" t="s">
        <v>1673</v>
      </c>
      <c r="C25" s="1990" t="s">
        <v>1674</v>
      </c>
    </row>
    <row r="26" spans="1:3" ht="13.5">
      <c r="A26" s="3029"/>
      <c r="B26" s="3028"/>
      <c r="C26" s="1990" t="s">
        <v>1675</v>
      </c>
    </row>
    <row r="27" spans="1:3" ht="13.5">
      <c r="A27" s="3029"/>
      <c r="B27" s="3028"/>
      <c r="C27" s="1990" t="s">
        <v>1676</v>
      </c>
    </row>
    <row r="28" spans="1:3" ht="13.5">
      <c r="A28" s="3029"/>
      <c r="B28" s="3028"/>
      <c r="C28" s="1990" t="s">
        <v>1677</v>
      </c>
    </row>
    <row r="29" spans="1:3" ht="13.5">
      <c r="A29" s="3029"/>
      <c r="B29" s="3028"/>
      <c r="C29" s="1990" t="s">
        <v>1678</v>
      </c>
    </row>
    <row r="30" spans="1:3" ht="13.5">
      <c r="A30" s="3029"/>
      <c r="B30" s="3028"/>
      <c r="C30" s="1990" t="s">
        <v>1679</v>
      </c>
    </row>
    <row r="31" spans="1:3" ht="13.5">
      <c r="A31" s="3029"/>
      <c r="B31" s="3028"/>
      <c r="C31" s="1990" t="s">
        <v>1680</v>
      </c>
    </row>
    <row r="32" spans="1:3" ht="13.5">
      <c r="A32" s="3029"/>
      <c r="B32" s="3028"/>
      <c r="C32" s="1990" t="s">
        <v>1681</v>
      </c>
    </row>
    <row r="33" spans="1:3" ht="13.5">
      <c r="A33" s="3029"/>
      <c r="B33" s="3028"/>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44025</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1">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1">
        <v>44876</v>
      </c>
      <c r="D8" s="2342" t="s">
        <v>835</v>
      </c>
      <c r="E8" s="1022">
        <f ca="1">IF(F8&lt;B2,"已过期",2000110082)</f>
        <v>2000110082</v>
      </c>
      <c r="F8" s="1030">
        <v>46387</v>
      </c>
    </row>
    <row r="9" spans="1:6" ht="24" customHeight="1">
      <c r="A9" s="1701" t="s">
        <v>836</v>
      </c>
      <c r="B9" s="1022">
        <f ca="1">IF(C9&lt;B2,"已过期",1419970001)</f>
        <v>1419970001</v>
      </c>
      <c r="C9" s="2921">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1"/>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3042</v>
      </c>
      <c r="B14" s="1022">
        <f ca="1">IF(C14&lt;B2,"已过期",1120040230)</f>
        <v>1120040230</v>
      </c>
      <c r="C14" s="2339">
        <v>44864</v>
      </c>
      <c r="D14" s="2342" t="s">
        <v>3042</v>
      </c>
      <c r="E14" s="1022">
        <f ca="1">IF(F14&lt;B2,"已过期",98030020)</f>
        <v>98030020</v>
      </c>
      <c r="F14" s="1030">
        <v>47118</v>
      </c>
    </row>
    <row r="15" spans="1:6" ht="24" customHeight="1">
      <c r="A15" s="1702"/>
      <c r="B15" s="1022"/>
      <c r="C15" s="2339"/>
      <c r="D15" s="2343"/>
      <c r="E15" s="1022"/>
      <c r="F15" s="1023"/>
    </row>
    <row r="16" spans="1:6" ht="24" customHeight="1">
      <c r="A16" s="1701"/>
      <c r="B16" s="1022"/>
      <c r="C16" s="2921"/>
      <c r="D16" s="2342"/>
      <c r="E16" s="1022"/>
      <c r="F16" s="1030"/>
    </row>
    <row r="17" spans="1:7" ht="24" customHeight="1">
      <c r="A17" s="1701"/>
      <c r="B17" s="1022"/>
      <c r="C17" s="2339"/>
      <c r="D17" s="2342"/>
      <c r="E17" s="1022"/>
      <c r="F17" s="1030"/>
    </row>
    <row r="18" spans="1:7" ht="24" customHeight="1">
      <c r="A18" s="1701" t="s">
        <v>3049</v>
      </c>
      <c r="B18" s="1022">
        <v>1120190079</v>
      </c>
      <c r="C18" s="2921">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1">
        <v>44339</v>
      </c>
      <c r="D22" s="2342" t="s">
        <v>841</v>
      </c>
      <c r="E22" s="1022">
        <f ca="1">IF(F22&lt;B2,"已过期",2000110137)</f>
        <v>2000110137</v>
      </c>
      <c r="F22" s="1030">
        <v>46387</v>
      </c>
    </row>
    <row r="23" spans="1:7" ht="24" customHeight="1">
      <c r="A23" s="1701" t="s">
        <v>3051</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33" t="s">
        <v>842</v>
      </c>
      <c r="B25" s="3033"/>
      <c r="C25" s="3033"/>
      <c r="D25" s="3033"/>
      <c r="E25" s="3033"/>
      <c r="F25" s="3033"/>
      <c r="G25" s="3033"/>
    </row>
    <row r="26" spans="1:7" s="1025" customFormat="1" ht="24" customHeight="1">
      <c r="A26" s="3034" t="s">
        <v>843</v>
      </c>
      <c r="B26" s="3034"/>
      <c r="C26" s="3035"/>
      <c r="D26" s="3036" t="s">
        <v>844</v>
      </c>
      <c r="E26" s="3034"/>
      <c r="F26" s="3034"/>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结果表 (车位)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 (车位)</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'收益法 (元) (车位)'!Print_Area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2020-07-13T06:27:30Z</dcterms:modified>
</cp:coreProperties>
</file>