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办公"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收益法-商业" sheetId="81" r:id="rId33"/>
    <sheet name="比较法-车位 (2)" sheetId="82" state="hidden" r:id="rId34"/>
    <sheet name="收益法-地下商业" sheetId="84" r:id="rId35"/>
    <sheet name="比较法-车位" sheetId="35" r:id="rId36"/>
    <sheet name="收益法-车库" sheetId="78" state="hidden" r:id="rId37"/>
    <sheet name="比较法-仓储" sheetId="36" state="hidden" r:id="rId38"/>
    <sheet name="土地比较法-工业" sheetId="40" state="hidden" r:id="rId39"/>
    <sheet name="基准地价修正" sheetId="43" state="hidden" r:id="rId40"/>
    <sheet name="基准地价修正 (2)" sheetId="8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83" r:id="rId52"/>
  </sheets>
  <externalReferences>
    <externalReference r:id="rId53"/>
  </externalReferences>
  <definedNames>
    <definedName name="_xlnm._FilterDatabase" localSheetId="28" hidden="1">'比较法-办公'!$A$1:$L$50</definedName>
    <definedName name="_xlnm._FilterDatabase" localSheetId="37" hidden="1">'比较法-仓储'!$A$1:$L$37</definedName>
    <definedName name="_xlnm._FilterDatabase" localSheetId="35" hidden="1">'比较法-车位'!$A$1:$L$39</definedName>
    <definedName name="_xlnm._FilterDatabase" localSheetId="33" hidden="1">'比较法-车位 (2)'!$A$1:$L$39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36">'收益法-车库'!$A$1:$AK$69</definedName>
    <definedName name="_xlnm.Print_Area" localSheetId="34">'收益法-地下商业'!$A$1:$AK$69</definedName>
    <definedName name="_xlnm.Print_Area" localSheetId="31">'收益法-联排'!$A$1:$AK$69</definedName>
    <definedName name="_xlnm.Print_Area" localSheetId="32">'收益法-商业'!$A$1:$AK$69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'比较法-车位 (2)'!$B$83:$M$83</definedName>
    <definedName name="车位公共部分装修">'比较法-车位'!$B$83:$M$83</definedName>
    <definedName name="车位交易情况" localSheetId="33">'比较法-车位 (2)'!$A$51:$M$51</definedName>
    <definedName name="车位交易情况">'比较法-车位'!$A$51:$M$51</definedName>
    <definedName name="车位类型" localSheetId="33">'比较法-车位 (2)'!$B$93:$M$93</definedName>
    <definedName name="车位类型">'比较法-车位'!$B$93:$M$93</definedName>
    <definedName name="车位楼层" localSheetId="33">'比较法-车位 (2)'!$B$71:$M$71</definedName>
    <definedName name="车位楼层">'比较法-车位'!$B$71:$M$71</definedName>
    <definedName name="车位配套类型" localSheetId="33">'比较法-车位 (2)'!$B$79:$M$79</definedName>
    <definedName name="车位配套类型">'比较法-车位'!$B$79:$M$79</definedName>
    <definedName name="车位物业等级" localSheetId="33">'比较法-车位 (2)'!$B$88:$M$88</definedName>
    <definedName name="车位物业等级">'比较法-车位'!$B$88:$M$88</definedName>
    <definedName name="车位用途" localSheetId="33">'比较法-车位 (2)'!$B$53:$M$53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 localSheetId="40">'基准地价修正 (2)'!$Q$19:$AD$19</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'比较法-车位 (2)'!$B$95:$M$95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 localSheetId="30">'比较法-联排'!$B$88:$M$88</definedName>
    <definedName name="住宅朝向">'比较法-住宅'!$B$88:$M$88</definedName>
    <definedName name="住宅房型" localSheetId="33">'[1]比较法-住宅'!$B$118:$M$118</definedName>
    <definedName name="住宅房型" localSheetId="30">'比较法-联排'!$B$118:$M$118</definedName>
    <definedName name="住宅房型">'比较法-住宅'!$B$118:$M$118</definedName>
    <definedName name="住宅公共部分装修" localSheetId="33">'[1]比较法-住宅'!$B$109:$M$109</definedName>
    <definedName name="住宅公共部分装修" localSheetId="30">'比较法-联排'!$B$109:$M$109</definedName>
    <definedName name="住宅公共部分装修">'比较法-住宅'!$B$109:$M$109</definedName>
    <definedName name="住宅基础设施水平" localSheetId="33">'[1]比较法-住宅'!$B$116:$M$116</definedName>
    <definedName name="住宅基础设施水平" localSheetId="30">'比较法-联排'!$B$116:$M$116</definedName>
    <definedName name="住宅基础设施水平">'比较法-住宅'!$B$116:$M$116</definedName>
    <definedName name="住宅建筑结构" localSheetId="33">'[1]比较法-住宅'!$B$105:$M$105</definedName>
    <definedName name="住宅建筑结构" localSheetId="30">'比较法-联排'!$B$105:$M$105</definedName>
    <definedName name="住宅建筑结构">'比较法-住宅'!$B$105:$M$105</definedName>
    <definedName name="住宅建筑类型" localSheetId="33">'[1]比较法-住宅'!$B$100:$M$100</definedName>
    <definedName name="住宅建筑类型" localSheetId="30">'比较法-联排'!$B$100:$M$100</definedName>
    <definedName name="住宅建筑类型">'比较法-住宅'!$B$100:$M$100</definedName>
    <definedName name="住宅建筑品质" localSheetId="33">'[1]比较法-住宅'!$B$107:$M$107</definedName>
    <definedName name="住宅建筑品质" localSheetId="30">'比较法-联排'!$B$107:$M$107</definedName>
    <definedName name="住宅建筑品质">'比较法-住宅'!$B$107:$M$107</definedName>
    <definedName name="住宅交易情况" localSheetId="33">'[1]比较法-住宅'!$A$61:$M$61</definedName>
    <definedName name="住宅交易情况" localSheetId="30">'比较法-联排'!$A$61:$M$61</definedName>
    <definedName name="住宅交易情况">'比较法-住宅'!$A$61:$M$61</definedName>
    <definedName name="住宅楼层" localSheetId="33">'[1]比较法-住宅'!$B$86:$M$86</definedName>
    <definedName name="住宅楼层" localSheetId="30">'比较法-联排'!$B$86:$M$86</definedName>
    <definedName name="住宅楼层">'比较法-住宅'!$B$86:$M$86</definedName>
    <definedName name="住宅内部装修" localSheetId="33">'[1]比较法-住宅'!$B$122:$M$122</definedName>
    <definedName name="住宅内部装修" localSheetId="30">'比较法-联排'!$B$122:$M$122</definedName>
    <definedName name="住宅内部装修">'比较法-住宅'!$B$122:$M$122</definedName>
    <definedName name="住宅物业管理" localSheetId="33">'[1]比较法-住宅'!$B$114:$M$114</definedName>
    <definedName name="住宅物业管理" localSheetId="30">'比较法-联排'!$B$114:$M$114</definedName>
    <definedName name="住宅物业管理">'比较法-住宅'!$B$114:$M$114</definedName>
    <definedName name="住宅用途" localSheetId="33">'[1]比较法-住宅'!$B$63:$M$63</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6" i="73" l="1"/>
  <c r="K1" i="73"/>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81"/>
  <c r="F8" i="81"/>
  <c r="F7" i="81"/>
  <c r="F9" i="81"/>
  <c r="C6" i="81"/>
  <c r="F11" i="81"/>
  <c r="C10" i="81"/>
  <c r="C5" i="81"/>
  <c r="C32" i="81"/>
  <c r="C14" i="81"/>
  <c r="C15" i="81"/>
  <c r="F16" i="81"/>
  <c r="C16" i="81"/>
  <c r="F43" i="81"/>
  <c r="C17" i="81"/>
  <c r="C18" i="81"/>
  <c r="C19" i="81"/>
  <c r="C20" i="81"/>
  <c r="F24" i="81"/>
  <c r="C23" i="81"/>
  <c r="F26" i="81"/>
  <c r="C26" i="81"/>
  <c r="C24" i="81"/>
  <c r="C27" i="81"/>
  <c r="C29" i="81"/>
  <c r="C33" i="81"/>
  <c r="R7" i="1"/>
  <c r="F35" i="81"/>
  <c r="C34" i="81"/>
  <c r="C31"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60" i="81"/>
  <c r="L46" i="81"/>
  <c r="B2" i="81"/>
  <c r="D8" i="12"/>
  <c r="F6" i="84"/>
  <c r="F8" i="84"/>
  <c r="F7" i="84"/>
  <c r="F9" i="84"/>
  <c r="C6" i="84"/>
  <c r="F11" i="84"/>
  <c r="C10" i="84"/>
  <c r="C5" i="84"/>
  <c r="C32" i="84"/>
  <c r="C14" i="84"/>
  <c r="C15" i="84"/>
  <c r="F16" i="84"/>
  <c r="C16" i="84"/>
  <c r="F43" i="84"/>
  <c r="C17" i="84"/>
  <c r="C18" i="84"/>
  <c r="C19" i="84"/>
  <c r="C20" i="84"/>
  <c r="F24" i="84"/>
  <c r="C23" i="84"/>
  <c r="F26" i="84"/>
  <c r="C26" i="84"/>
  <c r="C24" i="84"/>
  <c r="C27" i="84"/>
  <c r="C29" i="84"/>
  <c r="C33" i="84"/>
  <c r="R9" i="1"/>
  <c r="F35" i="84"/>
  <c r="C34" i="84"/>
  <c r="C31" i="84"/>
  <c r="F36" i="84"/>
  <c r="C36" i="84"/>
  <c r="F13" i="84"/>
  <c r="C13" i="84"/>
  <c r="F37" i="84"/>
  <c r="C37" i="84"/>
  <c r="F38" i="84"/>
  <c r="C38" i="84"/>
  <c r="C30" i="84"/>
  <c r="C39" i="84"/>
  <c r="F42" i="84"/>
  <c r="F40" i="84"/>
  <c r="L48" i="84"/>
  <c r="J53" i="84"/>
  <c r="F1" i="84"/>
  <c r="AE9" i="1"/>
  <c r="F41" i="84"/>
  <c r="C40" i="84"/>
  <c r="M6" i="84"/>
  <c r="M8" i="84"/>
  <c r="M7" i="84"/>
  <c r="M9" i="84"/>
  <c r="J6" i="84"/>
  <c r="M11" i="84"/>
  <c r="J10" i="84"/>
  <c r="J5" i="84"/>
  <c r="J26" i="84"/>
  <c r="J29" i="84"/>
  <c r="J60" i="84"/>
  <c r="L46" i="84"/>
  <c r="B2" i="84"/>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E189" i="83"/>
  <c r="E188" i="83"/>
  <c r="E187" i="83"/>
  <c r="E57" i="39"/>
  <c r="D33" i="43"/>
  <c r="W9" i="1"/>
  <c r="L9" i="1"/>
  <c r="F8" i="12"/>
  <c r="F6" i="12"/>
  <c r="M9" i="1"/>
  <c r="B3" i="84"/>
  <c r="E6" i="12"/>
  <c r="G1" i="84"/>
  <c r="M47" i="84"/>
  <c r="AM9" i="1"/>
  <c r="AL9" i="1"/>
  <c r="AK9" i="1"/>
  <c r="N9" i="1"/>
  <c r="J9" i="1"/>
  <c r="D187" i="83"/>
  <c r="D186" i="83"/>
  <c r="H185" i="83"/>
  <c r="H184" i="83"/>
  <c r="H183" i="83"/>
  <c r="H182" i="83"/>
  <c r="G22" i="6"/>
  <c r="E20" i="6"/>
  <c r="K7" i="1"/>
  <c r="M7" i="1"/>
  <c r="E22" i="6"/>
  <c r="E27" i="6"/>
  <c r="K20" i="6"/>
  <c r="S7" i="1"/>
  <c r="T7" i="1"/>
  <c r="F15" i="84"/>
  <c r="F17" i="84"/>
  <c r="F18" i="84"/>
  <c r="F20" i="84"/>
  <c r="F23" i="84"/>
  <c r="F21" i="84"/>
  <c r="F28" i="84"/>
  <c r="C28" i="84"/>
  <c r="D188" i="83"/>
  <c r="U7" i="1"/>
  <c r="F32" i="84"/>
  <c r="F33" i="84"/>
  <c r="F34" i="84"/>
  <c r="L20" i="6"/>
  <c r="M20" i="6"/>
  <c r="I20" i="6"/>
  <c r="H20" i="6"/>
  <c r="D20" i="6"/>
  <c r="R20" i="6"/>
  <c r="G1" i="81"/>
  <c r="C83" i="84"/>
  <c r="C82" i="84"/>
  <c r="C76" i="84"/>
  <c r="C75" i="84"/>
  <c r="C80" i="84"/>
  <c r="C79" i="84"/>
  <c r="Q65" i="84"/>
  <c r="J50" i="84"/>
  <c r="J51" i="84"/>
  <c r="L60" i="84"/>
  <c r="Q66" i="84"/>
  <c r="Q75" i="84"/>
  <c r="L47" i="84"/>
  <c r="M59" i="84"/>
  <c r="L59" i="84"/>
  <c r="Q74" i="84"/>
  <c r="K59" i="84"/>
  <c r="P74" i="84"/>
  <c r="L58"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L51" i="84"/>
  <c r="Q67" i="84"/>
  <c r="Q56" i="84"/>
  <c r="Q57" i="84"/>
  <c r="Q62" i="84"/>
  <c r="Q61" i="84"/>
  <c r="P61" i="84"/>
  <c r="Q60" i="84"/>
  <c r="Q59" i="84"/>
  <c r="N59" i="84"/>
  <c r="J59" i="84"/>
  <c r="F59" i="84"/>
  <c r="Q58" i="84"/>
  <c r="J57" i="84"/>
  <c r="J55" i="84"/>
  <c r="J58" i="84"/>
  <c r="L57" i="84"/>
  <c r="L56" i="84"/>
  <c r="I54" i="84"/>
  <c r="Q47" i="84"/>
  <c r="Q48" i="84"/>
  <c r="Q53" i="84"/>
  <c r="Q52" i="84"/>
  <c r="Q51" i="84"/>
  <c r="Q50" i="84"/>
  <c r="Q49" i="84"/>
  <c r="D46" i="84"/>
  <c r="C46" i="84"/>
  <c r="C43" i="84"/>
  <c r="F31" i="84"/>
  <c r="M29" i="84"/>
  <c r="M28" i="84"/>
  <c r="M27" i="84"/>
  <c r="M26" i="84"/>
  <c r="M18" i="84"/>
  <c r="J18" i="84"/>
  <c r="M19" i="84"/>
  <c r="J19" i="84"/>
  <c r="M20" i="84"/>
  <c r="M21" i="84"/>
  <c r="J20" i="84"/>
  <c r="J17" i="84"/>
  <c r="J14" i="84"/>
  <c r="M22" i="84"/>
  <c r="J22" i="84"/>
  <c r="J15" i="84"/>
  <c r="J13" i="84"/>
  <c r="M23" i="84"/>
  <c r="J23" i="84"/>
  <c r="M24" i="84"/>
  <c r="J24" i="84"/>
  <c r="J16" i="84"/>
  <c r="J25" i="84"/>
  <c r="D24" i="84"/>
  <c r="D23" i="84"/>
  <c r="D22" i="84"/>
  <c r="M17" i="84"/>
  <c r="D183" i="83"/>
  <c r="D182" i="83"/>
  <c r="E184" i="83"/>
  <c r="F184" i="83"/>
  <c r="G184" i="83"/>
  <c r="D184" i="83"/>
  <c r="G185" i="83"/>
  <c r="F185" i="83"/>
  <c r="E185" i="83"/>
  <c r="D185" i="83"/>
  <c r="G183" i="83"/>
  <c r="G182" i="83"/>
  <c r="F183" i="83"/>
  <c r="F182" i="83"/>
  <c r="E183" i="83"/>
  <c r="E182" i="83"/>
  <c r="N14" i="1"/>
  <c r="A9" i="1"/>
  <c r="F3" i="35"/>
  <c r="B2" i="35"/>
  <c r="O5" i="3"/>
  <c r="G21" i="6"/>
  <c r="E21" i="6"/>
  <c r="D3" i="35"/>
  <c r="B3" i="35"/>
  <c r="L49" i="35"/>
  <c r="K49" i="35"/>
  <c r="I49" i="35"/>
  <c r="H49" i="35"/>
  <c r="F49" i="35"/>
  <c r="E49" i="35"/>
  <c r="D49" i="35"/>
  <c r="E29" i="35"/>
  <c r="I5" i="3"/>
  <c r="F19" i="6"/>
  <c r="E19" i="6"/>
  <c r="K6" i="1"/>
  <c r="K5" i="3"/>
  <c r="F20" i="6"/>
  <c r="M5" i="3"/>
  <c r="K8" i="1"/>
  <c r="K9" i="1"/>
  <c r="K10" i="1"/>
  <c r="K11" i="1"/>
  <c r="K12" i="1"/>
  <c r="K13" i="1"/>
  <c r="BR18" i="3"/>
  <c r="BR19" i="3"/>
  <c r="BR5" i="3"/>
  <c r="BT19" i="3"/>
  <c r="BT5" i="3"/>
  <c r="G28" i="6"/>
  <c r="BQ19" i="3"/>
  <c r="BQ5" i="3"/>
  <c r="BS19" i="3"/>
  <c r="BS5" i="3"/>
  <c r="F28" i="6"/>
  <c r="E28" i="6"/>
  <c r="K14" i="1"/>
  <c r="BM19" i="3"/>
  <c r="BM5" i="3"/>
  <c r="BO19" i="3"/>
  <c r="BO5" i="3"/>
  <c r="F29" i="6"/>
  <c r="BN19" i="3"/>
  <c r="BN5" i="3"/>
  <c r="BP19" i="3"/>
  <c r="BP5" i="3"/>
  <c r="G29" i="6"/>
  <c r="E29" i="6"/>
  <c r="K15" i="1"/>
  <c r="K16" i="1"/>
  <c r="B29" i="1"/>
  <c r="E71" i="39"/>
  <c r="F71" i="39"/>
  <c r="G71" i="39"/>
  <c r="H71" i="39"/>
  <c r="I71" i="39"/>
  <c r="J71" i="39"/>
  <c r="K71" i="39"/>
  <c r="L71" i="39"/>
  <c r="M71" i="39"/>
  <c r="N71" i="39"/>
  <c r="O71" i="39"/>
  <c r="D71" i="39"/>
  <c r="F3" i="82"/>
  <c r="C7" i="82"/>
  <c r="C48" i="82"/>
  <c r="D48" i="82"/>
  <c r="E48" i="82"/>
  <c r="F48" i="82"/>
  <c r="G48" i="82"/>
  <c r="H48" i="82"/>
  <c r="I48" i="82"/>
  <c r="J48" i="82"/>
  <c r="K48" i="82"/>
  <c r="L48" i="82"/>
  <c r="M48" i="82"/>
  <c r="N48" i="82"/>
  <c r="O48" i="82"/>
  <c r="F7" i="82"/>
  <c r="AA7" i="82"/>
  <c r="F31" i="82"/>
  <c r="AA31" i="82"/>
  <c r="R38" i="82"/>
  <c r="H7" i="82"/>
  <c r="AB7" i="82"/>
  <c r="H31" i="82"/>
  <c r="AB31" i="82"/>
  <c r="T38" i="82"/>
  <c r="J7" i="82"/>
  <c r="AC7" i="82"/>
  <c r="J31" i="82"/>
  <c r="AC31" i="82"/>
  <c r="V38" i="82"/>
  <c r="R39" i="82"/>
  <c r="C39" i="82"/>
  <c r="B2" i="82"/>
  <c r="D3" i="82"/>
  <c r="B3" i="82"/>
  <c r="B101" i="82"/>
  <c r="B99" i="82"/>
  <c r="B97" i="82"/>
  <c r="D96" i="82"/>
  <c r="E96" i="82"/>
  <c r="F96" i="82"/>
  <c r="G96" i="82"/>
  <c r="D94" i="82"/>
  <c r="E94" i="82"/>
  <c r="F94" i="82"/>
  <c r="G94" i="82"/>
  <c r="H94" i="82"/>
  <c r="I94" i="82"/>
  <c r="J94" i="82"/>
  <c r="K94" i="82"/>
  <c r="L94" i="82"/>
  <c r="M94" i="82"/>
  <c r="M90" i="82"/>
  <c r="L90" i="82"/>
  <c r="K90" i="82"/>
  <c r="J90" i="82"/>
  <c r="I90" i="82"/>
  <c r="H90" i="82"/>
  <c r="G90" i="82"/>
  <c r="F90" i="82"/>
  <c r="E90" i="82"/>
  <c r="D90" i="82"/>
  <c r="C90" i="82"/>
  <c r="D89" i="82"/>
  <c r="E89" i="82"/>
  <c r="F89" i="82"/>
  <c r="G89" i="82"/>
  <c r="H89" i="82"/>
  <c r="I89" i="82"/>
  <c r="J89" i="82"/>
  <c r="K89" i="82"/>
  <c r="L89" i="82"/>
  <c r="M89" i="82"/>
  <c r="D87" i="82"/>
  <c r="E87" i="82"/>
  <c r="F87" i="82"/>
  <c r="G87" i="82"/>
  <c r="H87" i="82"/>
  <c r="I87" i="82"/>
  <c r="J87" i="82"/>
  <c r="K87" i="82"/>
  <c r="L87" i="82"/>
  <c r="M87" i="82"/>
  <c r="G85" i="82"/>
  <c r="F85" i="82"/>
  <c r="E85" i="82"/>
  <c r="D85" i="82"/>
  <c r="C85" i="82"/>
  <c r="D84" i="82"/>
  <c r="E84" i="82"/>
  <c r="F84" i="82"/>
  <c r="G84" i="82"/>
  <c r="H84" i="82"/>
  <c r="I84" i="82"/>
  <c r="J84" i="82"/>
  <c r="K84" i="82"/>
  <c r="L84" i="82"/>
  <c r="M84" i="82"/>
  <c r="D80" i="82"/>
  <c r="E80" i="82"/>
  <c r="F80" i="82"/>
  <c r="G80" i="82"/>
  <c r="H80" i="82"/>
  <c r="I80" i="82"/>
  <c r="J80" i="82"/>
  <c r="K80" i="82"/>
  <c r="L80" i="82"/>
  <c r="M80" i="82"/>
  <c r="C26" i="82"/>
  <c r="C79" i="82"/>
  <c r="B77" i="82"/>
  <c r="B75" i="82"/>
  <c r="B73" i="82"/>
  <c r="D72" i="82"/>
  <c r="E72" i="82"/>
  <c r="F72" i="82"/>
  <c r="G72" i="82"/>
  <c r="D70" i="82"/>
  <c r="E70" i="82"/>
  <c r="F70" i="82"/>
  <c r="G70" i="82"/>
  <c r="D68" i="82"/>
  <c r="E68" i="82"/>
  <c r="F68" i="82"/>
  <c r="G68" i="82"/>
  <c r="D66" i="82"/>
  <c r="E66" i="82"/>
  <c r="F66" i="82"/>
  <c r="G66" i="82"/>
  <c r="D64" i="82"/>
  <c r="E64" i="82"/>
  <c r="F64" i="82"/>
  <c r="G64" i="82"/>
  <c r="B61" i="82"/>
  <c r="B59" i="82"/>
  <c r="B57" i="82"/>
  <c r="F56" i="82"/>
  <c r="G56" i="82"/>
  <c r="H56" i="82"/>
  <c r="I56" i="82"/>
  <c r="C53" i="82"/>
  <c r="I37" i="82"/>
  <c r="I44" i="82"/>
  <c r="J44" i="82"/>
  <c r="G37" i="82"/>
  <c r="G44" i="82"/>
  <c r="H44" i="82"/>
  <c r="E44" i="82"/>
  <c r="F44" i="82"/>
  <c r="V37" i="82"/>
  <c r="J8" i="82"/>
  <c r="AC8" i="82"/>
  <c r="J9" i="82"/>
  <c r="AC9" i="82"/>
  <c r="J10" i="82"/>
  <c r="AC10" i="82"/>
  <c r="J11" i="82"/>
  <c r="AC11" i="82"/>
  <c r="J12" i="82"/>
  <c r="AC12" i="82"/>
  <c r="J13" i="82"/>
  <c r="AC13" i="82"/>
  <c r="J14" i="82"/>
  <c r="AC14" i="82"/>
  <c r="J16" i="82"/>
  <c r="AC16" i="82"/>
  <c r="J18" i="82"/>
  <c r="AC18" i="82"/>
  <c r="J20" i="82"/>
  <c r="AC20" i="82"/>
  <c r="J22" i="82"/>
  <c r="AC22" i="82"/>
  <c r="J23" i="82"/>
  <c r="AC23" i="82"/>
  <c r="J24" i="82"/>
  <c r="AC24" i="82"/>
  <c r="J25" i="82"/>
  <c r="AC25" i="82"/>
  <c r="J26" i="82"/>
  <c r="AC26" i="82"/>
  <c r="J27" i="82"/>
  <c r="AC27" i="82"/>
  <c r="J28" i="82"/>
  <c r="AC28" i="82"/>
  <c r="I29" i="82"/>
  <c r="J29" i="82"/>
  <c r="AC29" i="82"/>
  <c r="J30" i="82"/>
  <c r="AC30" i="82"/>
  <c r="J32" i="82"/>
  <c r="AC32" i="82"/>
  <c r="J33" i="82"/>
  <c r="AC33" i="82"/>
  <c r="J34" i="82"/>
  <c r="AC34" i="82"/>
  <c r="J35" i="82"/>
  <c r="AC35" i="82"/>
  <c r="J36" i="82"/>
  <c r="AC36" i="82"/>
  <c r="I38" i="82"/>
  <c r="R37" i="82"/>
  <c r="F8" i="82"/>
  <c r="AA8" i="82"/>
  <c r="F9" i="82"/>
  <c r="AA9" i="82"/>
  <c r="F10" i="82"/>
  <c r="AA10" i="82"/>
  <c r="F11" i="82"/>
  <c r="AA11" i="82"/>
  <c r="F12" i="82"/>
  <c r="AA12" i="82"/>
  <c r="F13" i="82"/>
  <c r="AA13" i="82"/>
  <c r="F14" i="82"/>
  <c r="AA14" i="82"/>
  <c r="F16" i="82"/>
  <c r="AA16" i="82"/>
  <c r="F18" i="82"/>
  <c r="AA18" i="82"/>
  <c r="F20" i="82"/>
  <c r="AA20" i="82"/>
  <c r="F22" i="82"/>
  <c r="AA22" i="82"/>
  <c r="F23" i="82"/>
  <c r="AA23" i="82"/>
  <c r="F24" i="82"/>
  <c r="AA24" i="82"/>
  <c r="F25" i="82"/>
  <c r="AA25" i="82"/>
  <c r="F26" i="82"/>
  <c r="AA26" i="82"/>
  <c r="F27" i="82"/>
  <c r="AA27" i="82"/>
  <c r="F28" i="82"/>
  <c r="AA28" i="82"/>
  <c r="E29" i="82"/>
  <c r="F29" i="82"/>
  <c r="AA29" i="82"/>
  <c r="F30" i="82"/>
  <c r="AA30" i="82"/>
  <c r="F32" i="82"/>
  <c r="AA32" i="82"/>
  <c r="F33" i="82"/>
  <c r="AA33" i="82"/>
  <c r="F34" i="82"/>
  <c r="AA34" i="82"/>
  <c r="F35" i="82"/>
  <c r="AA35" i="82"/>
  <c r="F36" i="82"/>
  <c r="AA36" i="82"/>
  <c r="E38" i="82"/>
  <c r="I43" i="82"/>
  <c r="J43" i="82"/>
  <c r="T37" i="82"/>
  <c r="H8" i="82"/>
  <c r="AB8" i="82"/>
  <c r="H9" i="82"/>
  <c r="AB9" i="82"/>
  <c r="H10" i="82"/>
  <c r="AB10" i="82"/>
  <c r="H11" i="82"/>
  <c r="AB11" i="82"/>
  <c r="H12" i="82"/>
  <c r="AB12" i="82"/>
  <c r="H13" i="82"/>
  <c r="AB13" i="82"/>
  <c r="H14" i="82"/>
  <c r="AB14" i="82"/>
  <c r="H16" i="82"/>
  <c r="AB16" i="82"/>
  <c r="H18" i="82"/>
  <c r="AB18" i="82"/>
  <c r="H20" i="82"/>
  <c r="AB20" i="82"/>
  <c r="H22" i="82"/>
  <c r="AB22" i="82"/>
  <c r="H23" i="82"/>
  <c r="AB23" i="82"/>
  <c r="H24" i="82"/>
  <c r="AB24" i="82"/>
  <c r="H25" i="82"/>
  <c r="AB25" i="82"/>
  <c r="H26" i="82"/>
  <c r="AB26" i="82"/>
  <c r="H27" i="82"/>
  <c r="AB27" i="82"/>
  <c r="H28" i="82"/>
  <c r="AB28" i="82"/>
  <c r="G29" i="82"/>
  <c r="H29" i="82"/>
  <c r="AB29" i="82"/>
  <c r="H30" i="82"/>
  <c r="AB30" i="82"/>
  <c r="H32" i="82"/>
  <c r="AB32" i="82"/>
  <c r="H33" i="82"/>
  <c r="AB33" i="82"/>
  <c r="H34" i="82"/>
  <c r="AB34" i="82"/>
  <c r="H35" i="82"/>
  <c r="AB35" i="82"/>
  <c r="H36" i="82"/>
  <c r="AB36" i="82"/>
  <c r="G38" i="82"/>
  <c r="G43" i="82"/>
  <c r="H43" i="82"/>
  <c r="E43" i="82"/>
  <c r="F43" i="82"/>
  <c r="I42" i="82"/>
  <c r="J42" i="82"/>
  <c r="G42" i="82"/>
  <c r="H42" i="82"/>
  <c r="E42" i="82"/>
  <c r="F42" i="82"/>
  <c r="P39" i="82"/>
  <c r="P38" i="82"/>
  <c r="C38" i="82"/>
  <c r="B38" i="82"/>
  <c r="P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4" i="82"/>
  <c r="Z24" i="82"/>
  <c r="W24" i="82"/>
  <c r="U24" i="82"/>
  <c r="S24" i="82"/>
  <c r="Q23" i="82"/>
  <c r="Z23" i="82"/>
  <c r="W23" i="82"/>
  <c r="U23" i="82"/>
  <c r="S23" i="82"/>
  <c r="Q22" i="82"/>
  <c r="Z22" i="82"/>
  <c r="W22" i="82"/>
  <c r="U22" i="82"/>
  <c r="S22" i="82"/>
  <c r="Q20" i="82"/>
  <c r="Z20" i="82"/>
  <c r="W20" i="82"/>
  <c r="U20" i="82"/>
  <c r="S20" i="82"/>
  <c r="C20" i="82"/>
  <c r="Q18" i="82"/>
  <c r="Z18" i="82"/>
  <c r="W18" i="82"/>
  <c r="U18" i="82"/>
  <c r="S18" i="82"/>
  <c r="C18" i="82"/>
  <c r="Q16" i="82"/>
  <c r="Z16" i="82"/>
  <c r="W16" i="82"/>
  <c r="U16" i="82"/>
  <c r="S16" i="82"/>
  <c r="C16" i="82"/>
  <c r="Q14" i="82"/>
  <c r="Z14" i="82"/>
  <c r="W14" i="82"/>
  <c r="U14" i="82"/>
  <c r="S14" i="82"/>
  <c r="C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2" i="82"/>
  <c r="BB13" i="3"/>
  <c r="BC13" i="3"/>
  <c r="BA13" i="3"/>
  <c r="BC14" i="3"/>
  <c r="BA14" i="3"/>
  <c r="BC15" i="3"/>
  <c r="BA15" i="3"/>
  <c r="BC16" i="3"/>
  <c r="BA16" i="3"/>
  <c r="BC17" i="3"/>
  <c r="BA17" i="3"/>
  <c r="BD18" i="3"/>
  <c r="BE18" i="3"/>
  <c r="BA18" i="3"/>
  <c r="BB19" i="3"/>
  <c r="BC19" i="3"/>
  <c r="BD19" i="3"/>
  <c r="BE19" i="3"/>
  <c r="BF19" i="3"/>
  <c r="BG19" i="3"/>
  <c r="BH19" i="3"/>
  <c r="BI19" i="3"/>
  <c r="BJ19" i="3"/>
  <c r="BK19" i="3"/>
  <c r="BA19" i="3"/>
  <c r="BA5" i="3"/>
  <c r="F20" i="81"/>
  <c r="F21" i="81"/>
  <c r="AZ13" i="3"/>
  <c r="AZ14" i="3"/>
  <c r="AZ15" i="3"/>
  <c r="AZ16" i="3"/>
  <c r="AZ17" i="3"/>
  <c r="BL18" i="3"/>
  <c r="AZ18" i="3"/>
  <c r="BL19" i="3"/>
  <c r="AZ19" i="3"/>
  <c r="AZ5" i="3"/>
  <c r="H13" i="3"/>
  <c r="G13" i="3"/>
  <c r="H14" i="3"/>
  <c r="G14" i="3"/>
  <c r="H15" i="3"/>
  <c r="G15" i="3"/>
  <c r="H16" i="3"/>
  <c r="G16" i="3"/>
  <c r="H17" i="3"/>
  <c r="G17" i="3"/>
  <c r="H18" i="3"/>
  <c r="AC18" i="3"/>
  <c r="G18" i="3"/>
  <c r="G5" i="3"/>
  <c r="B3" i="3"/>
  <c r="AY6" i="3"/>
  <c r="D3" i="6"/>
  <c r="E3" i="6"/>
  <c r="B24" i="1"/>
  <c r="B3" i="81"/>
  <c r="D6" i="12"/>
  <c r="G1" i="15"/>
  <c r="M6" i="1"/>
  <c r="K19" i="6"/>
  <c r="S6" i="1"/>
  <c r="T6" i="1"/>
  <c r="F20" i="15"/>
  <c r="F21" i="15"/>
  <c r="D19" i="6"/>
  <c r="L19" i="6"/>
  <c r="M19" i="6"/>
  <c r="I19" i="6"/>
  <c r="H19" i="6"/>
  <c r="R19" i="6"/>
  <c r="B3" i="15"/>
  <c r="C6" i="12"/>
  <c r="F15" i="81"/>
  <c r="F17" i="81"/>
  <c r="F18" i="81"/>
  <c r="F23" i="81"/>
  <c r="F28" i="81"/>
  <c r="C28" i="81"/>
  <c r="F32" i="81"/>
  <c r="F33" i="81"/>
  <c r="F34" i="81"/>
  <c r="L22" i="6"/>
  <c r="K22" i="6"/>
  <c r="M22" i="6"/>
  <c r="I22" i="6"/>
  <c r="H22" i="6"/>
  <c r="D22" i="6"/>
  <c r="R22" i="6"/>
  <c r="M47" i="81"/>
  <c r="J50" i="81"/>
  <c r="J51" i="81"/>
  <c r="C83" i="81"/>
  <c r="C82" i="81"/>
  <c r="C76" i="81"/>
  <c r="C75" i="81"/>
  <c r="C80" i="81"/>
  <c r="C79" i="81"/>
  <c r="Q65" i="81"/>
  <c r="L51" i="81"/>
  <c r="L57" i="81"/>
  <c r="L47" i="81"/>
  <c r="L58" i="81"/>
  <c r="M59" i="81"/>
  <c r="L59" i="81"/>
  <c r="L60" i="81"/>
  <c r="Q66" i="81"/>
  <c r="Q75" i="81"/>
  <c r="Q74" i="81"/>
  <c r="K59" i="81"/>
  <c r="P74"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Q67" i="81"/>
  <c r="Q56" i="81"/>
  <c r="Q57" i="81"/>
  <c r="Q62" i="81"/>
  <c r="Q61" i="81"/>
  <c r="P61" i="81"/>
  <c r="Q60" i="81"/>
  <c r="J57" i="81"/>
  <c r="J55" i="81"/>
  <c r="J58" i="81"/>
  <c r="J59" i="81"/>
  <c r="Q59" i="81"/>
  <c r="N59" i="81"/>
  <c r="F59" i="81"/>
  <c r="Q58"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D120" i="39"/>
  <c r="E120" i="39"/>
  <c r="F120" i="39"/>
  <c r="G120" i="39"/>
  <c r="F39" i="39"/>
  <c r="AA39" i="39"/>
  <c r="F40" i="39"/>
  <c r="AA40" i="39"/>
  <c r="F7" i="39"/>
  <c r="AA7" i="39"/>
  <c r="D91" i="39"/>
  <c r="F17" i="39"/>
  <c r="AA17" i="39"/>
  <c r="D93" i="39"/>
  <c r="F19" i="39"/>
  <c r="AA19" i="39"/>
  <c r="D95" i="39"/>
  <c r="F21" i="39"/>
  <c r="AA21" i="39"/>
  <c r="D9" i="1"/>
  <c r="F9" i="1"/>
  <c r="G9" i="1"/>
  <c r="G7" i="1"/>
  <c r="G16" i="1"/>
  <c r="F10" i="39"/>
  <c r="AA10" i="39"/>
  <c r="I4" i="6"/>
  <c r="C11" i="39"/>
  <c r="F11" i="39"/>
  <c r="AA11" i="39"/>
  <c r="C38" i="39"/>
  <c r="F38" i="39"/>
  <c r="AA38" i="39"/>
  <c r="R47" i="39"/>
  <c r="H39" i="39"/>
  <c r="AB39" i="39"/>
  <c r="H7" i="39"/>
  <c r="AB7" i="39"/>
  <c r="E91" i="39"/>
  <c r="F91" i="39"/>
  <c r="H17" i="39"/>
  <c r="AB17" i="39"/>
  <c r="E93" i="39"/>
  <c r="F93" i="39"/>
  <c r="H19" i="39"/>
  <c r="AB19" i="39"/>
  <c r="E95" i="39"/>
  <c r="H21" i="39"/>
  <c r="AB21" i="39"/>
  <c r="H10" i="39"/>
  <c r="AB10" i="39"/>
  <c r="H11" i="39"/>
  <c r="AB11" i="39"/>
  <c r="H38" i="39"/>
  <c r="AB38" i="39"/>
  <c r="T47" i="39"/>
  <c r="J39" i="39"/>
  <c r="AC39" i="39"/>
  <c r="J7" i="39"/>
  <c r="AC7" i="39"/>
  <c r="J17" i="39"/>
  <c r="AC17" i="39"/>
  <c r="J19" i="39"/>
  <c r="AC19" i="39"/>
  <c r="J21" i="39"/>
  <c r="AC21" i="39"/>
  <c r="J10" i="39"/>
  <c r="AC10" i="39"/>
  <c r="J11" i="39"/>
  <c r="AC11" i="39"/>
  <c r="J38" i="39"/>
  <c r="AC38" i="39"/>
  <c r="V47" i="39"/>
  <c r="R48" i="39"/>
  <c r="C48" i="39"/>
  <c r="B56" i="39"/>
  <c r="BB5" i="3"/>
  <c r="BC5" i="3"/>
  <c r="E8" i="6"/>
  <c r="E56" i="39"/>
  <c r="F56" i="39"/>
  <c r="B57" i="39"/>
  <c r="F57" i="39"/>
  <c r="B58" i="39"/>
  <c r="F58" i="39"/>
  <c r="B59" i="39"/>
  <c r="F59" i="39"/>
  <c r="B60" i="39"/>
  <c r="F60" i="39"/>
  <c r="B61" i="39"/>
  <c r="BD5" i="3"/>
  <c r="BE5" i="3"/>
  <c r="BF5" i="3"/>
  <c r="BG5" i="3"/>
  <c r="BH5" i="3"/>
  <c r="BI5" i="3"/>
  <c r="BJ5" i="3"/>
  <c r="BK5" i="3"/>
  <c r="E11" i="6"/>
  <c r="E61" i="39"/>
  <c r="F61" i="39"/>
  <c r="B62" i="39"/>
  <c r="E12" i="6"/>
  <c r="E62" i="39"/>
  <c r="F62" i="39"/>
  <c r="B63" i="39"/>
  <c r="E13" i="6"/>
  <c r="E63" i="39"/>
  <c r="F63" i="39"/>
  <c r="B64" i="39"/>
  <c r="E14" i="6"/>
  <c r="E64" i="39"/>
  <c r="F64" i="39"/>
  <c r="B65" i="39"/>
  <c r="E15" i="6"/>
  <c r="E65" i="39"/>
  <c r="F65" i="39"/>
  <c r="F66" i="39"/>
  <c r="B2" i="39"/>
  <c r="C6" i="68"/>
  <c r="E118" i="39"/>
  <c r="F118" i="39"/>
  <c r="D118" i="39"/>
  <c r="E80" i="39"/>
  <c r="F80" i="39"/>
  <c r="G80" i="39"/>
  <c r="H80" i="39"/>
  <c r="I80" i="39"/>
  <c r="J80" i="39"/>
  <c r="K80" i="39"/>
  <c r="L80" i="39"/>
  <c r="M80" i="39"/>
  <c r="D80" i="39"/>
  <c r="D123" i="39"/>
  <c r="E123" i="39"/>
  <c r="F123" i="39"/>
  <c r="G123" i="39"/>
  <c r="C123" i="39"/>
  <c r="D33" i="80"/>
  <c r="D29" i="80"/>
  <c r="G3" i="80"/>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G2"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B88" i="80"/>
  <c r="M87" i="80"/>
  <c r="N87" i="80"/>
  <c r="K87" i="80"/>
  <c r="J87" i="80"/>
  <c r="H87" i="80"/>
  <c r="D87" i="80"/>
  <c r="M86" i="80"/>
  <c r="N86" i="80"/>
  <c r="K86" i="80"/>
  <c r="J86" i="80"/>
  <c r="H86" i="80"/>
  <c r="D86" i="80"/>
  <c r="B86" i="80"/>
  <c r="M85" i="80"/>
  <c r="N85" i="80"/>
  <c r="K85" i="80"/>
  <c r="J85" i="80"/>
  <c r="H85" i="80"/>
  <c r="D85" i="80"/>
  <c r="B85" i="80"/>
  <c r="M84" i="80"/>
  <c r="N84" i="80"/>
  <c r="K84" i="80"/>
  <c r="J84" i="80"/>
  <c r="H84" i="80"/>
  <c r="D84" i="80"/>
  <c r="B84" i="80"/>
  <c r="M83" i="80"/>
  <c r="N83" i="80"/>
  <c r="K83" i="80"/>
  <c r="J83" i="80"/>
  <c r="H83" i="80"/>
  <c r="D83" i="80"/>
  <c r="B83" i="80"/>
  <c r="M82" i="80"/>
  <c r="N82" i="80"/>
  <c r="K82" i="80"/>
  <c r="J82" i="80"/>
  <c r="H82" i="80"/>
  <c r="D82" i="80"/>
  <c r="B82" i="80"/>
  <c r="M81" i="80"/>
  <c r="N81" i="80"/>
  <c r="K81" i="80"/>
  <c r="J81" i="80"/>
  <c r="H81" i="80"/>
  <c r="D81" i="80"/>
  <c r="E81" i="8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I2" i="80"/>
  <c r="N2"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C10" i="80"/>
  <c r="C11" i="80"/>
  <c r="E8" i="80"/>
  <c r="G39" i="80"/>
  <c r="H39" i="80"/>
  <c r="I39" i="80"/>
  <c r="F39" i="80"/>
  <c r="M2" i="80"/>
  <c r="C6" i="80"/>
  <c r="G17" i="80"/>
  <c r="H17" i="80"/>
  <c r="I17" i="80"/>
  <c r="J17" i="80"/>
  <c r="C17" i="80"/>
  <c r="C16" i="80"/>
  <c r="C5" i="80"/>
  <c r="I19" i="80"/>
  <c r="G19" i="80"/>
  <c r="O19" i="80"/>
  <c r="C19" i="80"/>
  <c r="D4" i="73"/>
  <c r="E20" i="80"/>
  <c r="N17" i="80"/>
  <c r="M17" i="80"/>
  <c r="G20" i="80"/>
  <c r="J20" i="80"/>
  <c r="I20" i="80"/>
  <c r="C20" i="80"/>
  <c r="C24" i="80"/>
  <c r="C39" i="80"/>
  <c r="E39" i="80"/>
  <c r="F38" i="80"/>
  <c r="C38" i="80"/>
  <c r="G38" i="80"/>
  <c r="H38" i="80"/>
  <c r="I38" i="80"/>
  <c r="E38" i="80"/>
  <c r="F37" i="80"/>
  <c r="C37" i="80"/>
  <c r="G37" i="80"/>
  <c r="H37" i="80"/>
  <c r="I37" i="80"/>
  <c r="E37" i="80"/>
  <c r="D5" i="80"/>
  <c r="F36" i="80"/>
  <c r="C36" i="80"/>
  <c r="G36" i="80"/>
  <c r="H36" i="80"/>
  <c r="I36" i="80"/>
  <c r="E36" i="80"/>
  <c r="F35" i="80"/>
  <c r="C35" i="80"/>
  <c r="G35" i="80"/>
  <c r="H35" i="80"/>
  <c r="I35" i="80"/>
  <c r="E35" i="80"/>
  <c r="F34" i="80"/>
  <c r="C34" i="80"/>
  <c r="G34" i="80"/>
  <c r="H34" i="80"/>
  <c r="I34" i="80"/>
  <c r="E34" i="80"/>
  <c r="F33" i="80"/>
  <c r="C33" i="80"/>
  <c r="G33" i="80"/>
  <c r="H33" i="80"/>
  <c r="I33" i="80"/>
  <c r="E33" i="80"/>
  <c r="C18" i="80"/>
  <c r="E22" i="80"/>
  <c r="G22" i="80"/>
  <c r="F22" i="80"/>
  <c r="H22" i="80"/>
  <c r="D22" i="80"/>
  <c r="C23" i="80"/>
  <c r="C21" i="80"/>
  <c r="C29" i="80"/>
  <c r="C30" i="80"/>
  <c r="E30" i="80"/>
  <c r="E29" i="80"/>
  <c r="C27" i="80"/>
  <c r="C26" i="80"/>
  <c r="P25" i="80"/>
  <c r="P24" i="80"/>
  <c r="P23" i="80"/>
  <c r="P22" i="80"/>
  <c r="J22" i="80"/>
  <c r="P21" i="80"/>
  <c r="M20" i="80"/>
  <c r="M19" i="80"/>
  <c r="P17" i="80"/>
  <c r="O17" i="80"/>
  <c r="E17" i="80"/>
  <c r="T16" i="80"/>
  <c r="V16" i="80"/>
  <c r="T15" i="80"/>
  <c r="V15" i="80"/>
  <c r="F15" i="80"/>
  <c r="E15" i="80"/>
  <c r="D15" i="80"/>
  <c r="C15" i="80"/>
  <c r="T14" i="80"/>
  <c r="V14"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T13" i="80"/>
  <c r="V13" i="80"/>
  <c r="T12" i="80"/>
  <c r="V12" i="80"/>
  <c r="N12" i="80"/>
  <c r="M12" i="80"/>
  <c r="C12" i="80"/>
  <c r="T11" i="80"/>
  <c r="V11" i="80"/>
  <c r="N11" i="80"/>
  <c r="M11" i="80"/>
  <c r="E11" i="80"/>
  <c r="AJ10" i="80"/>
  <c r="AI10" i="80"/>
  <c r="AH10" i="80"/>
  <c r="AG10" i="80"/>
  <c r="AF10" i="80"/>
  <c r="AE10" i="80"/>
  <c r="AD10" i="80"/>
  <c r="AC10" i="80"/>
  <c r="AB10" i="80"/>
  <c r="AA10" i="80"/>
  <c r="Z10" i="80"/>
  <c r="Y10" i="80"/>
  <c r="T10" i="80"/>
  <c r="V10" i="80"/>
  <c r="N10" i="80"/>
  <c r="M10" i="80"/>
  <c r="E10" i="80"/>
  <c r="T9" i="80"/>
  <c r="V9" i="80"/>
  <c r="N9" i="80"/>
  <c r="M9" i="80"/>
  <c r="E9" i="80"/>
  <c r="C9" i="80"/>
  <c r="T8" i="80"/>
  <c r="V8" i="80"/>
  <c r="N8" i="80"/>
  <c r="M8" i="80"/>
  <c r="Z7" i="80"/>
  <c r="X7" i="80"/>
  <c r="S7" i="80"/>
  <c r="T7" i="80"/>
  <c r="V7" i="80"/>
  <c r="N7" i="80"/>
  <c r="M7" i="80"/>
  <c r="C7" i="80"/>
  <c r="A7" i="80"/>
  <c r="S6" i="80"/>
  <c r="T6" i="80"/>
  <c r="V6" i="80"/>
  <c r="N6" i="80"/>
  <c r="M6" i="80"/>
  <c r="S5" i="80"/>
  <c r="T5" i="80"/>
  <c r="V5" i="80"/>
  <c r="N5" i="80"/>
  <c r="M5" i="80"/>
  <c r="S4" i="80"/>
  <c r="T4" i="80"/>
  <c r="V4" i="80"/>
  <c r="N4" i="80"/>
  <c r="M4" i="80"/>
  <c r="S3" i="80"/>
  <c r="T3" i="80"/>
  <c r="V3" i="80"/>
  <c r="N3" i="80"/>
  <c r="M3" i="80"/>
  <c r="B2" i="80"/>
  <c r="D1" i="80"/>
  <c r="B3" i="80"/>
  <c r="S2" i="80"/>
  <c r="T2" i="80"/>
  <c r="V2" i="80"/>
  <c r="N1" i="80"/>
  <c r="M1" i="80"/>
  <c r="D39" i="43"/>
  <c r="D29" i="43"/>
  <c r="N8" i="1"/>
  <c r="N7" i="1"/>
  <c r="G13" i="4"/>
  <c r="B7" i="4"/>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5" i="3"/>
  <c r="BD15" i="3"/>
  <c r="BE15" i="3"/>
  <c r="BF15" i="3"/>
  <c r="BG15" i="3"/>
  <c r="BH15" i="3"/>
  <c r="BI15" i="3"/>
  <c r="BJ15" i="3"/>
  <c r="BK15" i="3"/>
  <c r="BM15" i="3"/>
  <c r="BN15" i="3"/>
  <c r="BO15" i="3"/>
  <c r="BP15" i="3"/>
  <c r="BQ15" i="3"/>
  <c r="BR15" i="3"/>
  <c r="BS15" i="3"/>
  <c r="BT15" i="3"/>
  <c r="BL15" i="3"/>
  <c r="BB16" i="3"/>
  <c r="BD16" i="3"/>
  <c r="BE16" i="3"/>
  <c r="BF16" i="3"/>
  <c r="BG16" i="3"/>
  <c r="BH16" i="3"/>
  <c r="BI16" i="3"/>
  <c r="BJ16" i="3"/>
  <c r="BK16" i="3"/>
  <c r="BM16" i="3"/>
  <c r="BN16" i="3"/>
  <c r="BO16" i="3"/>
  <c r="BP16" i="3"/>
  <c r="BQ16" i="3"/>
  <c r="BR16" i="3"/>
  <c r="BS16" i="3"/>
  <c r="BT16" i="3"/>
  <c r="BL16" i="3"/>
  <c r="BB17" i="3"/>
  <c r="BD17" i="3"/>
  <c r="BE17" i="3"/>
  <c r="BF17" i="3"/>
  <c r="BG17" i="3"/>
  <c r="BH17" i="3"/>
  <c r="BI17" i="3"/>
  <c r="BJ17" i="3"/>
  <c r="BK17" i="3"/>
  <c r="BM17" i="3"/>
  <c r="BN17" i="3"/>
  <c r="BO17" i="3"/>
  <c r="BP17" i="3"/>
  <c r="BQ17" i="3"/>
  <c r="BR17" i="3"/>
  <c r="BS17" i="3"/>
  <c r="BT17" i="3"/>
  <c r="BL17" i="3"/>
  <c r="BB18" i="3"/>
  <c r="BC18" i="3"/>
  <c r="BF18" i="3"/>
  <c r="BG18" i="3"/>
  <c r="BH18" i="3"/>
  <c r="BI18" i="3"/>
  <c r="BJ18" i="3"/>
  <c r="BK18" i="3"/>
  <c r="BM18" i="3"/>
  <c r="BN18" i="3"/>
  <c r="BO18" i="3"/>
  <c r="BP18" i="3"/>
  <c r="BQ18" i="3"/>
  <c r="BS18" i="3"/>
  <c r="BT18"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6" i="1"/>
  <c r="A7" i="1"/>
  <c r="A8" i="1"/>
  <c r="G1" i="78"/>
  <c r="S9" i="1"/>
  <c r="T9" i="1"/>
  <c r="F27" i="6"/>
  <c r="M10" i="1"/>
  <c r="S10" i="1"/>
  <c r="T10" i="1"/>
  <c r="C14" i="78"/>
  <c r="F15" i="78"/>
  <c r="C15" i="78"/>
  <c r="F16" i="78"/>
  <c r="C16" i="78"/>
  <c r="F17" i="78"/>
  <c r="F43" i="78"/>
  <c r="C17" i="78"/>
  <c r="F18" i="78"/>
  <c r="C18" i="78"/>
  <c r="C19" i="78"/>
  <c r="F20" i="78"/>
  <c r="C20" i="78"/>
  <c r="C1" i="73"/>
  <c r="J1" i="73"/>
  <c r="B22" i="1"/>
  <c r="E1" i="73"/>
  <c r="D3"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R10" i="1"/>
  <c r="F35" i="78"/>
  <c r="C34" i="78"/>
  <c r="C31" i="78"/>
  <c r="F36" i="78"/>
  <c r="C36" i="78"/>
  <c r="F37" i="78"/>
  <c r="C37" i="78"/>
  <c r="F38" i="78"/>
  <c r="C38" i="78"/>
  <c r="C30" i="78"/>
  <c r="C39" i="78"/>
  <c r="F42" i="78"/>
  <c r="F40" i="78"/>
  <c r="M47" i="15"/>
  <c r="J50" i="15"/>
  <c r="J51" i="15"/>
  <c r="AE10" i="1"/>
  <c r="F41" i="78"/>
  <c r="C40" i="78"/>
  <c r="C83" i="78"/>
  <c r="C82" i="78"/>
  <c r="C76" i="78"/>
  <c r="C75" i="78"/>
  <c r="C80" i="78"/>
  <c r="C79" i="78"/>
  <c r="M6" i="78"/>
  <c r="M8" i="78"/>
  <c r="M7" i="78"/>
  <c r="M9" i="78"/>
  <c r="J6" i="78"/>
  <c r="M11" i="78"/>
  <c r="J10" i="78"/>
  <c r="J5" i="78"/>
  <c r="J26" i="78"/>
  <c r="J29" i="78"/>
  <c r="Q65" i="78"/>
  <c r="M47" i="78"/>
  <c r="F6" i="1"/>
  <c r="L48" i="78"/>
  <c r="J50" i="78"/>
  <c r="J51" i="78"/>
  <c r="L51" i="78"/>
  <c r="L57" i="78"/>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AC13" i="3"/>
  <c r="AC14" i="3"/>
  <c r="AC15" i="3"/>
  <c r="AC16" i="3"/>
  <c r="AC17"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K60" i="43"/>
  <c r="D60" i="43"/>
  <c r="K61" i="43"/>
  <c r="D61" i="43"/>
  <c r="K62" i="43"/>
  <c r="D62" i="43"/>
  <c r="K63" i="43"/>
  <c r="D63" i="43"/>
  <c r="D64" i="43"/>
  <c r="D65"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O10" i="1"/>
  <c r="B23" i="1"/>
  <c r="D78" i="9"/>
  <c r="M8" i="1"/>
  <c r="F23" i="15"/>
  <c r="D24" i="15"/>
  <c r="O8" i="1"/>
  <c r="P8" i="1"/>
  <c r="M13" i="1"/>
  <c r="O13" i="1"/>
  <c r="P13" i="1"/>
  <c r="E23" i="6"/>
  <c r="E24" i="6"/>
  <c r="E25" i="6"/>
  <c r="E26" i="6"/>
  <c r="BC10" i="3"/>
  <c r="BD10" i="3"/>
  <c r="BB10"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H27" i="39"/>
  <c r="U2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C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60" i="40"/>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AQ10" i="1"/>
  <c r="B10" i="1"/>
  <c r="E10" i="1"/>
  <c r="D1" i="66"/>
  <c r="E10" i="66"/>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51" i="40"/>
  <c r="B6" i="1"/>
  <c r="E6" i="1"/>
  <c r="K21" i="6"/>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1" i="49"/>
  <c r="E4" i="4"/>
  <c r="B13" i="49"/>
  <c r="E16" i="49"/>
  <c r="E8" i="49"/>
  <c r="E21" i="49"/>
  <c r="E10" i="49"/>
  <c r="E9" i="49"/>
  <c r="E5" i="49"/>
  <c r="B6" i="49"/>
  <c r="B4" i="49"/>
  <c r="B8" i="49"/>
  <c r="C4" i="4"/>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O6" i="1"/>
  <c r="P6" i="1"/>
  <c r="F30" i="68"/>
  <c r="C30" i="68"/>
  <c r="F30" i="11"/>
  <c r="C48" i="11"/>
  <c r="F28" i="67"/>
  <c r="C28" i="67"/>
  <c r="F31" i="12"/>
  <c r="F52" i="9"/>
  <c r="M18" i="67"/>
  <c r="F32" i="67"/>
  <c r="F60" i="67"/>
  <c r="F30" i="69"/>
  <c r="C48" i="69"/>
  <c r="F32" i="15"/>
  <c r="F60" i="15"/>
  <c r="M18" i="15"/>
  <c r="F28" i="15"/>
  <c r="T11" i="1"/>
  <c r="D9" i="69"/>
  <c r="C9" i="69"/>
  <c r="AQ9" i="1"/>
  <c r="AR11" i="1"/>
  <c r="E59" i="40"/>
  <c r="D68" i="39"/>
  <c r="D70" i="39"/>
  <c r="P24" i="43"/>
  <c r="B66" i="40"/>
  <c r="C28" i="15"/>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C16" i="4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O7" i="1"/>
  <c r="Q16" i="1"/>
  <c r="F27" i="69"/>
  <c r="H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8" i="6"/>
  <c r="D21" i="6"/>
  <c r="D23" i="6"/>
  <c r="D24" i="6"/>
  <c r="D14" i="6"/>
  <c r="D5" i="6"/>
  <c r="D6" i="6"/>
  <c r="D12" i="6"/>
  <c r="D9" i="6"/>
  <c r="D11" i="6"/>
  <c r="D10" i="6"/>
  <c r="D13" i="6"/>
  <c r="L19" i="9"/>
  <c r="D28" i="6"/>
  <c r="D29" i="6"/>
  <c r="E61" i="40"/>
  <c r="H25" i="6"/>
  <c r="R25" i="6"/>
  <c r="H23" i="6"/>
  <c r="H21" i="6"/>
  <c r="H26" i="6"/>
  <c r="H24" i="6"/>
  <c r="P16" i="1"/>
  <c r="F34" i="11"/>
  <c r="C37" i="11"/>
  <c r="AC10" i="40"/>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U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D30" i="6"/>
  <c r="D16" i="6"/>
  <c r="A7" i="51"/>
  <c r="B7" i="72"/>
  <c r="C4" i="52"/>
  <c r="B45" i="72"/>
  <c r="A10" i="51"/>
  <c r="B9" i="72"/>
  <c r="D27" i="6"/>
  <c r="C10"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E6" i="76"/>
  <c r="D31" i="6"/>
  <c r="I6" i="6"/>
  <c r="E2" i="76"/>
  <c r="B2" i="43"/>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B6" i="76"/>
  <c r="I5" i="6"/>
  <c r="B2" i="76"/>
  <c r="B3" i="76"/>
  <c r="B3" i="43"/>
  <c r="C49" i="21"/>
  <c r="F63" i="67"/>
  <c r="C62" i="67"/>
  <c r="C34" i="67"/>
  <c r="J20" i="67"/>
  <c r="C20" i="68"/>
  <c r="J20" i="15"/>
  <c r="F63" i="15"/>
  <c r="C62" i="15"/>
  <c r="R16" i="1"/>
  <c r="I63" i="40"/>
  <c r="H65" i="40"/>
  <c r="C39" i="11"/>
  <c r="C43" i="11"/>
  <c r="C41" i="11"/>
  <c r="I70" i="39"/>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2" i="69"/>
  <c r="B3" i="69"/>
  <c r="B3" i="67"/>
  <c r="E2" i="68"/>
  <c r="D2" i="36"/>
  <c r="D2" i="21"/>
  <c r="D2" i="34"/>
  <c r="D2" i="33"/>
  <c r="D2" i="37"/>
  <c r="D2" i="35"/>
  <c r="F20" i="31"/>
  <c r="B20" i="31"/>
  <c r="B2" i="36"/>
  <c r="B3" i="36"/>
  <c r="B2" i="37"/>
  <c r="B3" i="37"/>
  <c r="B2" i="34"/>
  <c r="B3" i="34"/>
  <c r="B2" i="21"/>
  <c r="B3" i="21"/>
  <c r="B2" i="70"/>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<sst xmlns="http://schemas.openxmlformats.org/spreadsheetml/2006/main" count="9941" uniqueCount="3265">
  <si>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</si>
  <si>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</si>
  <si>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</si>
  <si>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</si>
  <si>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</si>
  <si>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</si>
  <si>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</si>
  <si>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</si>
  <si>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</si>
  <si>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</si>
  <si>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</si>
  <si>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</si>
  <si>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</si>
  <si>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</si>
  <si>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</si>
  <si>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</si>
  <si>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</si>
  <si>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</si>
  <si>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</si>
  <si>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</si>
  <si>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</si>
  <si>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</si>
  <si>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</si>
  <si>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</si>
  <si>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</si>
  <si>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</si>
  <si>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</si>
  <si>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</si>
  <si>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</si>
  <si>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</si>
  <si>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</si>
  <si>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</si>
  <si>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</si>
  <si>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</si>
  <si>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</si>
  <si>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</si>
  <si>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</si>
  <si>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</si>
  <si>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</si>
  <si>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</si>
  <si>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</si>
  <si>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</si>
  <si>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</si>
  <si>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</si>
  <si>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</si>
  <si>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</si>
  <si>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</si>
  <si>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</si>
  <si>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</si>
  <si>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</si>
  <si>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</si>
  <si>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</si>
  <si>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</si>
  <si>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</si>
  <si>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</si>
  <si>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</si>
  <si>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</si>
  <si>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</si>
  <si>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</si>
  <si>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</si>
  <si>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</si>
  <si>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</si>
  <si>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</si>
  <si>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</si>
  <si>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</si>
  <si>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</si>
  <si>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</si>
  <si>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</si>
  <si>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</si>
  <si>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</si>
  <si>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</si>
  <si>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</si>
  <si>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</si>
  <si>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</si>
  <si>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</si>
  <si>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</si>
  <si>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</si>
  <si>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</si>
  <si>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</si>
  <si>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</si>
  <si>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</si>
  <si>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</si>
  <si>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</si>
  <si>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</si>
  <si>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</si>
  <si>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</si>
  <si>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</si>
  <si>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</si>
  <si>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</si>
  <si>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</si>
  <si>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</si>
  <si>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</si>
  <si>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</si>
  <si>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</si>
  <si>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</si>
  <si>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</si>
  <si>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</si>
  <si>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</si>
  <si>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</si>
  <si>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</si>
  <si>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</si>
  <si>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</si>
  <si>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</si>
  <si>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</si>
  <si>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</si>
  <si>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</si>
  <si>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</si>
  <si>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</si>
  <si>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</si>
  <si>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</si>
  <si>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</si>
  <si>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</si>
  <si>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</si>
  <si>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</si>
  <si>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</si>
  <si>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</si>
  <si>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</si>
  <si>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</si>
  <si>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</si>
  <si>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</si>
  <si>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</si>
  <si>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</si>
  <si>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</si>
  <si>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</si>
  <si>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</si>
  <si>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</si>
  <si>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</si>
  <si>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</si>
  <si>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</si>
  <si>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</si>
  <si>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</si>
  <si>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</si>
  <si>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</si>
  <si>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</si>
  <si>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</si>
  <si>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</si>
  <si>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</si>
  <si>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</si>
  <si>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</si>
  <si>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</si>
  <si>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</si>
  <si>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</si>
  <si>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</si>
  <si>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</si>
  <si>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</si>
  <si>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</si>
  <si>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</si>
  <si>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</si>
  <si>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</si>
  <si>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</si>
  <si>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</si>
  <si>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</si>
  <si>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</si>
  <si>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</si>
  <si>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</si>
  <si>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</si>
  <si>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</si>
  <si>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</si>
  <si>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</si>
  <si>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</si>
  <si>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</si>
  <si>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</si>
  <si>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</si>
  <si>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</si>
  <si>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</si>
  <si>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</si>
  <si>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</si>
  <si>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</si>
  <si>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</si>
  <si>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</si>
  <si>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</si>
  <si>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</si>
  <si>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</si>
  <si>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</si>
  <si>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</si>
  <si>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</si>
  <si>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</si>
  <si>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</si>
  <si>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</si>
  <si>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</si>
  <si>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</si>
  <si>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</si>
  <si>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</si>
  <si>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</si>
  <si>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</si>
  <si>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</si>
  <si>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</si>
  <si>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</si>
  <si>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</si>
  <si>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</si>
  <si>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</si>
  <si>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</si>
  <si>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</si>
  <si>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</si>
  <si>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</si>
  <si>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</si>
  <si>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</si>
  <si>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</si>
  <si>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</si>
  <si>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</si>
  <si>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</si>
  <si>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</si>
  <si>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</si>
  <si>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</si>
  <si>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</si>
  <si>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</si>
  <si>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</si>
  <si>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</si>
  <si>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</si>
  <si>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</si>
  <si>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</si>
  <si>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</si>
  <si>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</si>
  <si>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</si>
  <si>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</si>
  <si>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</si>
  <si>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</si>
  <si>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</si>
  <si>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</si>
  <si>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</si>
  <si>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</si>
  <si>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</si>
  <si>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</si>
  <si>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</si>
  <si>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</si>
  <si>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</si>
  <si>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</si>
  <si>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</si>
  <si>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</si>
  <si>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</si>
  <si>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</si>
  <si>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</si>
  <si>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</si>
  <si>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</si>
  <si>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</si>
  <si>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</si>
  <si>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</si>
  <si>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</si>
  <si>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</si>
  <si>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</si>
  <si>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</si>
  <si>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</si>
  <si>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</si>
  <si>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</si>
  <si>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</si>
  <si>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</si>
  <si>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</si>
  <si>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</si>
  <si>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</si>
  <si>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</si>
  <si>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</si>
  <si>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</si>
  <si>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</si>
  <si>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</si>
  <si>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</si>
  <si>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</si>
  <si>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</si>
  <si>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</si>
  <si>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</si>
  <si>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</si>
  <si>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</si>
  <si>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</si>
  <si>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</si>
  <si>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</si>
  <si>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</si>
  <si>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</si>
  <si>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</si>
  <si>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</si>
  <si>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</si>
  <si>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</si>
  <si>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</si>
  <si>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</si>
  <si>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</si>
  <si>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</si>
  <si>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</si>
  <si>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</si>
  <si>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</si>
  <si>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</si>
  <si>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</si>
  <si>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</si>
  <si>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</si>
  <si>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</si>
  <si>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</si>
  <si>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</si>
  <si>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</si>
  <si>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</si>
  <si>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</si>
  <si>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</si>
  <si>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</si>
  <si>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</si>
  <si>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</si>
  <si>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</si>
  <si>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</si>
  <si>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</si>
  <si>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</si>
  <si>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</si>
  <si>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</si>
  <si>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</si>
  <si>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</si>
  <si>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</si>
  <si>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</si>
  <si>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</si>
  <si>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</si>
  <si>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</si>
  <si>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</si>
  <si>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</si>
  <si>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</si>
  <si>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</si>
  <si>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</si>
  <si>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</si>
  <si>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</si>
  <si>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</si>
  <si>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</si>
  <si>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</si>
  <si>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</si>
  <si>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</si>
  <si>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</si>
  <si>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</si>
  <si>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</si>
  <si>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</si>
  <si>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</si>
  <si>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</si>
  <si>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</si>
  <si>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</si>
  <si>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</si>
  <si>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</si>
  <si>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</si>
  <si>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</si>
  <si>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</si>
  <si>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</si>
  <si>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</si>
  <si>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</si>
  <si>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</si>
  <si>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</si>
  <si>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</si>
  <si>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</si>
  <si>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</si>
  <si>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</si>
  <si>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</si>
  <si>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</si>
  <si>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</si>
  <si>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</si>
  <si>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</si>
  <si>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</si>
  <si>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</si>
  <si>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</si>
  <si>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</si>
  <si>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</si>
  <si>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</si>
  <si>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</si>
  <si>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</si>
  <si>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</si>
  <si>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</si>
  <si>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</si>
  <si>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</si>
  <si>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</si>
  <si>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</si>
  <si>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</si>
  <si>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</si>
  <si>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</si>
  <si>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</si>
  <si>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</si>
  <si>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</si>
  <si>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</si>
  <si>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</si>
  <si>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</si>
  <si>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</si>
  <si>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</si>
  <si>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</si>
  <si>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</si>
  <si>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</si>
  <si>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</si>
  <si>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</si>
  <si>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</si>
  <si>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</si>
  <si>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</si>
  <si>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</si>
  <si>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</si>
  <si>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</si>
  <si>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</si>
  <si>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</si>
  <si>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</si>
  <si>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</si>
  <si>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</si>
  <si>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</si>
  <si>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</si>
  <si>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</si>
  <si>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</si>
  <si>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</si>
  <si>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</si>
  <si>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</si>
  <si>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</si>
  <si>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</si>
  <si>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</si>
  <si>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</si>
  <si>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</si>
  <si>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</si>
  <si>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</si>
  <si>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</si>
  <si>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</si>
  <si>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</si>
  <si>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</si>
  <si>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</si>
  <si>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</si>
  <si>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</si>
  <si>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</si>
  <si>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</si>
  <si>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</si>
  <si>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</si>
  <si>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</si>
  <si>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</si>
  <si>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</si>
  <si>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</si>
  <si>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</si>
  <si>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</si>
  <si>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</si>
  <si>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</si>
  <si>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</si>
  <si>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</si>
  <si>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</si>
  <si>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</si>
  <si>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</si>
  <si>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</si>
  <si>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</si>
  <si>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</si>
  <si>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</si>
  <si>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</si>
  <si>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</si>
  <si>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</si>
  <si>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</si>
  <si>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</si>
  <si>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</si>
  <si>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</si>
  <si>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</si>
  <si>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</si>
  <si>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</si>
  <si>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</si>
  <si>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</si>
  <si>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</si>
  <si>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</si>
  <si>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</si>
  <si>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</si>
  <si>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</si>
  <si>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</si>
  <si>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</si>
  <si>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</si>
  <si>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</si>
  <si>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</si>
  <si>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</si>
  <si>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</si>
  <si>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</si>
  <si>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</si>
  <si>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</si>
  <si>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</si>
  <si>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</si>
  <si>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</si>
  <si>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</si>
  <si>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</si>
  <si>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</si>
  <si>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</si>
  <si>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</si>
  <si>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</si>
  <si>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</si>
  <si>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</si>
  <si>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</si>
  <si>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</si>
  <si>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</si>
  <si>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</si>
  <si>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</si>
  <si>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</si>
  <si>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</si>
  <si>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</si>
  <si>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</si>
  <si>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</si>
  <si>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</si>
  <si>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</si>
  <si>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</si>
  <si>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</si>
  <si>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</si>
  <si>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</si>
  <si>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</si>
  <si>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</si>
  <si>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</si>
  <si>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</si>
  <si>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</si>
  <si>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</si>
  <si>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</si>
  <si>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</si>
  <si>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</si>
  <si>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</si>
  <si>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</si>
  <si>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</si>
  <si>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</si>
  <si>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</si>
  <si>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</si>
  <si>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</si>
  <si>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</si>
  <si>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</si>
  <si>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</si>
  <si>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</si>
  <si>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</si>
  <si>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</si>
  <si>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</si>
  <si>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</si>
  <si>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</si>
  <si>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</si>
  <si>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</si>
  <si>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</si>
  <si>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</si>
  <si>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</si>
  <si>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</si>
  <si>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</si>
  <si>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</si>
  <si>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</si>
  <si>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</si>
  <si>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</si>
  <si>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</si>
  <si>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</si>
  <si>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</si>
  <si>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</si>
  <si>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</si>
  <si>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</si>
  <si>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</si>
  <si>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</si>
  <si>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</si>
  <si>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</si>
  <si>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</si>
  <si>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</si>
  <si>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</si>
  <si>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</si>
  <si>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</si>
  <si>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</si>
  <si>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</si>
  <si>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</si>
  <si>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</si>
  <si>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</si>
  <si>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</si>
  <si>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</si>
  <si>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</si>
  <si>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</si>
  <si>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</si>
  <si>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</si>
  <si>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</si>
  <si>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</si>
  <si>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</si>
  <si>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</si>
  <si>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</si>
  <si>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</si>
  <si>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</si>
  <si>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</si>
  <si>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</si>
  <si>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</si>
  <si>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</si>
  <si>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</si>
  <si>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</si>
  <si>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</si>
  <si>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</si>
  <si>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</si>
  <si>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</si>
  <si>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</si>
  <si>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</si>
  <si>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</si>
  <si>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</si>
  <si>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</si>
  <si>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</si>
  <si>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</si>
  <si>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</si>
  <si>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</si>
  <si>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</si>
  <si>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</si>
  <si>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</si>
  <si>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</si>
  <si>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</si>
  <si>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</si>
  <si>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</si>
  <si>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</si>
  <si>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</si>
  <si>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</si>
  <si>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</si>
  <si>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</si>
  <si>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</si>
  <si>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</si>
  <si>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</si>
  <si>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</si>
  <si>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</si>
  <si>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</si>
  <si>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</si>
  <si>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</si>
  <si>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</si>
  <si>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</si>
  <si>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</si>
  <si>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</si>
  <si>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</si>
  <si>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</si>
  <si>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</si>
  <si>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</si>
  <si>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</si>
  <si>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</si>
  <si>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</si>
  <si>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</si>
  <si>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</si>
  <si>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</si>
  <si>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</si>
  <si>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</si>
  <si>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</si>
  <si>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</si>
  <si>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</si>
  <si>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</si>
  <si>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</si>
  <si>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</si>
  <si>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</si>
  <si>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</si>
  <si>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</si>
  <si>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</si>
  <si>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</si>
  <si>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</si>
  <si>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</si>
  <si>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</si>
  <si>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</si>
  <si>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</si>
  <si>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</si>
  <si>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</si>
  <si>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</si>
  <si>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</si>
  <si>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</si>
  <si>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</si>
  <si>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</si>
  <si>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</si>
  <si>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</si>
  <si>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</si>
  <si>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</si>
  <si>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</si>
  <si>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</si>
  <si>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</si>
  <si>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</si>
  <si>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</si>
  <si>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</si>
  <si>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</si>
  <si>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</si>
  <si>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</si>
  <si>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</si>
  <si>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</si>
  <si>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</si>
  <si>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</si>
  <si>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</si>
  <si>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</si>
  <si>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</si>
  <si>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</si>
  <si>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</si>
  <si>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</si>
  <si>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</si>
  <si>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</si>
  <si>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</si>
  <si>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</si>
  <si>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</si>
  <si>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</si>
  <si>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</si>
  <si>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</si>
  <si>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</si>
  <si>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</si>
  <si>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</si>
  <si>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</si>
  <si>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</si>
  <si>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</si>
  <si>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</si>
  <si>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</si>
  <si>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</si>
  <si>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</si>
  <si>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</si>
  <si>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</si>
  <si>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</si>
  <si>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</si>
  <si>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</si>
  <si>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</si>
  <si>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</si>
  <si>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</si>
  <si>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</si>
  <si>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</si>
  <si>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</si>
  <si>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</si>
  <si>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</si>
  <si>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</si>
  <si>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</si>
  <si>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</si>
  <si>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</si>
  <si>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</si>
  <si>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</si>
  <si>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</si>
  <si>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</si>
  <si>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</si>
  <si>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</si>
  <si>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</si>
  <si>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</si>
  <si>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</si>
  <si>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</si>
  <si>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</si>
  <si>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</si>
  <si>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</si>
  <si>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</si>
  <si>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</si>
  <si>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</si>
  <si>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</si>
  <si>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</si>
  <si>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</si>
  <si>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</si>
  <si>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</si>
  <si>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</si>
  <si>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</si>
  <si>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</si>
  <si>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</si>
  <si>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</si>
  <si>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</si>
  <si>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</si>
  <si>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</si>
  <si>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</si>
  <si>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</si>
  <si>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</si>
  <si>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</si>
  <si>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</si>
  <si>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</si>
  <si>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</si>
  <si>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</si>
  <si>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</si>
  <si>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</si>
  <si>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</si>
  <si>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</si>
  <si>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</si>
  <si>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</si>
  <si>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</si>
  <si>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</si>
  <si>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</si>
  <si>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</si>
  <si>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</si>
  <si>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</si>
  <si>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</si>
  <si>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</si>
  <si>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</si>
  <si>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</si>
  <si>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</si>
  <si>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</si>
  <si>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</si>
  <si>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</si>
  <si>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</si>
  <si>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</si>
  <si>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</si>
  <si>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</si>
  <si>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</si>
  <si>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</si>
  <si>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</si>
  <si>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</si>
  <si>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</si>
  <si>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</si>
  <si>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</si>
  <si>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</si>
  <si>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</si>
  <si>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</si>
  <si>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</si>
  <si>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</si>
  <si>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</si>
  <si>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</si>
  <si>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</si>
  <si>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</si>
  <si>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</si>
  <si>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</si>
  <si>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</si>
  <si>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</si>
  <si>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</si>
  <si>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</si>
  <si>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</si>
  <si>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</si>
  <si>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</si>
  <si>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</si>
  <si>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</si>
  <si>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</si>
  <si>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</si>
  <si>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</si>
  <si>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</si>
  <si>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</si>
  <si>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</si>
  <si>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</si>
  <si>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</si>
  <si>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</si>
  <si>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</si>
  <si>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</si>
  <si>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</si>
  <si>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</si>
  <si>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</si>
  <si>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</si>
  <si>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</si>
  <si>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</si>
  <si>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</si>
  <si>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</si>
  <si>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</si>
  <si>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</si>
  <si>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</si>
  <si>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</si>
  <si>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</si>
  <si>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</si>
  <si>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</si>
  <si>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</si>
  <si>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</si>
  <si>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</si>
  <si>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</si>
  <si>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</si>
  <si>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</si>
  <si>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</si>
  <si>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</si>
  <si>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</si>
  <si>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</si>
  <si>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</si>
  <si>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</si>
  <si>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</si>
  <si>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</si>
  <si>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</si>
  <si>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</si>
  <si>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</si>
  <si>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</si>
  <si>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</si>
  <si>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</si>
  <si>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</si>
  <si>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</si>
  <si>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</si>
  <si>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</si>
  <si>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</si>
  <si>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</si>
  <si>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</si>
  <si>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</si>
  <si>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</si>
  <si>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</si>
  <si>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</si>
  <si>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</si>
  <si>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</si>
  <si>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</si>
  <si>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</si>
  <si>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</si>
  <si>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</si>
  <si>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</si>
  <si>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</si>
  <si>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</si>
  <si>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</si>
  <si>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</si>
  <si>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</si>
  <si>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</si>
  <si>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</si>
  <si>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</si>
  <si>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</si>
  <si>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</si>
  <si>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</si>
  <si>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</si>
  <si>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</si>
  <si>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</si>
  <si>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</si>
  <si>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</si>
  <si>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</si>
  <si>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</si>
  <si>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</si>
  <si>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</si>
  <si>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</si>
  <si>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</si>
  <si>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</si>
  <si>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</si>
  <si>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</si>
  <si>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</si>
  <si>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</si>
  <si>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</si>
  <si>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</si>
  <si>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</si>
  <si>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</si>
  <si>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</si>
  <si>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</si>
  <si>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</si>
  <si>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</si>
  <si>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</si>
  <si>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</si>
  <si>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</si>
  <si>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</si>
  <si>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</si>
  <si>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</si>
  <si>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</si>
  <si>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</si>
  <si>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</si>
  <si>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</si>
  <si>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</si>
  <si>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</si>
  <si>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</si>
  <si>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</si>
  <si>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</si>
  <si>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</si>
  <si>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</si>
  <si>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</si>
  <si>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</si>
  <si>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</si>
  <si>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</si>
  <si>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</si>
  <si>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</si>
  <si>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</si>
  <si>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</si>
  <si>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</si>
  <si>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</si>
  <si>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</si>
  <si>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</si>
  <si>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</si>
  <si>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</si>
  <si>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</si>
  <si>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</si>
  <si>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</si>
  <si>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</si>
  <si>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</si>
  <si>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</si>
  <si>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</si>
  <si>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</si>
  <si>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</si>
  <si>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</si>
  <si>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</si>
  <si>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</si>
  <si>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</si>
  <si>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</si>
  <si>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</si>
  <si>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</si>
  <si>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</si>
  <si>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</si>
  <si>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</si>
  <si>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</si>
  <si>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</si>
  <si>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</si>
  <si>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</si>
  <si>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</si>
  <si>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</si>
  <si>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</si>
  <si>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</si>
  <si>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</si>
  <si>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</si>
  <si>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</si>
  <si>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</si>
  <si>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</si>
  <si>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</si>
  <si>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</si>
  <si>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</si>
  <si>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</si>
  <si>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</si>
  <si>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</si>
  <si>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</si>
  <si>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</si>
  <si>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</si>
  <si>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</si>
  <si>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</si>
  <si>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</si>
  <si>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</si>
  <si>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</si>
  <si>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</si>
  <si>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</si>
  <si>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</si>
  <si>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</si>
  <si>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</si>
  <si>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</si>
  <si>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</si>
  <si>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</si>
  <si>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</si>
  <si>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</si>
  <si>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</si>
  <si>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</si>
  <si>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</si>
  <si>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</si>
  <si>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</si>
  <si>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</si>
  <si>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</si>
  <si>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</si>
  <si>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</si>
  <si>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</si>
  <si>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</si>
  <si>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</si>
  <si>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</si>
  <si>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</si>
  <si>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</si>
  <si>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</si>
  <si>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</si>
  <si>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</si>
  <si>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</si>
  <si>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</si>
  <si>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</si>
  <si>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</si>
  <si>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</si>
  <si>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</si>
  <si>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</si>
  <si>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</si>
  <si>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</si>
  <si>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</si>
  <si>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</si>
  <si>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</si>
  <si>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</si>
  <si>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</si>
  <si>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</si>
  <si>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</si>
  <si>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</si>
  <si>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</si>
  <si>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</si>
  <si>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</si>
  <si>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</si>
  <si>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</si>
  <si>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</si>
  <si>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</si>
  <si>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</si>
  <si>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</si>
  <si>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</si>
  <si>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</si>
  <si>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</si>
  <si>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</si>
  <si>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</si>
  <si>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</si>
  <si>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</si>
  <si>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</si>
  <si>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</si>
  <si>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</si>
  <si>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</si>
  <si>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</si>
  <si>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</si>
  <si>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</si>
  <si>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</si>
  <si>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</si>
  <si>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</si>
  <si>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</si>
  <si>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</si>
  <si>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</si>
  <si>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</si>
  <si>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</si>
  <si>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</si>
  <si>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</si>
  <si>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</si>
  <si>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</si>
  <si>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</si>
  <si>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</si>
  <si>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</si>
  <si>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</si>
  <si>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</si>
  <si>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</si>
  <si>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</si>
  <si>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</si>
  <si>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</si>
  <si>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</si>
  <si>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</si>
  <si>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</si>
  <si>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</si>
  <si>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</si>
  <si>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</si>
  <si>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</si>
  <si>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</si>
  <si>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</si>
  <si>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</si>
  <si>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</si>
  <si>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</si>
  <si>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</si>
  <si>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</si>
  <si>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</si>
  <si>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</si>
  <si>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</si>
  <si>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</si>
  <si>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</si>
  <si>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</si>
  <si>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</si>
  <si>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</si>
  <si>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</si>
  <si>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</si>
  <si>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</si>
  <si>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</si>
  <si>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</si>
  <si>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</si>
  <si>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</si>
  <si>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</si>
  <si>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</si>
  <si>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</si>
  <si>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</si>
  <si>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</si>
  <si>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</si>
  <si>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</si>
  <si>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</si>
  <si>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</si>
  <si>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</si>
  <si>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</si>
  <si>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</si>
  <si>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</si>
  <si>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</si>
  <si>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</si>
  <si>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</si>
  <si>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</si>
  <si>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</si>
  <si>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</si>
  <si>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</si>
  <si>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</si>
  <si>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</si>
  <si>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</si>
  <si>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</si>
  <si>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</si>
  <si>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</si>
  <si>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</si>
  <si>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</si>
  <si>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</si>
  <si>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</si>
  <si>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</si>
  <si>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</si>
  <si>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</si>
  <si>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</si>
  <si>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</si>
  <si>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</si>
  <si>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</si>
  <si>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</si>
  <si>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</si>
  <si>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</si>
  <si>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</si>
  <si>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</si>
  <si>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</si>
  <si>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</si>
  <si>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</si>
  <si>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</si>
  <si>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</si>
  <si>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</si>
  <si>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</si>
  <si>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</si>
  <si>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</si>
  <si>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</si>
  <si>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</si>
  <si>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</si>
  <si>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</si>
  <si>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</si>
  <si>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</si>
  <si>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</si>
  <si>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</si>
  <si>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</si>
  <si>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</si>
  <si>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</si>
  <si>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</si>
  <si>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</si>
  <si>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</si>
  <si>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</si>
  <si>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</si>
  <si>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</si>
  <si>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</si>
  <si>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</si>
  <si>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</si>
  <si>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</si>
  <si>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</si>
  <si>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</si>
  <si>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</si>
  <si>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</si>
  <si>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</si>
  <si>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</si>
  <si>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</si>
  <si>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</si>
  <si>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</si>
  <si>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</si>
  <si>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</si>
  <si>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</si>
  <si>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</si>
  <si>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</si>
  <si>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</si>
  <si>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</si>
  <si>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</si>
  <si>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</si>
  <si>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</si>
  <si>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</si>
  <si>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</si>
  <si>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</si>
  <si>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</si>
  <si>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</si>
  <si>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</si>
  <si>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</si>
  <si>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</si>
  <si>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</si>
  <si>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</si>
  <si>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</si>
  <si>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</si>
  <si>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</si>
  <si>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</si>
  <si>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</si>
  <si>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</si>
  <si>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</si>
  <si>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</si>
  <si>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</si>
  <si>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</si>
  <si>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</si>
  <si>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</si>
  <si>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</si>
  <si>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</si>
  <si>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</si>
  <si>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</si>
  <si>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</si>
  <si>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</si>
  <si>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</si>
  <si>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</si>
  <si>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</si>
  <si>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</si>
  <si>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</si>
  <si>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</si>
  <si>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</si>
  <si>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</si>
  <si>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</si>
  <si>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</si>
  <si>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</si>
  <si>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</si>
  <si>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</si>
  <si>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</si>
  <si>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</si>
  <si>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</si>
  <si>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</si>
  <si>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</si>
  <si>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</si>
  <si>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</si>
  <si>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</si>
  <si>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</si>
  <si>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</si>
  <si>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</si>
  <si>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</si>
  <si>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</si>
  <si>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</si>
  <si>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</si>
  <si>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</si>
  <si>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</si>
  <si>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</si>
  <si>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</si>
  <si>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</si>
  <si>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</si>
  <si>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</si>
  <si>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</si>
  <si>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</si>
  <si>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</si>
  <si>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</si>
  <si>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</si>
  <si>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</si>
  <si>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</si>
  <si>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</si>
  <si>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</si>
  <si>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</si>
  <si>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</si>
  <si>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</si>
  <si>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</si>
  <si>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</si>
  <si>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</si>
  <si>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</si>
  <si>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</si>
  <si>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</si>
  <si>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</si>
  <si>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</si>
  <si>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</si>
  <si>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</si>
  <si>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</si>
  <si>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</si>
  <si>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</si>
  <si>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</si>
  <si>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</si>
  <si>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</si>
  <si>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</si>
  <si>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</si>
  <si>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</si>
  <si>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</si>
  <si>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</si>
  <si>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</si>
  <si>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</si>
  <si>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</si>
  <si>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</si>
  <si>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</si>
  <si>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</si>
  <si>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</si>
  <si>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</si>
  <si>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</si>
  <si>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</si>
  <si>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</si>
  <si>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</si>
  <si>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</si>
  <si>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</si>
  <si>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</si>
  <si>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</si>
  <si>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</si>
  <si>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</si>
  <si>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</si>
  <si>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</si>
  <si>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</si>
  <si>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</si>
  <si>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</si>
  <si>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</si>
  <si>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</si>
  <si>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</si>
  <si>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</si>
  <si>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</si>
  <si>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</si>
  <si>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</si>
  <si>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</si>
  <si>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</si>
  <si>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</si>
  <si>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</si>
  <si>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</si>
  <si>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</si>
  <si>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</si>
  <si>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</si>
  <si>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</si>
  <si>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</si>
  <si>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</si>
  <si>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</si>
  <si>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</si>
  <si>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</si>
  <si>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</si>
  <si>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</si>
  <si>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</si>
  <si>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</si>
  <si>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</si>
  <si>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</si>
  <si>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</si>
  <si>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</si>
  <si>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</si>
  <si>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</si>
  <si>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</si>
  <si>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</si>
  <si>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</si>
  <si>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</si>
  <si>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</si>
  <si>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</si>
  <si>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</si>
  <si>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</si>
  <si>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</si>
  <si>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</si>
  <si>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</si>
  <si>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</si>
  <si>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</si>
  <si>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</si>
  <si>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</si>
  <si>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</si>
  <si>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</si>
  <si>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</si>
  <si>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</si>
  <si>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</si>
  <si>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</si>
  <si>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</si>
  <si>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</si>
  <si>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</si>
  <si>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</si>
  <si>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</si>
  <si>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</si>
  <si>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</si>
  <si>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</si>
  <si>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</si>
  <si>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</si>
  <si>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</si>
  <si>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</si>
  <si>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</si>
  <si>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</si>
  <si>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</si>
  <si>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</si>
  <si>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</si>
  <si>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</si>
  <si>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</si>
  <si>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</si>
  <si>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</si>
  <si>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</si>
  <si>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</si>
  <si>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</si>
  <si>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</si>
  <si>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</si>
  <si>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</si>
  <si>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</si>
  <si>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</si>
  <si>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</si>
  <si>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</si>
  <si>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</si>
  <si>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</si>
  <si>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</si>
  <si>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</si>
  <si>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</si>
  <si>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</si>
  <si>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</si>
  <si>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</si>
  <si>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</si>
  <si>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</si>
  <si>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</si>
  <si>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</si>
  <si>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</si>
  <si>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</si>
  <si>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</si>
  <si>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</si>
  <si>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</si>
  <si>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</si>
  <si>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</si>
  <si>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</si>
  <si>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</si>
  <si>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</si>
  <si>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</si>
  <si>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</si>
  <si>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</si>
  <si>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</si>
  <si>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</si>
  <si>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</si>
  <si>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</si>
  <si>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</si>
  <si>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</si>
  <si>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</si>
  <si>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</si>
  <si>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</si>
  <si>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</si>
  <si>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</si>
  <si>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</si>
  <si>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</si>
  <si>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</si>
  <si>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</si>
  <si>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</si>
  <si>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</si>
  <si>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</si>
  <si>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</si>
  <si>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</si>
  <si>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</si>
  <si>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</si>
  <si>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</si>
  <si>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</si>
  <si>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</si>
  <si>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</si>
  <si>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</si>
  <si>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</si>
  <si>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</si>
  <si>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</si>
  <si>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</si>
  <si>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</si>
  <si>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</si>
  <si>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</si>
  <si>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</si>
  <si>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</si>
  <si>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</si>
  <si>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</si>
  <si>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</si>
  <si>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</si>
  <si>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</si>
  <si>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</si>
  <si>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</si>
  <si>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</si>
  <si>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</si>
  <si>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</si>
  <si>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</si>
  <si>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</si>
  <si>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</si>
  <si>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</si>
  <si>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</si>
  <si>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</si>
  <si>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</si>
  <si>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</si>
  <si>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</si>
  <si>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</si>
  <si>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</si>
  <si>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</si>
  <si>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</si>
  <si>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</si>
  <si>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</si>
  <si>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</si>
  <si>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</si>
  <si>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</si>
  <si>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</si>
  <si>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</si>
  <si>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</si>
  <si>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</si>
  <si>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</si>
  <si>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</si>
  <si>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</si>
  <si>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</si>
  <si>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</si>
  <si>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</si>
  <si>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</si>
  <si>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</si>
  <si>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</si>
  <si>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</si>
  <si>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</si>
  <si>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</si>
  <si>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</si>
  <si>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</si>
  <si>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</si>
  <si>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</si>
  <si>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</si>
  <si>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</si>
  <si>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</si>
  <si>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</si>
  <si>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</si>
  <si>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</si>
  <si>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</si>
  <si>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</si>
  <si>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</si>
  <si>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</si>
  <si>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</si>
  <si>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</si>
  <si>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</si>
  <si>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</si>
  <si>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</si>
  <si>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</si>
  <si>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</si>
  <si>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</si>
  <si>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</si>
  <si>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</si>
  <si>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</si>
  <si>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</si>
  <si>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</si>
  <si>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</si>
  <si>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</si>
  <si>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</si>
  <si>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</si>
  <si>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</si>
  <si>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</si>
  <si>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</si>
  <si>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</si>
  <si>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</si>
  <si>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</si>
  <si>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</si>
  <si>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</si>
  <si>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</si>
  <si>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</si>
  <si>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</si>
  <si>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</si>
  <si>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</si>
  <si>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</si>
  <si>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</si>
  <si>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</si>
  <si>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</si>
  <si>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</si>
  <si>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</si>
  <si>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</si>
  <si>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</si>
  <si>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</si>
  <si>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</si>
  <si>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</si>
  <si>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</si>
  <si>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</si>
  <si>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</si>
  <si>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</si>
  <si>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</si>
  <si>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</si>
  <si>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</si>
  <si>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</si>
  <si>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</si>
  <si>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</si>
  <si>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</si>
  <si>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</si>
  <si>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</si>
  <si>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</si>
  <si>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</si>
  <si>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</si>
  <si>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</si>
  <si>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</si>
  <si>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</si>
  <si>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</si>
  <si>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</si>
  <si>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</si>
  <si>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</si>
  <si>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</si>
  <si>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</si>
  <si>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</si>
  <si>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</si>
  <si>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</si>
  <si>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</si>
  <si>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</si>
  <si>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</si>
  <si>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</si>
  <si>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</si>
  <si>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</si>
  <si>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</si>
  <si>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</si>
  <si>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</si>
  <si>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</si>
  <si>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</si>
  <si>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</si>
  <si>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</si>
  <si>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</si>
  <si>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</si>
  <si>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</si>
  <si>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</si>
  <si>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</si>
  <si>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</si>
  <si>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</si>
  <si>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</si>
  <si>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</si>
  <si>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</si>
  <si>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</si>
  <si>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</si>
  <si>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</si>
  <si>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</si>
  <si>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</si>
  <si>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</si>
  <si>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</si>
  <si>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</si>
  <si>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</si>
  <si>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</si>
  <si>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</si>
  <si>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</si>
  <si>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</si>
  <si>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</si>
  <si>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</si>
  <si>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</si>
  <si>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</si>
  <si>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</si>
  <si>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</si>
  <si>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</si>
  <si>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</si>
  <si>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</si>
  <si>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</si>
  <si>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</si>
  <si>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</si>
  <si>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</si>
  <si>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</si>
  <si>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</si>
  <si>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</si>
  <si>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</si>
  <si>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</si>
  <si>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</si>
  <si>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</si>
  <si>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</si>
  <si>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</si>
  <si>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</si>
  <si>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</si>
  <si>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</si>
  <si>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</si>
  <si>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</si>
  <si>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</si>
  <si>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</si>
  <si>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</si>
  <si>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</si>
  <si>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</si>
  <si>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</si>
  <si>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</si>
  <si>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</si>
  <si>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</si>
  <si>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</si>
  <si>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</si>
  <si>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</si>
  <si>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</si>
  <si>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</si>
  <si>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</si>
  <si>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</si>
  <si>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</si>
  <si>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</si>
  <si>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</si>
  <si>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</si>
  <si>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</si>
  <si>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</si>
  <si>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</si>
  <si>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</si>
  <si>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</si>
  <si>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</si>
  <si>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</si>
  <si>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</si>
  <si>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</si>
  <si>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</si>
  <si>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</si>
  <si>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</si>
  <si>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</si>
  <si>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</si>
  <si>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</si>
  <si>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</si>
  <si>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</si>
  <si>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</si>
  <si>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</si>
  <si>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</si>
  <si>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</si>
  <si>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</si>
  <si>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</si>
  <si>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</si>
  <si>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</si>
  <si>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</si>
  <si>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</si>
  <si>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</si>
  <si>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</si>
  <si>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</si>
  <si>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</si>
  <si>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</si>
  <si>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</si>
  <si>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</si>
  <si>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</si>
  <si>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</si>
  <si>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</si>
  <si>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</si>
  <si>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</si>
  <si>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</si>
  <si>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</si>
  <si>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</si>
  <si>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</si>
  <si>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</si>
  <si>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</si>
  <si>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</si>
  <si>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</si>
  <si>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</si>
  <si>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</si>
  <si>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</si>
  <si>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</si>
  <si>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</si>
  <si>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</si>
  <si>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</si>
  <si>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</si>
  <si>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</si>
  <si>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</si>
  <si>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</si>
  <si>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</si>
  <si>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</si>
  <si>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</si>
  <si>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</si>
  <si>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</si>
  <si>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</si>
  <si>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</si>
  <si>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</si>
  <si>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</si>
  <si>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</si>
  <si>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</si>
  <si>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</si>
  <si>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</si>
  <si>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</si>
  <si>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</si>
  <si>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</si>
  <si>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</si>
  <si>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</si>
  <si>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</si>
  <si>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</si>
  <si>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</si>
  <si>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</si>
  <si>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</si>
  <si>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</si>
  <si>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</si>
  <si>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</si>
  <si>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</si>
  <si>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</si>
  <si>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</si>
  <si>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</si>
  <si>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</si>
  <si>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</si>
  <si>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</si>
  <si>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</si>
  <si>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</si>
  <si>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</si>
  <si>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</si>
  <si>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</si>
  <si>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</si>
  <si>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</si>
  <si>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</si>
  <si>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</si>
  <si>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</si>
  <si>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</si>
  <si>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</si>
  <si>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</si>
  <si>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</si>
  <si>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</si>
  <si>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</si>
  <si>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</si>
  <si>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</si>
  <si>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</si>
  <si>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</si>
  <si>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</si>
  <si>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</si>
  <si>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</si>
  <si>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</si>
  <si>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</si>
  <si>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</si>
  <si>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</si>
  <si>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</si>
  <si>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</si>
  <si>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</si>
  <si>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</si>
  <si>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</si>
  <si>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</si>
  <si>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</si>
  <si>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</si>
  <si>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</si>
  <si>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</si>
  <si>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</si>
  <si>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</si>
  <si>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</si>
  <si>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</si>
  <si>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</si>
  <si>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</si>
  <si>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</si>
  <si>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</si>
  <si>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</si>
  <si>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</si>
  <si>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</si>
  <si>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</si>
  <si>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</si>
  <si>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</si>
  <si>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</si>
  <si>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</si>
  <si>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</si>
  <si>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</si>
  <si>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</si>
  <si>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</si>
  <si>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</si>
  <si>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</si>
  <si>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</si>
  <si>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</si>
  <si>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</si>
  <si>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</si>
  <si>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</si>
  <si>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</si>
  <si>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</si>
  <si>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</si>
  <si>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</si>
  <si>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</si>
  <si>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</si>
  <si>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</si>
  <si>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</si>
  <si>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</si>
  <si>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</si>
  <si>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</si>
  <si>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</si>
  <si>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</si>
  <si>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</si>
  <si>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</si>
  <si>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</si>
  <si>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</si>
  <si>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</si>
  <si>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</si>
  <si>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</si>
  <si>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</si>
  <si>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</si>
  <si>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</si>
  <si>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</si>
  <si>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</si>
  <si>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</si>
  <si>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</si>
  <si>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</si>
  <si>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</si>
  <si>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</si>
  <si>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</si>
  <si>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</si>
  <si>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</si>
  <si>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</si>
  <si>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</si>
  <si>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</si>
  <si>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</si>
  <si>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</si>
  <si>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</si>
  <si>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</si>
  <si>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</si>
  <si>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</si>
  <si>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</si>
  <si>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</si>
  <si>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</si>
  <si>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</si>
  <si>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</si>
  <si>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</si>
  <si>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</si>
  <si>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</si>
  <si>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</si>
  <si>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</si>
  <si>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</si>
  <si>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</si>
  <si>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</si>
  <si>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</si>
  <si>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</si>
  <si>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</si>
  <si>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</si>
  <si>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</si>
  <si>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</si>
  <si>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</si>
  <si>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</si>
  <si>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</si>
  <si>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</si>
  <si>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</si>
  <si>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</si>
  <si>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</si>
  <si>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</si>
  <si>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</si>
  <si>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</si>
  <si>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</si>
  <si>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</si>
  <si>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</si>
  <si>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</si>
  <si>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</si>
  <si>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</si>
  <si>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</si>
  <si>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</si>
  <si>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</si>
  <si>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</si>
  <si>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</si>
  <si>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</si>
  <si>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</si>
  <si>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</si>
  <si>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</si>
  <si>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</si>
  <si>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</si>
  <si>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</si>
  <si>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</si>
  <si>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</si>
  <si>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</si>
  <si>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</si>
  <si>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</si>
  <si>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</si>
  <si>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</si>
  <si>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</si>
  <si>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</si>
  <si>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</si>
  <si>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</si>
  <si>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</si>
  <si>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</si>
  <si>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</si>
  <si>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</si>
  <si>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</si>
  <si>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</si>
  <si>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</si>
  <si>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</si>
  <si>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</si>
  <si>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</si>
  <si>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</si>
  <si>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</si>
  <si>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</si>
  <si>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</si>
  <si>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</si>
  <si>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</si>
  <si>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</si>
  <si>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</si>
  <si>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</si>
  <si>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</si>
  <si>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</si>
  <si>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</si>
  <si>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</si>
  <si>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</si>
  <si>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</si>
  <si>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</si>
  <si>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</si>
  <si>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</si>
  <si>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</si>
  <si>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</si>
  <si>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</si>
  <si>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</si>
  <si>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</si>
  <si>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</si>
  <si>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</si>
  <si>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</si>
  <si>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</si>
  <si>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</si>
  <si>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</si>
  <si>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</si>
  <si>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</si>
  <si>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</si>
  <si>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</si>
  <si>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</si>
  <si>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</si>
  <si>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</si>
  <si>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</si>
  <si>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</si>
  <si>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</si>
  <si>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</si>
  <si>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</si>
  <si>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</si>
  <si>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</si>
  <si>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</si>
  <si>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</si>
  <si>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</si>
  <si>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</si>
  <si>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</si>
  <si>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</si>
  <si>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</si>
  <si>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</si>
  <si>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</si>
  <si>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</si>
  <si>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</si>
  <si>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</si>
  <si>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</si>
  <si>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</si>
  <si>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</si>
  <si>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</si>
  <si>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</si>
  <si>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</si>
  <si>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</si>
  <si>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</si>
  <si>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</si>
  <si>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</si>
  <si>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</si>
  <si>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</si>
  <si>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</si>
  <si>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</si>
  <si>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</si>
  <si>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</si>
  <si>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</si>
  <si>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</si>
  <si>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</si>
  <si>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</si>
  <si>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</si>
  <si>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</si>
  <si>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</si>
  <si>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</si>
  <si>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</si>
  <si>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</si>
  <si>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</si>
  <si>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</si>
  <si>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</si>
  <si>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</si>
  <si>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</si>
  <si>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</si>
  <si>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</si>
  <si>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</si>
  <si>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</si>
  <si>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</si>
  <si>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</si>
  <si>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</si>
  <si>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</si>
  <si>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</si>
  <si>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</si>
  <si>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</si>
  <si>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</si>
  <si>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</si>
  <si>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</si>
  <si>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</si>
  <si>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</si>
  <si>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</si>
  <si>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</si>
  <si>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</si>
  <si>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</si>
  <si>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</si>
  <si>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</si>
  <si>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</si>
  <si>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</si>
  <si>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</si>
  <si>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</si>
  <si>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</si>
  <si>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</si>
  <si>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</si>
  <si>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</si>
  <si>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</si>
  <si>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</si>
  <si>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</si>
  <si>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</si>
  <si>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</si>
  <si>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</si>
  <si>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</si>
  <si>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</si>
  <si>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</si>
  <si>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</si>
  <si>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</si>
  <si>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</si>
  <si>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</si>
  <si>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</si>
  <si>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</si>
  <si>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</si>
  <si>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</si>
  <si>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</si>
  <si>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</si>
  <si>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</si>
  <si>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</si>
  <si>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</si>
  <si>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</si>
  <si>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</si>
  <si>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</si>
  <si>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</si>
  <si>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</si>
  <si>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</si>
  <si>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</si>
  <si>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</si>
  <si>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</si>
  <si>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</si>
  <si>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</si>
  <si>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</si>
  <si>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</si>
  <si>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</si>
  <si>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</si>
  <si>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</si>
  <si>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</si>
  <si>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</si>
  <si>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</si>
  <si>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</si>
  <si>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</si>
  <si>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</si>
  <si>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</si>
  <si>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</si>
  <si>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</si>
  <si>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</si>
  <si>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</si>
  <si>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</si>
  <si>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</si>
  <si>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</si>
  <si>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</si>
  <si>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</si>
  <si>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</si>
  <si>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</si>
  <si>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</si>
  <si>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</si>
  <si>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</si>
  <si>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</si>
  <si>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</si>
  <si>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</si>
  <si>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</si>
  <si>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</si>
  <si>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</si>
  <si>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</si>
  <si>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</si>
  <si>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</si>
  <si>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</si>
  <si>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</si>
  <si>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</si>
  <si>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</si>
  <si>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</si>
  <si>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</si>
  <si>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</si>
  <si>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</si>
  <si>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</si>
  <si>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</si>
  <si>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</si>
  <si>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</si>
  <si>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</si>
  <si>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</si>
  <si>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</si>
  <si>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</si>
  <si>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</si>
  <si>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</si>
  <si>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</si>
  <si>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</si>
  <si>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</si>
  <si>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</si>
  <si>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</si>
  <si>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</si>
  <si>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</si>
  <si>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</si>
  <si>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</si>
  <si>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</si>
  <si>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</si>
  <si>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</si>
  <si>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</si>
  <si>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</si>
  <si>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</si>
  <si>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</si>
  <si>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</si>
  <si>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</si>
  <si>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</si>
  <si>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</si>
  <si>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</si>
  <si>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</si>
  <si>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</si>
  <si>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</si>
  <si>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</si>
  <si>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</si>
  <si>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</si>
  <si>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</si>
  <si>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</si>
  <si>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</si>
  <si>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</si>
  <si>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</si>
  <si>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</si>
  <si>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</si>
  <si>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</si>
  <si>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</si>
  <si>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</si>
  <si>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</si>
  <si>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</si>
  <si>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</si>
  <si>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</si>
  <si>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</si>
  <si>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</si>
  <si>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</si>
  <si>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</si>
  <si>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</si>
  <si>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</si>
  <si>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</si>
  <si>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</si>
  <si>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</si>
  <si>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</si>
  <si>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</si>
  <si>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</si>
  <si>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</si>
  <si>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</si>
  <si>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</si>
  <si>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</si>
  <si>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</si>
  <si>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</si>
  <si>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</si>
  <si>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</si>
  <si>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</si>
  <si>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</si>
  <si>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</si>
  <si>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</si>
  <si>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</si>
  <si>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</si>
  <si>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</si>
  <si>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</si>
  <si>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</si>
  <si>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</si>
  <si>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</si>
  <si>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</si>
  <si>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</si>
  <si>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</si>
  <si>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</si>
  <si>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</si>
  <si>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</si>
  <si>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</si>
  <si>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</si>
  <si>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</si>
  <si>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</si>
  <si>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</si>
  <si>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</si>
  <si>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</si>
  <si>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</si>
  <si>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</si>
  <si>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</si>
  <si>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</si>
  <si>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</si>
  <si>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</si>
  <si>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</si>
  <si>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</si>
  <si>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</si>
  <si>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</si>
  <si>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</si>
  <si>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</si>
  <si>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</si>
  <si>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</si>
  <si>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</si>
  <si>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</si>
  <si>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</si>
  <si>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</si>
  <si>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</si>
  <si>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</si>
  <si>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</si>
  <si>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</si>
  <si>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</si>
  <si>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</si>
  <si>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</si>
  <si>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</si>
  <si>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</si>
  <si>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</si>
  <si>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</si>
  <si>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</si>
  <si>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</si>
  <si>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</si>
  <si>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</si>
  <si>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</si>
  <si>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</si>
  <si>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</si>
  <si>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</si>
  <si>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</si>
  <si>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</si>
  <si>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</si>
  <si>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</si>
  <si>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</si>
  <si>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</si>
  <si>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</si>
  <si>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</si>
  <si>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</si>
  <si>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</si>
  <si>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</si>
  <si>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</si>
  <si>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</si>
  <si>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</si>
  <si>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</si>
  <si>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</si>
  <si>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</si>
  <si>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</si>
  <si>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</si>
  <si>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</si>
  <si>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</si>
  <si>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</si>
  <si>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</si>
  <si>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</si>
  <si>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</si>
  <si>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</si>
  <si>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</si>
  <si>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</si>
  <si>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</si>
  <si>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</si>
  <si>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</si>
  <si>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</si>
  <si>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</si>
  <si>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</si>
  <si>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</si>
  <si>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</si>
  <si>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</si>
  <si>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</si>
  <si>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</si>
  <si>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</si>
  <si>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</si>
  <si>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</si>
  <si>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</si>
  <si>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</si>
  <si>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</si>
  <si>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</si>
  <si>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</si>
  <si>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</si>
  <si>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</si>
  <si>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</si>
  <si>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</si>
  <si>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</si>
  <si>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</si>
  <si>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</si>
  <si>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</si>
  <si>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</si>
  <si>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</si>
  <si>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</si>
  <si>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</si>
  <si>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</si>
  <si>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</si>
  <si>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</si>
  <si>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</si>
  <si>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</si>
  <si>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</si>
  <si>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</si>
  <si>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</si>
  <si>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</si>
  <si>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</si>
  <si>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</si>
  <si>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</si>
  <si>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</si>
  <si>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</si>
  <si>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</si>
  <si>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</si>
  <si>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</si>
  <si>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</si>
  <si>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</si>
  <si>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</si>
  <si>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</si>
  <si>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</si>
  <si>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</si>
  <si>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</si>
  <si>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</si>
  <si>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</si>
  <si>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</si>
  <si>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</si>
  <si>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</si>
  <si>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</si>
  <si>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</si>
  <si>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</si>
  <si>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</si>
  <si>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</si>
  <si>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</si>
  <si>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</si>
  <si>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</si>
  <si>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</si>
  <si>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</si>
  <si>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</si>
  <si>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</si>
  <si>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</si>
  <si>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</si>
  <si>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</si>
  <si>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</si>
  <si>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</si>
  <si>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</si>
  <si>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</si>
  <si>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</si>
  <si>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</si>
  <si>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</si>
  <si>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</si>
  <si>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</si>
  <si>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</si>
  <si>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</si>
  <si>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</si>
  <si>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</si>
  <si>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</si>
  <si>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</si>
  <si>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</si>
  <si>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</si>
  <si>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</si>
  <si>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</si>
  <si>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</si>
  <si>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</si>
  <si>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</si>
  <si>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</si>
  <si>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</si>
  <si>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</si>
  <si>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</si>
  <si>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</si>
  <si>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</si>
  <si>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</si>
  <si>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</si>
  <si>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</si>
  <si>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</si>
  <si>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</si>
  <si>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</si>
  <si>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</si>
  <si>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</si>
  <si>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</si>
  <si>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</si>
  <si>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</si>
  <si>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</si>
  <si>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</si>
  <si>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</si>
  <si>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</si>
  <si>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</si>
  <si>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</si>
  <si>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</si>
  <si>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</si>
  <si>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</si>
  <si>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</si>
  <si>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</si>
  <si>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</si>
  <si>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</si>
  <si>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</si>
  <si>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</si>
  <si>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</si>
  <si>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</si>
  <si>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</si>
  <si>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</si>
  <si>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</si>
  <si>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</si>
  <si>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</si>
  <si>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</si>
  <si>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</si>
  <si>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</si>
  <si>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</si>
  <si>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</si>
  <si>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</si>
  <si>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</si>
  <si>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</si>
  <si>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</si>
  <si>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</si>
  <si>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</si>
  <si>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</si>
  <si>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</si>
  <si>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</si>
  <si>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</si>
  <si>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</si>
  <si>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</si>
  <si>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</si>
  <si>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</si>
  <si>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</si>
  <si>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</si>
  <si>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</si>
  <si>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</si>
  <si>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</si>
  <si>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</si>
  <si>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</si>
  <si>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</si>
  <si>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</si>
  <si>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</si>
  <si>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</si>
  <si>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</si>
  <si>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</si>
  <si>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</si>
  <si>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</si>
  <si>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</si>
  <si>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</si>
  <si>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</si>
  <si>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</si>
  <si>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</si>
  <si>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</si>
  <si>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</si>
  <si>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</si>
  <si>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</si>
  <si>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</si>
  <si>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</si>
  <si>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</si>
  <si>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</si>
  <si>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</si>
  <si>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</si>
  <si>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</si>
  <si>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</si>
  <si>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</si>
  <si>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</si>
  <si>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</si>
  <si>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</si>
  <si>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</si>
  <si>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</si>
  <si>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</si>
  <si>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</si>
  <si>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</si>
  <si>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</si>
  <si>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</si>
  <si>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</si>
  <si>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</si>
  <si>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</si>
  <si>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</si>
  <si>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</si>
  <si>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</si>
  <si>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</si>
  <si>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</si>
  <si>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</si>
  <si>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</si>
  <si>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</si>
  <si>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</si>
  <si>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</si>
  <si>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</si>
  <si>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</si>
  <si>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</si>
  <si>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</si>
  <si>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</si>
  <si>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</si>
  <si>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</si>
  <si>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</si>
  <si>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</si>
  <si>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</si>
  <si>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</si>
  <si>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</si>
  <si>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</si>
  <si>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</si>
  <si>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</si>
  <si>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</si>
  <si>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</si>
  <si>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</si>
  <si>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</si>
  <si>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</si>
  <si>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</si>
  <si>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</si>
  <si>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</si>
  <si>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</si>
  <si>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</si>
  <si>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</si>
  <si>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</si>
  <si>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</si>
  <si>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</si>
  <si>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</si>
  <si>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</si>
  <si>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</si>
  <si>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</si>
  <si>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</si>
  <si>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</si>
  <si>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</si>
  <si>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</si>
  <si>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</si>
  <si>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</si>
  <si>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</si>
  <si>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</si>
  <si>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</si>
  <si>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</si>
  <si>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</si>
  <si>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</si>
  <si>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</si>
  <si>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</si>
  <si>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</si>
  <si>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</si>
  <si>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</si>
  <si>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</si>
  <si>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</si>
  <si>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</si>
  <si>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</si>
  <si>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</si>
  <si>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</si>
  <si>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</si>
  <si>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</si>
  <si>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</si>
  <si>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</si>
  <si>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</si>
  <si>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</si>
  <si>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</si>
  <si>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</si>
  <si>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</si>
  <si>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</si>
  <si>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</si>
  <si>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</si>
  <si>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</si>
  <si>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</si>
  <si>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</si>
  <si>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</si>
  <si>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</si>
  <si>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</si>
  <si>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</si>
  <si>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</si>
  <si>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</si>
  <si>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</si>
  <si>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</si>
  <si>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</si>
  <si>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</si>
  <si>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</si>
  <si>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</si>
  <si>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</si>
  <si>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</si>
  <si>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</si>
  <si>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</si>
  <si>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</si>
  <si>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</si>
  <si>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</si>
  <si>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</si>
  <si>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</si>
  <si>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</si>
  <si>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</si>
  <si>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</si>
  <si>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</si>
  <si>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</si>
  <si>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</si>
  <si>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</si>
  <si>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</si>
  <si>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</si>
  <si>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</si>
  <si>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</si>
  <si>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</si>
  <si>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</si>
  <si>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</si>
  <si>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</si>
  <si>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</si>
  <si>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</si>
  <si>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</si>
  <si>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</si>
  <si>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</si>
  <si>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</si>
  <si>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</si>
  <si>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</si>
  <si>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</si>
  <si>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</si>
  <si>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</si>
  <si>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</si>
  <si>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</si>
  <si>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</si>
  <si>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</si>
  <si>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</si>
  <si>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</si>
  <si>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</si>
  <si>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</si>
  <si>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</si>
  <si>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</si>
  <si>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</si>
  <si>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</si>
  <si>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</si>
  <si>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</si>
  <si>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</si>
  <si>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</si>
  <si>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</si>
  <si>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</si>
  <si>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</si>
  <si>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</si>
  <si>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</si>
  <si>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</si>
  <si>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</si>
  <si>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</si>
  <si>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</si>
  <si>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</si>
  <si>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</si>
  <si>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</si>
  <si>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</si>
  <si>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</si>
  <si>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</si>
  <si>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</si>
  <si>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</si>
  <si>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</si>
  <si>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</si>
  <si>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</si>
  <si>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</si>
  <si>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</si>
  <si>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</si>
  <si>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</si>
  <si>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</si>
  <si>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</si>
  <si>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</si>
  <si>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</si>
  <si>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</si>
  <si>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</si>
  <si>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</si>
  <si>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</si>
  <si>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</si>
  <si>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</si>
  <si>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</si>
  <si>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</si>
  <si>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</si>
  <si>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</si>
  <si>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</si>
  <si>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</si>
  <si>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</si>
  <si>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</si>
  <si>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</si>
  <si>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</si>
  <si>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</si>
  <si>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</si>
  <si>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</si>
  <si>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</si>
  <si>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</si>
  <si>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</si>
  <si>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</si>
  <si>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</si>
  <si>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</si>
  <si>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</si>
  <si>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</si>
  <si>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</si>
  <si>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</si>
  <si>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</si>
  <si>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</si>
  <si>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</si>
  <si>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</si>
  <si>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</si>
  <si>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</si>
  <si>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</si>
  <si>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</si>
  <si>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</si>
  <si>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</si>
  <si>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</si>
  <si>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</si>
  <si>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</si>
  <si>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</si>
  <si>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</si>
  <si>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</si>
  <si>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</si>
  <si>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</si>
  <si>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</si>
  <si>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</si>
  <si>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</si>
  <si>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</si>
  <si>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</si>
  <si>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</si>
  <si>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</si>
  <si>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</si>
  <si>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</si>
  <si>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</si>
  <si>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</si>
  <si>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</si>
  <si>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</si>
  <si>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</si>
  <si>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</si>
  <si>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</si>
  <si>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</si>
  <si>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</si>
  <si>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</si>
  <si>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</si>
  <si>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</si>
  <si>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</si>
  <si>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</si>
  <si>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</si>
  <si>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</si>
  <si>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</si>
  <si>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</si>
  <si>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</si>
  <si>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</si>
  <si>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</si>
  <si>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</si>
  <si>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</si>
  <si>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</si>
  <si>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</si>
  <si>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</si>
  <si>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</si>
  <si>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</si>
  <si>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</si>
  <si>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</si>
  <si>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</si>
  <si>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</si>
  <si>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</si>
  <si>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</si>
  <si>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</si>
  <si>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</si>
  <si>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</si>
  <si>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</si>
  <si>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</si>
  <si>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</si>
  <si>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</si>
  <si>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</si>
  <si>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</si>
  <si>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</si>
  <si>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</si>
  <si>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</si>
  <si>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</si>
  <si>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</si>
  <si>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</si>
  <si>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</si>
  <si>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</si>
  <si>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</si>
  <si>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</si>
  <si>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</si>
  <si>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</si>
  <si>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</si>
  <si>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</si>
  <si>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</si>
  <si>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</si>
  <si>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</si>
  <si>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</si>
  <si>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</si>
  <si>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</si>
  <si>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</si>
  <si>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</si>
  <si>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</si>
  <si>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</si>
  <si>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</si>
  <si>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</si>
  <si>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</si>
  <si>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</si>
  <si>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</si>
  <si>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</si>
  <si>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</si>
  <si>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</si>
  <si>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</si>
  <si>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</si>
  <si>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</si>
  <si>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</si>
  <si>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</si>
  <si>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</si>
  <si>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</si>
  <si>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</si>
  <si>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</si>
  <si>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</si>
  <si>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</si>
  <si>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</si>
  <si>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</si>
  <si>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</si>
  <si>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</si>
  <si>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</si>
  <si>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</si>
  <si>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</si>
  <si>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</si>
  <si>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</si>
  <si>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</si>
  <si>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</si>
  <si>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</si>
  <si>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</si>
  <si>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</si>
  <si>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</si>
  <si>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</si>
  <si>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</si>
  <si>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</si>
  <si>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</si>
  <si>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</si>
  <si>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</si>
  <si>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</si>
  <si>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</si>
  <si>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</si>
  <si>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</si>
  <si>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</si>
  <si>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</si>
  <si>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</si>
  <si>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</si>
  <si>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</si>
  <si>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</si>
  <si>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</si>
  <si>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</si>
  <si>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</si>
  <si>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</si>
  <si>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</si>
  <si>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</si>
  <si>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</si>
  <si>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</si>
  <si>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</si>
  <si>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</si>
  <si>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</si>
  <si>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</si>
  <si>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</si>
  <si>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</si>
  <si>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</si>
  <si>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</si>
  <si>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</si>
  <si>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</si>
  <si>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</si>
  <si>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</si>
  <si>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</si>
  <si>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</si>
  <si>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</si>
  <si>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</si>
  <si>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</si>
  <si>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</si>
  <si>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</si>
  <si>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</si>
  <si>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</si>
  <si>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</si>
  <si>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</si>
  <si>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</si>
  <si>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</si>
  <si>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</si>
  <si>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</si>
  <si>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</si>
  <si>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</si>
  <si>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</si>
  <si>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</si>
  <si>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</si>
  <si>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</si>
  <si>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</si>
  <si>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</si>
  <si>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</si>
  <si>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</si>
  <si>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</si>
  <si>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</si>
  <si>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</si>
  <si>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</si>
  <si>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</si>
  <si>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</si>
  <si>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</si>
  <si>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</si>
  <si>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</si>
  <si>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</si>
  <si>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</si>
  <si>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</si>
  <si>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</si>
  <si>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</si>
  <si>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</si>
  <si>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</si>
  <si>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</si>
  <si>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</si>
  <si>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</si>
  <si>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</si>
  <si>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</si>
  <si>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</si>
  <si>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</si>
  <si>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</si>
  <si>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</si>
  <si>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</si>
  <si>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</si>
  <si>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</si>
  <si>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</si>
  <si>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</si>
  <si>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</si>
  <si>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</si>
  <si>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</si>
  <si>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</si>
  <si>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</si>
  <si>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</si>
  <si>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</si>
  <si>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</si>
  <si>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</si>
  <si>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</si>
  <si>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</si>
  <si>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</si>
  <si>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</si>
  <si>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</si>
  <si>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</si>
  <si>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</si>
  <si>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</si>
  <si>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</si>
  <si>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</si>
  <si>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</si>
  <si>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</si>
  <si>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</si>
  <si>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</si>
  <si>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</si>
  <si>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</si>
  <si>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</si>
  <si>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</si>
  <si>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</si>
  <si>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</si>
  <si>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</si>
  <si>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</si>
  <si>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</si>
  <si>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</si>
  <si>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</si>
  <si>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</si>
  <si>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</si>
  <si>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</si>
  <si>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</si>
  <si>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</si>
  <si>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</si>
  <si>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</si>
  <si>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</si>
  <si>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</si>
  <si>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</si>
  <si>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</si>
  <si>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</si>
  <si>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</si>
  <si>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</si>
  <si>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</si>
  <si>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</si>
  <si>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</si>
  <si>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</si>
  <si>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</si>
  <si>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</si>
  <si>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</si>
  <si>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</si>
  <si>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</si>
  <si>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</si>
  <si>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</si>
  <si>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</si>
  <si>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</si>
  <si>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</si>
  <si>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</si>
  <si>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</si>
  <si>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</si>
  <si>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</si>
  <si>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</si>
  <si>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</si>
  <si>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</si>
  <si>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</si>
  <si>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</si>
  <si>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</si>
  <si>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</si>
  <si>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</si>
  <si>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</si>
  <si>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</si>
  <si>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</si>
  <si>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</si>
  <si>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</si>
  <si>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</si>
  <si>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</si>
  <si>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</si>
  <si>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</si>
  <si>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</si>
  <si>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</si>
  <si>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</si>
  <si>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</si>
  <si>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</si>
  <si>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</si>
  <si>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</si>
  <si>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</si>
  <si>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</si>
  <si>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</si>
  <si>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</si>
  <si>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</si>
  <si>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</si>
  <si>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</si>
  <si>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</si>
  <si>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</si>
  <si>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</si>
  <si>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</si>
  <si>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</si>
  <si>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</si>
  <si>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</si>
  <si>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</si>
  <si>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</si>
  <si>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</si>
  <si>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</si>
  <si>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</si>
  <si>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</si>
  <si>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</si>
  <si>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</si>
  <si>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</si>
  <si>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</si>
  <si>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</si>
  <si>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</si>
  <si>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</si>
  <si>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</si>
  <si>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</si>
  <si>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</si>
  <si>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</si>
  <si>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</si>
  <si>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</si>
  <si>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</si>
  <si>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</si>
  <si>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</si>
  <si>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</si>
  <si>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</si>
  <si>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</si>
  <si>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</si>
  <si>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抵押</t>
  </si>
  <si>
    <t>房地产抵押价值</t>
  </si>
  <si>
    <t>企业</t>
  </si>
  <si>
    <t>出让</t>
  </si>
  <si>
    <t>正常</t>
  </si>
  <si>
    <t>押一</t>
  </si>
  <si>
    <t>欧红伟</t>
  </si>
  <si>
    <t>崔锴</t>
  </si>
  <si>
    <t>上海尚地投资发展有限公司</t>
    <phoneticPr fontId="3" type="noConversion"/>
  </si>
  <si>
    <t>北京朝阳区太阳宫乡0301-616地块</t>
    <phoneticPr fontId="3" type="noConversion"/>
  </si>
  <si>
    <t>绿地集团北京京凯置业有限公司</t>
    <phoneticPr fontId="3" type="noConversion"/>
  </si>
  <si>
    <t>办公、商业、地下商业、地下车库</t>
    <phoneticPr fontId="3" type="noConversion"/>
  </si>
  <si>
    <t>《建设工程规划许可证》[2016规（朝）建字0049号]及附件、附图</t>
    <phoneticPr fontId="3" type="noConversion"/>
  </si>
  <si>
    <t>《不动产权证书》[京（2016）朝阳区不动产权第0000100号]、《建设工程规划许可证》[2016规（朝）建字0049号]及附件、附图</t>
    <phoneticPr fontId="3" type="noConversion"/>
  </si>
  <si>
    <t>否</t>
  </si>
  <si>
    <t>办公项目</t>
  </si>
  <si>
    <t>无</t>
  </si>
  <si>
    <t>在建</t>
  </si>
  <si>
    <t>通路</t>
  </si>
  <si>
    <t>通电</t>
  </si>
  <si>
    <t>通讯</t>
  </si>
  <si>
    <t>通上水</t>
  </si>
  <si>
    <t>通下水</t>
  </si>
  <si>
    <t>1#办公楼</t>
    <phoneticPr fontId="3" type="noConversion"/>
  </si>
  <si>
    <t>2#商业楼</t>
    <phoneticPr fontId="3" type="noConversion"/>
  </si>
  <si>
    <t>3#商业楼</t>
    <phoneticPr fontId="3" type="noConversion"/>
  </si>
  <si>
    <t>4#商业楼</t>
  </si>
  <si>
    <t>5#商业楼</t>
  </si>
  <si>
    <t>地上</t>
  </si>
  <si>
    <t>办公楼</t>
  </si>
  <si>
    <t>底商</t>
  </si>
  <si>
    <t>地下</t>
  </si>
  <si>
    <t>车库—办公</t>
  </si>
  <si>
    <t>车库</t>
  </si>
  <si>
    <t>——</t>
    <phoneticPr fontId="3" type="noConversion"/>
  </si>
  <si>
    <r>
      <rPr>
        <sz val="11"/>
        <color indexed="8"/>
        <rFont val="楷体_GB2312"/>
        <family val="3"/>
        <charset val="134"/>
      </rPr>
      <t>成本法</t>
    </r>
    <phoneticPr fontId="3" type="noConversion"/>
  </si>
  <si>
    <r>
      <rPr>
        <sz val="11"/>
        <color indexed="8"/>
        <rFont val="楷体_GB2312"/>
        <family val="3"/>
        <charset val="134"/>
      </rPr>
      <t>平层住宅</t>
    </r>
    <phoneticPr fontId="3" type="noConversion"/>
  </si>
  <si>
    <t>成本法 (元)</t>
    <phoneticPr fontId="3" type="noConversion"/>
  </si>
  <si>
    <r>
      <t>LOFT</t>
    </r>
    <r>
      <rPr>
        <sz val="11"/>
        <color indexed="8"/>
        <rFont val="楷体_GB2312"/>
        <family val="3"/>
        <charset val="134"/>
      </rPr>
      <t>住宅</t>
    </r>
    <phoneticPr fontId="3" type="noConversion"/>
  </si>
  <si>
    <r>
      <rPr>
        <sz val="11"/>
        <color indexed="8"/>
        <rFont val="楷体_GB2312"/>
        <family val="3"/>
        <charset val="134"/>
      </rPr>
      <t>假设开发法</t>
    </r>
    <phoneticPr fontId="3" type="noConversion"/>
  </si>
  <si>
    <r>
      <rPr>
        <sz val="11"/>
        <color indexed="8"/>
        <rFont val="楷体_GB2312"/>
        <family val="3"/>
        <charset val="134"/>
      </rPr>
      <t>普通住宅</t>
    </r>
    <phoneticPr fontId="3" type="noConversion"/>
  </si>
  <si>
    <t>收益法</t>
    <phoneticPr fontId="3" type="noConversion"/>
  </si>
  <si>
    <r>
      <rPr>
        <sz val="11"/>
        <color indexed="8"/>
        <rFont val="楷体_GB2312"/>
        <family val="3"/>
        <charset val="134"/>
      </rPr>
      <t>公寓</t>
    </r>
    <phoneticPr fontId="3" type="noConversion"/>
  </si>
  <si>
    <t>收益法 (元)</t>
    <phoneticPr fontId="3" type="noConversion"/>
  </si>
  <si>
    <r>
      <rPr>
        <sz val="11"/>
        <color indexed="8"/>
        <rFont val="楷体_GB2312"/>
        <family val="3"/>
        <charset val="134"/>
      </rPr>
      <t>洋房</t>
    </r>
    <phoneticPr fontId="3" type="noConversion"/>
  </si>
  <si>
    <t>收益法（汇总）</t>
    <phoneticPr fontId="3" type="noConversion"/>
  </si>
  <si>
    <r>
      <rPr>
        <sz val="11"/>
        <color indexed="8"/>
        <rFont val="楷体_GB2312"/>
        <family val="3"/>
        <charset val="134"/>
      </rPr>
      <t>叠拼</t>
    </r>
    <phoneticPr fontId="3" type="noConversion"/>
  </si>
  <si>
    <r>
      <rPr>
        <sz val="11"/>
        <color indexed="8"/>
        <rFont val="楷体_GB2312"/>
        <family val="3"/>
        <charset val="134"/>
      </rPr>
      <t>比较法-住宅</t>
    </r>
    <phoneticPr fontId="3" type="noConversion"/>
  </si>
  <si>
    <r>
      <rPr>
        <sz val="11"/>
        <color indexed="8"/>
        <rFont val="楷体_GB2312"/>
        <family val="3"/>
        <charset val="134"/>
      </rPr>
      <t>联排</t>
    </r>
    <phoneticPr fontId="3" type="noConversion"/>
  </si>
  <si>
    <r>
      <rPr>
        <sz val="11"/>
        <color indexed="8"/>
        <rFont val="楷体_GB2312"/>
        <family val="3"/>
        <charset val="134"/>
      </rPr>
      <t>比较法-商业</t>
    </r>
    <phoneticPr fontId="3" type="noConversion"/>
  </si>
  <si>
    <r>
      <rPr>
        <sz val="11"/>
        <color indexed="8"/>
        <rFont val="楷体_GB2312"/>
        <family val="3"/>
        <charset val="134"/>
      </rPr>
      <t>双拼</t>
    </r>
    <phoneticPr fontId="3" type="noConversion"/>
  </si>
  <si>
    <r>
      <rPr>
        <sz val="11"/>
        <color indexed="8"/>
        <rFont val="楷体_GB2312"/>
        <family val="3"/>
        <charset val="134"/>
      </rPr>
      <t>比较法-办公</t>
    </r>
    <phoneticPr fontId="3" type="noConversion"/>
  </si>
  <si>
    <r>
      <rPr>
        <sz val="11"/>
        <color indexed="8"/>
        <rFont val="楷体_GB2312"/>
        <family val="3"/>
        <charset val="134"/>
      </rPr>
      <t>独栋</t>
    </r>
    <phoneticPr fontId="3" type="noConversion"/>
  </si>
  <si>
    <r>
      <rPr>
        <sz val="11"/>
        <color indexed="8"/>
        <rFont val="楷体_GB2312"/>
        <family val="3"/>
        <charset val="134"/>
      </rPr>
      <t>比较法-工业</t>
    </r>
    <phoneticPr fontId="3" type="noConversion"/>
  </si>
  <si>
    <r>
      <rPr>
        <sz val="11"/>
        <color indexed="8"/>
        <rFont val="楷体_GB2312"/>
        <family val="3"/>
        <charset val="134"/>
      </rPr>
      <t>底商</t>
    </r>
    <phoneticPr fontId="3" type="noConversion"/>
  </si>
  <si>
    <r>
      <rPr>
        <sz val="11"/>
        <color indexed="8"/>
        <rFont val="楷体_GB2312"/>
        <family val="3"/>
        <charset val="134"/>
      </rPr>
      <t>比较法-车位</t>
    </r>
    <phoneticPr fontId="3" type="noConversion"/>
  </si>
  <si>
    <r>
      <rPr>
        <sz val="11"/>
        <color indexed="8"/>
        <rFont val="楷体_GB2312"/>
        <family val="3"/>
        <charset val="134"/>
      </rPr>
      <t>独立商业</t>
    </r>
    <phoneticPr fontId="3" type="noConversion"/>
  </si>
  <si>
    <r>
      <rPr>
        <sz val="11"/>
        <color indexed="8"/>
        <rFont val="楷体_GB2312"/>
        <family val="3"/>
        <charset val="134"/>
      </rPr>
      <t>比较法-仓储</t>
    </r>
    <phoneticPr fontId="3" type="noConversion"/>
  </si>
  <si>
    <r>
      <rPr>
        <sz val="11"/>
        <color indexed="8"/>
        <rFont val="楷体_GB2312"/>
        <family val="3"/>
        <charset val="134"/>
      </rPr>
      <t>商业街</t>
    </r>
    <phoneticPr fontId="3" type="noConversion"/>
  </si>
  <si>
    <r>
      <rPr>
        <sz val="11"/>
        <color indexed="8"/>
        <rFont val="楷体_GB2312"/>
        <family val="3"/>
        <charset val="134"/>
      </rPr>
      <t>土地比较法-住宅、综合</t>
    </r>
    <phoneticPr fontId="3" type="noConversion"/>
  </si>
  <si>
    <r>
      <rPr>
        <sz val="11"/>
        <color indexed="8"/>
        <rFont val="楷体_GB2312"/>
        <family val="3"/>
        <charset val="134"/>
      </rPr>
      <t>酒店</t>
    </r>
    <phoneticPr fontId="3" type="noConversion"/>
  </si>
  <si>
    <r>
      <rPr>
        <sz val="11"/>
        <color indexed="8"/>
        <rFont val="楷体_GB2312"/>
        <family val="3"/>
        <charset val="134"/>
      </rPr>
      <t>土地比较法-工业</t>
    </r>
    <phoneticPr fontId="3" type="noConversion"/>
  </si>
  <si>
    <r>
      <rPr>
        <sz val="11"/>
        <color indexed="8"/>
        <rFont val="楷体_GB2312"/>
        <family val="3"/>
        <charset val="134"/>
      </rPr>
      <t>标准厂房</t>
    </r>
    <phoneticPr fontId="3" type="noConversion"/>
  </si>
  <si>
    <t>基准地价修正</t>
    <phoneticPr fontId="3" type="noConversion"/>
  </si>
  <si>
    <r>
      <rPr>
        <sz val="11"/>
        <color indexed="8"/>
        <rFont val="楷体_GB2312"/>
        <family val="3"/>
        <charset val="134"/>
      </rPr>
      <t>特殊厂房</t>
    </r>
    <phoneticPr fontId="3" type="noConversion"/>
  </si>
  <si>
    <t>收益法-办公</t>
    <phoneticPr fontId="3" type="noConversion"/>
  </si>
  <si>
    <r>
      <rPr>
        <sz val="11"/>
        <color indexed="8"/>
        <rFont val="楷体_GB2312"/>
        <family val="3"/>
        <charset val="134"/>
      </rPr>
      <t>办公楼</t>
    </r>
    <phoneticPr fontId="3" type="noConversion"/>
  </si>
  <si>
    <t>收益法-商业</t>
    <phoneticPr fontId="3" type="noConversion"/>
  </si>
  <si>
    <r>
      <rPr>
        <sz val="11"/>
        <color indexed="8"/>
        <rFont val="楷体_GB2312"/>
        <family val="3"/>
        <charset val="134"/>
      </rPr>
      <t>宿舍</t>
    </r>
    <phoneticPr fontId="3" type="noConversion"/>
  </si>
  <si>
    <t>*</t>
    <phoneticPr fontId="3" type="noConversion"/>
  </si>
  <si>
    <r>
      <rPr>
        <sz val="11"/>
        <color indexed="8"/>
        <rFont val="楷体_GB2312"/>
        <family val="3"/>
        <charset val="134"/>
      </rPr>
      <t>食堂</t>
    </r>
    <phoneticPr fontId="3" type="noConversion"/>
  </si>
  <si>
    <r>
      <rPr>
        <sz val="11"/>
        <color indexed="8"/>
        <rFont val="楷体_GB2312"/>
        <family val="3"/>
        <charset val="134"/>
      </rPr>
      <t>车库</t>
    </r>
    <phoneticPr fontId="3" type="noConversion"/>
  </si>
  <si>
    <r>
      <rPr>
        <sz val="11"/>
        <color indexed="8"/>
        <rFont val="楷体_GB2312"/>
        <family val="3"/>
        <charset val="134"/>
      </rPr>
      <t>戊类库房</t>
    </r>
    <phoneticPr fontId="3" type="noConversion"/>
  </si>
  <si>
    <r>
      <rPr>
        <sz val="11"/>
        <color indexed="8"/>
        <rFont val="楷体_GB2312"/>
        <family val="3"/>
        <charset val="134"/>
      </rPr>
      <t>燃品库房</t>
    </r>
    <phoneticPr fontId="3" type="noConversion"/>
  </si>
  <si>
    <r>
      <rPr>
        <sz val="11"/>
        <color indexed="8"/>
        <rFont val="楷体_GB2312"/>
        <family val="3"/>
        <charset val="134"/>
      </rPr>
      <t>非燃品库房</t>
    </r>
    <phoneticPr fontId="3" type="noConversion"/>
  </si>
  <si>
    <r>
      <rPr>
        <sz val="11"/>
        <color indexed="8"/>
        <rFont val="楷体_GB2312"/>
        <family val="3"/>
        <charset val="134"/>
      </rPr>
      <t>限价商品房</t>
    </r>
    <phoneticPr fontId="3" type="noConversion"/>
  </si>
  <si>
    <r>
      <rPr>
        <sz val="11"/>
        <color indexed="8"/>
        <rFont val="楷体_GB2312"/>
        <family val="3"/>
        <charset val="134"/>
      </rPr>
      <t>自住商品房</t>
    </r>
    <phoneticPr fontId="3" type="noConversion"/>
  </si>
  <si>
    <t>办公</t>
    <phoneticPr fontId="3" type="noConversion"/>
  </si>
  <si>
    <t>商业</t>
    <phoneticPr fontId="3" type="noConversion"/>
  </si>
  <si>
    <t>地下车库</t>
    <phoneticPr fontId="3" type="noConversion"/>
  </si>
  <si>
    <t>工程进度</t>
  </si>
  <si>
    <t>商务金融用地（办公类）</t>
  </si>
  <si>
    <t>不临58条商业街</t>
  </si>
  <si>
    <t>五通一平</t>
  </si>
  <si>
    <t>缺少</t>
  </si>
  <si>
    <t>通热</t>
  </si>
  <si>
    <t>燃气</t>
  </si>
  <si>
    <t>容积率修正</t>
  </si>
  <si>
    <t>季度增幅（自定义）</t>
  </si>
  <si>
    <t>商务金融用地（商业类）</t>
  </si>
  <si>
    <t>楼层修正</t>
  </si>
  <si>
    <t>朝阳区北土城中路北侧OS-06A、OS-10B地块</t>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</si>
  <si>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</si>
  <si>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</si>
  <si>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</si>
  <si>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t>较好</t>
  </si>
  <si>
    <t>七通</t>
  </si>
  <si>
    <t>多面临街</t>
  </si>
  <si>
    <t>高速公路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</si>
  <si>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</si>
  <si>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</si>
  <si>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</si>
  <si>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</si>
  <si>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</si>
  <si>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</si>
  <si>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</si>
  <si>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</si>
  <si>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一般</t>
  </si>
  <si>
    <t>一般</t>
    <phoneticPr fontId="31" type="noConversion"/>
  </si>
  <si>
    <t>较适宜</t>
  </si>
  <si>
    <t>较适宜</t>
    <phoneticPr fontId="31" type="noConversion"/>
  </si>
  <si>
    <t>较好</t>
    <phoneticPr fontId="31" type="noConversion"/>
  </si>
  <si>
    <t>五通</t>
  </si>
  <si>
    <t>朝阳区孙河乡西甸村2902-71地块</t>
    <phoneticPr fontId="3" type="noConversion"/>
  </si>
  <si>
    <t>较差</t>
  </si>
  <si>
    <t>双面临街</t>
  </si>
  <si>
    <t>估价对象位于三元桥商圈，周边有凤凰汇购物中心等，人流量较大，商业繁华度较好</t>
    <phoneticPr fontId="3" type="noConversion"/>
  </si>
  <si>
    <t>估价对象位于三元桥商圈，周边有佳程广场、南银大厦等，入驻率高，办公集聚程度较好</t>
    <phoneticPr fontId="3" type="noConversion"/>
  </si>
  <si>
    <t>估价对象周边有405、641等公交线路及地铁10号线经过，综合评价交通便捷度较好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</si>
  <si>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</si>
  <si>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</si>
  <si>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区域自然环境：；人文环境；综合评价环境状况较好</t>
    <phoneticPr fontId="3" type="noConversion"/>
  </si>
  <si>
    <t>城市支路</t>
    <phoneticPr fontId="3" type="noConversion"/>
  </si>
  <si>
    <t>零星有其他用地，基本不影响本宗地</t>
    <phoneticPr fontId="3" type="noConversion"/>
  </si>
  <si>
    <t>海淀区“海淀北部地区整体开发”中关村环保科技园HD-0303-0071地块</t>
    <phoneticPr fontId="3" type="noConversion"/>
  </si>
  <si>
    <t>已包含在土地取得成本中</t>
  </si>
  <si>
    <t>全部缴纳</t>
  </si>
  <si>
    <t>收益法-办公</t>
  </si>
  <si>
    <t>收益法-商业</t>
  </si>
  <si>
    <t>在建（套用方法）</t>
  </si>
  <si>
    <t>钢混</t>
  </si>
  <si>
    <t>非生产用房</t>
  </si>
  <si>
    <r>
      <rPr>
        <b/>
        <sz val="16"/>
        <color indexed="10"/>
        <rFont val="楷体_GB2312"/>
        <family val="3"/>
        <charset val="134"/>
      </rPr>
      <t>比较法</t>
    </r>
    <phoneticPr fontId="3" type="noConversion"/>
  </si>
  <si>
    <r>
      <rPr>
        <b/>
        <sz val="16"/>
        <rFont val="宋体"/>
        <family val="3"/>
        <charset val="134"/>
      </rPr>
      <t>─</t>
    </r>
    <phoneticPr fontId="3" type="noConversion"/>
  </si>
  <si>
    <t>售价</t>
  </si>
  <si>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 type="noConversion"/>
  </si>
  <si>
    <r>
      <rPr>
        <b/>
        <sz val="12"/>
        <rFont val="楷体_GB2312"/>
        <family val="3"/>
        <charset val="134"/>
      </rPr>
      <t>总价</t>
    </r>
    <phoneticPr fontId="3" type="noConversion"/>
  </si>
  <si>
    <t>万元</t>
    <phoneticPr fontId="3" type="noConversion"/>
  </si>
  <si>
    <r>
      <rPr>
        <b/>
        <sz val="12"/>
        <rFont val="楷体_GB2312"/>
        <family val="3"/>
        <charset val="134"/>
      </rPr>
      <t>楼面单价</t>
    </r>
    <phoneticPr fontId="3" type="noConversion"/>
  </si>
  <si>
    <r>
      <rPr>
        <b/>
        <sz val="12"/>
        <rFont val="楷体_GB2312"/>
        <family val="3"/>
        <charset val="134"/>
      </rPr>
      <t>建筑面积</t>
    </r>
    <phoneticPr fontId="3" type="noConversion"/>
  </si>
  <si>
    <t>车位数</t>
    <phoneticPr fontId="3"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</si>
  <si>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</si>
  <si>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</si>
  <si>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</si>
  <si>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</si>
  <si>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</si>
  <si>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</si>
  <si>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</si>
  <si>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t xml:space="preserve">冠城大通澜石 </t>
    <phoneticPr fontId="3" type="noConversion"/>
  </si>
  <si>
    <t>国风北京</t>
    <phoneticPr fontId="3" type="noConversion"/>
  </si>
  <si>
    <t>广渠·金茂府</t>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</si>
  <si>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</si>
  <si>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</si>
  <si>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</si>
  <si>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t>100/</t>
    <phoneticPr fontId="3" type="noConversion"/>
  </si>
  <si>
    <r>
      <rPr>
        <b/>
        <sz val="11"/>
        <color indexed="8"/>
        <rFont val="楷体_GB2312"/>
        <family val="3"/>
        <charset val="134"/>
      </rPr>
      <t>交易情况</t>
    </r>
    <phoneticPr fontId="3" type="noConversion"/>
  </si>
  <si>
    <r>
      <rPr>
        <sz val="11"/>
        <color indexed="8"/>
        <rFont val="仿宋_GB2312"/>
        <family val="3"/>
        <charset val="134"/>
      </rPr>
      <t>正常</t>
    </r>
    <phoneticPr fontId="3" type="noConversion"/>
  </si>
  <si>
    <r>
      <rPr>
        <sz val="11"/>
        <color indexed="8"/>
        <rFont val="楷体_GB2312"/>
        <family val="3"/>
        <charset val="134"/>
      </rPr>
      <t>交易情况</t>
    </r>
    <phoneticPr fontId="3" type="noConversion"/>
  </si>
  <si>
    <t>100/</t>
    <phoneticPr fontId="3" type="noConversion"/>
  </si>
  <si>
    <r>
      <rPr>
        <b/>
        <sz val="11"/>
        <color indexed="8"/>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</si>
  <si>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</si>
  <si>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仿宋_GB2312"/>
        <family val="3"/>
        <charset val="134"/>
      </rPr>
      <t>车库</t>
    </r>
    <phoneticPr fontId="3" type="noConversion"/>
  </si>
  <si>
    <r>
      <rPr>
        <sz val="11"/>
        <color indexed="8"/>
        <rFont val="仿宋_GB2312"/>
        <family val="3"/>
        <charset val="134"/>
      </rPr>
      <t>车库</t>
    </r>
  </si>
  <si>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</si>
  <si>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</si>
  <si>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</si>
  <si>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t>40-50</t>
    </r>
    <r>
      <rPr>
        <sz val="11"/>
        <color indexed="8"/>
        <rFont val="仿宋_GB2312"/>
        <family val="3"/>
        <charset val="134"/>
      </rPr>
      <t>（含）</t>
    </r>
  </si>
  <si>
    <t>40-50（含）</t>
  </si>
  <si>
    <t>30-40（含）</t>
  </si>
  <si>
    <r>
      <rPr>
        <b/>
        <sz val="11"/>
        <rFont val="楷体_GB2312"/>
        <family val="3"/>
        <charset val="134"/>
      </rPr>
      <t>区位状况</t>
    </r>
    <phoneticPr fontId="3" type="noConversion"/>
  </si>
  <si>
    <r>
      <rPr>
        <sz val="11"/>
        <color indexed="8"/>
        <rFont val="楷体_GB2312"/>
        <family val="3"/>
        <charset val="134"/>
      </rPr>
      <t>交通便捷度</t>
    </r>
    <phoneticPr fontId="3" type="noConversion"/>
  </si>
  <si>
    <r>
      <rPr>
        <sz val="11"/>
        <rFont val="楷体_GB2312"/>
        <family val="3"/>
        <charset val="134"/>
      </rPr>
      <t>区位状况</t>
    </r>
    <phoneticPr fontId="3" type="noConversion"/>
  </si>
  <si>
    <t>公共配套设施</t>
    <phoneticPr fontId="3" type="noConversion"/>
  </si>
  <si>
    <r>
      <rPr>
        <sz val="11"/>
        <rFont val="仿宋_GB2312"/>
        <family val="3"/>
        <charset val="134"/>
      </rPr>
      <t>较好</t>
    </r>
  </si>
  <si>
    <t>基础设施水平</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</si>
  <si>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</si>
  <si>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</si>
  <si>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b/>
        <sz val="11"/>
        <rFont val="楷体_GB2312"/>
        <family val="3"/>
        <charset val="134"/>
      </rPr>
      <t>实物状况</t>
    </r>
    <phoneticPr fontId="3" type="noConversion"/>
  </si>
  <si>
    <r>
      <rPr>
        <sz val="11"/>
        <color indexed="8"/>
        <rFont val="楷体_GB2312"/>
        <family val="3"/>
        <charset val="134"/>
      </rPr>
      <t>配套类型</t>
    </r>
    <phoneticPr fontId="3" type="noConversion"/>
  </si>
  <si>
    <t>住宅</t>
  </si>
  <si>
    <r>
      <rPr>
        <sz val="11"/>
        <rFont val="仿宋_GB2312"/>
        <family val="3"/>
        <charset val="134"/>
      </rPr>
      <t>住宅</t>
    </r>
  </si>
  <si>
    <r>
      <rPr>
        <sz val="11"/>
        <rFont val="楷体_GB2312"/>
        <family val="3"/>
        <charset val="134"/>
      </rPr>
      <t>实物状况</t>
    </r>
    <phoneticPr fontId="3" type="noConversion"/>
  </si>
  <si>
    <r>
      <rPr>
        <sz val="11"/>
        <rFont val="楷体_GB2312"/>
        <family val="3"/>
        <charset val="134"/>
      </rPr>
      <t>实物状况</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</si>
  <si>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</si>
  <si>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公共部分装修</t>
    </r>
    <phoneticPr fontId="3" type="noConversion"/>
  </si>
  <si>
    <r>
      <rPr>
        <sz val="11"/>
        <rFont val="仿宋_GB2312"/>
        <family val="3"/>
        <charset val="134"/>
      </rPr>
      <t>普通装修</t>
    </r>
  </si>
  <si>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</si>
  <si>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</si>
  <si>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</si>
  <si>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</si>
  <si>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rFont val="仿宋_GB2312"/>
        <family val="3"/>
        <charset val="134"/>
      </rPr>
      <t>平面车位</t>
    </r>
  </si>
  <si>
    <r>
      <rPr>
        <sz val="11"/>
        <color indexed="8"/>
        <rFont val="楷体_GB2312"/>
        <family val="3"/>
        <charset val="134"/>
      </rPr>
      <t>是否直接入户</t>
    </r>
    <phoneticPr fontId="3" type="noConversion"/>
  </si>
  <si>
    <r>
      <rPr>
        <sz val="11"/>
        <rFont val="仿宋_GB2312"/>
        <family val="3"/>
        <charset val="134"/>
      </rPr>
      <t>否</t>
    </r>
  </si>
  <si>
    <t>成交单价</t>
    <phoneticPr fontId="3" type="noConversion"/>
  </si>
  <si>
    <t>元/车位</t>
  </si>
  <si>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</si>
  <si>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</si>
  <si>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</si>
  <si>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</si>
  <si>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</si>
  <si>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</si>
  <si>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</si>
  <si>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 type="noConversion"/>
  </si>
  <si>
    <r>
      <rPr>
        <b/>
        <sz val="11"/>
        <color indexed="8"/>
        <rFont val="楷体_GB2312"/>
        <family val="3"/>
        <charset val="134"/>
      </rPr>
      <t>交易情况</t>
    </r>
    <phoneticPr fontId="3" type="noConversion"/>
  </si>
  <si>
    <r>
      <rPr>
        <sz val="11"/>
        <color indexed="8"/>
        <rFont val="楷体_GB2312"/>
        <family val="3"/>
        <charset val="134"/>
      </rPr>
      <t>正常</t>
    </r>
    <phoneticPr fontId="3"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</si>
  <si>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</si>
  <si>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</si>
  <si>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楷体_GB2312"/>
        <family val="3"/>
        <charset val="134"/>
      </rPr>
      <t>土地使用年限（年）</t>
    </r>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</si>
  <si>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</si>
  <si>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</si>
  <si>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</si>
  <si>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</si>
  <si>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</si>
  <si>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</si>
  <si>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</si>
  <si>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</si>
  <si>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</si>
  <si>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</si>
  <si>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</si>
  <si>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</si>
  <si>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</si>
  <si>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</si>
  <si>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</si>
  <si>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</si>
  <si>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</si>
  <si>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</si>
  <si>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</si>
  <si>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</si>
  <si>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</si>
  <si>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</si>
  <si>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</si>
  <si>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楼层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</si>
  <si>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</si>
  <si>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</si>
  <si>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楷体_GB2312"/>
        <family val="3"/>
        <charset val="134"/>
      </rPr>
      <t>配套类型（地上主用途）</t>
    </r>
    <phoneticPr fontId="3" type="noConversion"/>
  </si>
  <si>
    <t>住宅</t>
    <phoneticPr fontId="3" type="noConversion"/>
  </si>
  <si>
    <r>
      <rPr>
        <sz val="11"/>
        <color indexed="8"/>
        <rFont val="楷体_GB2312"/>
        <family val="3"/>
        <charset val="134"/>
      </rPr>
      <t>公共部分装修</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</si>
  <si>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</si>
  <si>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</si>
  <si>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t>已全部缴纳</t>
  </si>
  <si>
    <t>项目全部</t>
  </si>
  <si>
    <t>成本法</t>
  </si>
  <si>
    <t>假设开发法</t>
  </si>
  <si>
    <t>较不规则</t>
    <phoneticPr fontId="31" type="noConversion"/>
  </si>
  <si>
    <t>不规则</t>
  </si>
  <si>
    <t>不规则</t>
    <phoneticPr fontId="31" type="noConversion"/>
  </si>
  <si>
    <t>2018-1-E000012</t>
    <phoneticPr fontId="6" type="noConversion"/>
  </si>
  <si>
    <t>兴业银行股份有限公司</t>
    <phoneticPr fontId="6" type="noConversion"/>
  </si>
  <si>
    <t>北京市</t>
  </si>
  <si>
    <t>普通装修</t>
  </si>
  <si>
    <t>平面车位</t>
  </si>
  <si>
    <t>车库</t>
    <phoneticPr fontId="32" type="noConversion"/>
  </si>
  <si>
    <t>普通装修</t>
    <phoneticPr fontId="32" type="noConversion"/>
  </si>
  <si>
    <t>未包含在土地购买价格中</t>
  </si>
  <si>
    <t>地下汽车库</t>
    <phoneticPr fontId="3" type="noConversion"/>
  </si>
  <si>
    <t>商业</t>
    <phoneticPr fontId="143" type="noConversion"/>
  </si>
  <si>
    <t>合计</t>
    <phoneticPr fontId="143" type="noConversion"/>
  </si>
  <si>
    <t>1层合计</t>
    <phoneticPr fontId="143" type="noConversion"/>
  </si>
  <si>
    <t>2层合计</t>
    <phoneticPr fontId="143" type="noConversion"/>
  </si>
  <si>
    <t xml:space="preserve"> </t>
    <phoneticPr fontId="143" type="noConversion"/>
  </si>
  <si>
    <t>地下商业</t>
  </si>
  <si>
    <t>地下商业</t>
    <phoneticPr fontId="7" type="noConversion"/>
  </si>
  <si>
    <t>地下商业</t>
    <phoneticPr fontId="143" type="noConversion"/>
  </si>
  <si>
    <t>收益法-地下商业</t>
  </si>
  <si>
    <t>收益法-地下商业</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</si>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</sst>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color theme="9" tint="-0.249977111117893"/>
      <name val="楷体_GB2312"/>
      <family val="3"/>
      <charset val="134"/>
    </font>
    <font>
      <sz val="12"/>
      <color indexed="8"/>
      <name val="仿宋_GB2312"/>
      <family val="3"/>
      <charset val="134"/>
    </font>
    <font>
      <sz val="12"/>
      <name val="楷体_GB2312"/>
      <family val="3"/>
      <charset val="134"/>
    </font>
    <font>
      <sz val="11"/>
      <color indexed="8"/>
      <name val="仿宋_GB2312"/>
      <family val="3"/>
      <charset val="134"/>
    </font>
    <font>
      <b/>
      <sz val="16"/>
      <name val="楷体_GB2312"/>
      <family val="3"/>
      <charset val="134"/>
    </font>
    <font>
      <b/>
      <sz val="11"/>
      <name val="楷体_GB2312"/>
      <family val="3"/>
      <charset val="134"/>
    </font>
    <font>
      <sz val="11"/>
      <name val="楷体_GB2312"/>
      <family val="3"/>
      <charset val="134"/>
    </font>
    <font>
      <sz val="11"/>
      <name val="仿宋_GB2312"/>
      <family val="3"/>
      <charset val="134"/>
    </font>
    <font>
      <b/>
      <sz val="11"/>
      <color indexed="8"/>
      <name val="楷体_GB2312"/>
      <family val="3"/>
      <charset val="134"/>
    </font>
    <font>
      <b/>
      <sz val="11"/>
      <color theme="9" tint="-0.249977111117893"/>
      <name val="楷体_GB2312"/>
      <family val="3"/>
      <charset val="134"/>
    </font>
    <font>
      <b/>
      <sz val="11"/>
      <color indexed="10"/>
      <name val="楷体_GB2312"/>
      <family val="3"/>
      <charset val="134"/>
    </font>
    <font>
      <b/>
      <sz val="16"/>
      <color indexed="8"/>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6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23" fillId="7" borderId="151" xfId="0" applyFont="1" applyFill="1" applyBorder="1" applyAlignment="1" applyProtection="1">
      <alignment vertical="center" wrapText="1"/>
      <protection locked="0"/>
    </xf>
    <xf numFmtId="49" fontId="256" fillId="0" borderId="4" xfId="0" applyNumberFormat="1" applyFont="1" applyFill="1" applyBorder="1" applyAlignment="1" applyProtection="1">
      <alignment horizontal="left" vertical="center"/>
      <protection locked="0"/>
    </xf>
    <xf numFmtId="0" fontId="23" fillId="7" borderId="54" xfId="0" applyFont="1" applyFill="1" applyBorder="1" applyAlignment="1" applyProtection="1">
      <alignment vertical="center" wrapText="1"/>
      <protection locked="0"/>
    </xf>
    <xf numFmtId="184" fontId="257" fillId="0" borderId="1" xfId="0" applyNumberFormat="1" applyFont="1" applyFill="1" applyBorder="1" applyAlignment="1" applyProtection="1">
      <alignment horizontal="center" vertical="center" shrinkToFit="1"/>
      <protection locked="0"/>
    </xf>
    <xf numFmtId="0" fontId="258" fillId="5" borderId="1" xfId="0" applyFont="1" applyFill="1" applyBorder="1" applyAlignment="1" applyProtection="1">
      <alignment horizontal="center" vertical="center" wrapText="1"/>
      <protection locked="0"/>
    </xf>
    <xf numFmtId="49" fontId="257"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22" fillId="5" borderId="2" xfId="0"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22" fillId="2" borderId="5" xfId="1" applyNumberFormat="1" applyFont="1" applyFill="1" applyBorder="1" applyAlignment="1" applyProtection="1">
      <alignment vertical="center"/>
      <protection locked="0"/>
    </xf>
    <xf numFmtId="0" fontId="106" fillId="5" borderId="23"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59" fillId="0" borderId="24" xfId="0" applyNumberFormat="1" applyFont="1" applyFill="1" applyBorder="1" applyAlignment="1" applyProtection="1">
      <alignment horizontal="center" vertical="center" wrapText="1"/>
      <protection locked="0"/>
    </xf>
    <xf numFmtId="0" fontId="259" fillId="0" borderId="24" xfId="0" applyFont="1" applyBorder="1" applyAlignment="1" applyProtection="1">
      <alignment horizontal="center" vertical="center" wrapText="1"/>
      <protection locked="0"/>
    </xf>
    <xf numFmtId="0" fontId="259"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2" borderId="88" xfId="10" applyFont="1" applyFill="1" applyBorder="1" applyAlignment="1" applyProtection="1">
      <alignment horizontal="right" vertical="center"/>
      <protection locked="0"/>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protection locked="0"/>
    </xf>
    <xf numFmtId="0" fontId="260"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protection locked="0"/>
    </xf>
    <xf numFmtId="189" fontId="65" fillId="6" borderId="88" xfId="10" applyNumberFormat="1" applyFont="1" applyFill="1" applyBorder="1" applyAlignment="1" applyProtection="1">
      <alignment horizontal="center" vertical="center"/>
      <protection locked="0"/>
    </xf>
    <xf numFmtId="181" fontId="65" fillId="6" borderId="88" xfId="10" applyNumberFormat="1" applyFont="1" applyFill="1" applyBorder="1" applyAlignment="1" applyProtection="1">
      <alignment vertical="center"/>
      <protection locked="0"/>
    </xf>
    <xf numFmtId="0" fontId="65" fillId="6" borderId="88" xfId="10" applyFont="1" applyFill="1" applyBorder="1" applyAlignment="1" applyProtection="1">
      <alignment horizontal="center" vertical="center"/>
      <protection locked="0"/>
    </xf>
    <xf numFmtId="0" fontId="65" fillId="6" borderId="104"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protection locked="0"/>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58"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27" xfId="10" applyFont="1" applyFill="1" applyBorder="1" applyAlignment="1" applyProtection="1">
      <alignment vertical="center" wrapText="1"/>
    </xf>
    <xf numFmtId="0" fontId="47" fillId="6" borderId="20" xfId="10" applyFont="1" applyFill="1" applyBorder="1" applyAlignment="1" applyProtection="1">
      <alignment horizontal="center" vertical="center" wrapText="1"/>
    </xf>
    <xf numFmtId="0" fontId="4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49" fontId="47" fillId="2" borderId="30"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80" xfId="10" applyFont="1" applyFill="1" applyBorder="1" applyAlignment="1" applyProtection="1">
      <alignment vertical="center" wrapText="1"/>
    </xf>
    <xf numFmtId="0" fontId="47" fillId="6" borderId="54"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80" xfId="10" applyFont="1" applyFill="1" applyBorder="1" applyAlignment="1" applyProtection="1">
      <alignment vertical="center" wrapText="1"/>
    </xf>
    <xf numFmtId="0" fontId="47" fillId="0" borderId="3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181" fontId="52" fillId="6" borderId="0" xfId="10" applyNumberFormat="1" applyFont="1" applyFill="1" applyBorder="1" applyAlignment="1" applyProtection="1">
      <alignment horizontal="center" vertical="center" wrapText="1"/>
      <protection locked="0"/>
    </xf>
    <xf numFmtId="0" fontId="49" fillId="6" borderId="80" xfId="10" applyFont="1" applyFill="1" applyBorder="1" applyAlignment="1" applyProtection="1">
      <alignment vertical="center" wrapText="1"/>
    </xf>
    <xf numFmtId="0" fontId="47" fillId="6" borderId="71" xfId="10" applyNumberFormat="1" applyFont="1" applyFill="1" applyBorder="1" applyAlignment="1" applyProtection="1">
      <alignment horizontal="center" vertical="center" wrapText="1"/>
    </xf>
    <xf numFmtId="0" fontId="53" fillId="6" borderId="81" xfId="10" applyFont="1" applyFill="1" applyBorder="1" applyAlignment="1" applyProtection="1">
      <alignment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47" fillId="6" borderId="62" xfId="10" applyFont="1" applyFill="1" applyBorder="1" applyAlignment="1" applyProtection="1">
      <alignment horizontal="center" vertical="center" wrapText="1"/>
    </xf>
    <xf numFmtId="0" fontId="262"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262"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22" fillId="6" borderId="61" xfId="10" applyFont="1" applyFill="1" applyBorder="1" applyAlignment="1" applyProtection="1">
      <alignment horizontal="center" vertical="center" wrapText="1"/>
    </xf>
    <xf numFmtId="0" fontId="262" fillId="6" borderId="11" xfId="10" applyNumberFormat="1" applyFont="1" applyFill="1" applyBorder="1" applyAlignment="1" applyProtection="1">
      <alignment horizontal="center" vertical="center" wrapText="1"/>
    </xf>
    <xf numFmtId="0" fontId="54" fillId="6" borderId="61"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262" fillId="2" borderId="14"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47" fillId="6" borderId="53" xfId="10"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61" xfId="10"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0" borderId="49"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47" fillId="6" borderId="76"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47" fillId="6" borderId="75" xfId="10" applyNumberFormat="1" applyFont="1" applyFill="1" applyBorder="1" applyAlignment="1" applyProtection="1">
      <alignment horizontal="center" vertical="center" wrapText="1"/>
    </xf>
    <xf numFmtId="0" fontId="53" fillId="6" borderId="16" xfId="10" applyFont="1" applyFill="1" applyBorder="1" applyAlignment="1" applyProtection="1">
      <alignment vertical="center" textRotation="255" wrapText="1"/>
    </xf>
    <xf numFmtId="0" fontId="47" fillId="6" borderId="10" xfId="10" applyFont="1" applyFill="1" applyBorder="1" applyAlignment="1" applyProtection="1">
      <alignment horizontal="center" vertical="center" wrapText="1"/>
    </xf>
    <xf numFmtId="0" fontId="262" fillId="6" borderId="41" xfId="10" applyNumberFormat="1" applyFont="1" applyFill="1" applyBorder="1" applyAlignment="1" applyProtection="1">
      <alignment horizontal="center" vertical="center" wrapText="1"/>
    </xf>
    <xf numFmtId="0" fontId="72" fillId="6" borderId="18" xfId="10" applyFont="1" applyFill="1" applyBorder="1" applyAlignment="1" applyProtection="1">
      <alignment vertical="center" textRotation="255" wrapText="1"/>
    </xf>
    <xf numFmtId="0" fontId="47" fillId="6" borderId="24" xfId="10" applyFont="1" applyFill="1" applyBorder="1" applyAlignment="1" applyProtection="1">
      <alignment horizontal="center" vertical="center" wrapText="1"/>
    </xf>
    <xf numFmtId="49"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3" fillId="6" borderId="42" xfId="10" applyFont="1" applyFill="1" applyBorder="1" applyAlignment="1" applyProtection="1">
      <alignment vertical="center" textRotation="255" wrapText="1"/>
    </xf>
    <xf numFmtId="49" fontId="261" fillId="6" borderId="51" xfId="10" applyNumberFormat="1" applyFont="1" applyFill="1" applyBorder="1" applyAlignment="1" applyProtection="1">
      <alignment vertical="center"/>
    </xf>
    <xf numFmtId="49" fontId="261" fillId="5" borderId="20" xfId="10" applyNumberFormat="1" applyFont="1" applyFill="1" applyBorder="1" applyAlignment="1" applyProtection="1">
      <alignment vertical="center"/>
      <protection locked="0"/>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protection locked="0"/>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261"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protection locked="0"/>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protection locked="0"/>
    </xf>
    <xf numFmtId="0" fontId="54" fillId="6" borderId="0" xfId="10" applyFont="1" applyFill="1" applyBorder="1" applyAlignment="1" applyProtection="1">
      <protection locked="0"/>
    </xf>
    <xf numFmtId="0" fontId="54" fillId="6" borderId="0" xfId="10" applyFont="1" applyFill="1" applyBorder="1" applyAlignment="1" applyProtection="1">
      <alignment horizontal="center"/>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58"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6" borderId="58"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6" borderId="58"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58"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58"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52" fillId="6" borderId="58"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58" xfId="10" applyFont="1" applyFill="1" applyBorder="1" applyAlignment="1" applyProtection="1">
      <alignment vertical="center" wrapText="1"/>
      <protection locked="0"/>
    </xf>
    <xf numFmtId="0" fontId="22" fillId="6" borderId="57"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49" fontId="54"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left" vertical="center" wrapText="1"/>
      <protection locked="0"/>
    </xf>
    <xf numFmtId="49" fontId="71" fillId="0" borderId="10"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45"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protection locked="0"/>
    </xf>
    <xf numFmtId="9" fontId="54" fillId="6" borderId="0"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5" borderId="0" xfId="0" applyFill="1">
      <alignment vertical="center"/>
    </xf>
    <xf numFmtId="0" fontId="0" fillId="11" borderId="0" xfId="0" applyFill="1">
      <alignment vertical="center"/>
    </xf>
    <xf numFmtId="177" fontId="137" fillId="0" borderId="1" xfId="1"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49" fontId="256" fillId="7" borderId="85" xfId="0" applyNumberFormat="1" applyFont="1" applyFill="1" applyBorder="1" applyAlignment="1" applyProtection="1">
      <alignment horizontal="left" vertical="center"/>
      <protection locked="0"/>
    </xf>
    <xf numFmtId="49" fontId="256" fillId="7" borderId="88" xfId="0" applyNumberFormat="1" applyFont="1" applyFill="1" applyBorder="1" applyAlignment="1" applyProtection="1">
      <alignment horizontal="left" vertical="center"/>
      <protection locked="0"/>
    </xf>
    <xf numFmtId="49" fontId="256"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79"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63" fillId="0" borderId="23" xfId="10" applyFont="1" applyFill="1" applyBorder="1" applyAlignment="1" applyProtection="1">
      <alignment horizontal="center" vertical="center" wrapText="1"/>
      <protection locked="0"/>
    </xf>
    <xf numFmtId="0" fontId="54" fillId="0" borderId="24"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75933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2133333"/>
        </a:xfrm>
        <a:prstGeom prst="rect">
          <a:avLst/>
        </a:prstGeom>
      </xdr:spPr>
    </xdr:pic>
    <xdr:clientData/>
  </xdr:twoCellAnchor>
  <xdr:twoCellAnchor editAs="oneCell">
    <xdr:from>
      <xdr:col>0</xdr:col>
      <xdr:colOff>0</xdr:colOff>
      <xdr:row>11</xdr:row>
      <xdr:rowOff>95250</xdr:rowOff>
    </xdr:from>
    <xdr:to>
      <xdr:col>13</xdr:col>
      <xdr:colOff>313172</xdr:colOff>
      <xdr:row>29</xdr:row>
      <xdr:rowOff>161531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981200"/>
          <a:ext cx="9228572" cy="3152381"/>
        </a:xfrm>
        <a:prstGeom prst="rect">
          <a:avLst/>
        </a:prstGeom>
      </xdr:spPr>
    </xdr:pic>
    <xdr:clientData/>
  </xdr:twoCellAnchor>
  <xdr:twoCellAnchor editAs="oneCell">
    <xdr:from>
      <xdr:col>0</xdr:col>
      <xdr:colOff>0</xdr:colOff>
      <xdr:row>30</xdr:row>
      <xdr:rowOff>0</xdr:rowOff>
    </xdr:from>
    <xdr:to>
      <xdr:col>13</xdr:col>
      <xdr:colOff>217934</xdr:colOff>
      <xdr:row>40</xdr:row>
      <xdr:rowOff>18833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143500"/>
          <a:ext cx="9133334" cy="1733333"/>
        </a:xfrm>
        <a:prstGeom prst="rect">
          <a:avLst/>
        </a:prstGeom>
      </xdr:spPr>
    </xdr:pic>
    <xdr:clientData/>
  </xdr:twoCellAnchor>
  <xdr:twoCellAnchor editAs="oneCell">
    <xdr:from>
      <xdr:col>0</xdr:col>
      <xdr:colOff>0</xdr:colOff>
      <xdr:row>41</xdr:row>
      <xdr:rowOff>0</xdr:rowOff>
    </xdr:from>
    <xdr:to>
      <xdr:col>13</xdr:col>
      <xdr:colOff>132220</xdr:colOff>
      <xdr:row>59</xdr:row>
      <xdr:rowOff>171043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029450"/>
          <a:ext cx="9047620" cy="3257143"/>
        </a:xfrm>
        <a:prstGeom prst="rect">
          <a:avLst/>
        </a:prstGeom>
      </xdr:spPr>
    </xdr:pic>
    <xdr:clientData/>
  </xdr:twoCellAnchor>
  <xdr:twoCellAnchor editAs="oneCell">
    <xdr:from>
      <xdr:col>0</xdr:col>
      <xdr:colOff>0</xdr:colOff>
      <xdr:row>61</xdr:row>
      <xdr:rowOff>0</xdr:rowOff>
    </xdr:from>
    <xdr:to>
      <xdr:col>13</xdr:col>
      <xdr:colOff>379839</xdr:colOff>
      <xdr:row>82</xdr:row>
      <xdr:rowOff>113836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458450"/>
          <a:ext cx="9295239" cy="3714286"/>
        </a:xfrm>
        <a:prstGeom prst="rect">
          <a:avLst/>
        </a:prstGeom>
      </xdr:spPr>
    </xdr:pic>
    <xdr:clientData/>
  </xdr:twoCellAnchor>
  <xdr:twoCellAnchor editAs="oneCell">
    <xdr:from>
      <xdr:col>0</xdr:col>
      <xdr:colOff>0</xdr:colOff>
      <xdr:row>84</xdr:row>
      <xdr:rowOff>0</xdr:rowOff>
    </xdr:from>
    <xdr:to>
      <xdr:col>13</xdr:col>
      <xdr:colOff>8410</xdr:colOff>
      <xdr:row>93</xdr:row>
      <xdr:rowOff>18855</xdr:rowOff>
    </xdr:to>
    <xdr:pic>
      <xdr:nvPicPr>
        <xdr:cNvPr id="3" name="图片 2"/>
        <xdr:cNvPicPr>
          <a:picLocks noChangeAspect="1"/>
        </xdr:cNvPicPr>
      </xdr:nvPicPr>
      <xdr:blipFill>
        <a:blip xmlns:r="http://schemas.openxmlformats.org/officeDocument/2006/relationships" r:embed="rId6"/>
        <a:stretch>
          <a:fillRect/>
        </a:stretch>
      </xdr:blipFill>
      <xdr:spPr>
        <a:xfrm>
          <a:off x="0" y="14401800"/>
          <a:ext cx="8923810" cy="1561905"/>
        </a:xfrm>
        <a:prstGeom prst="rect">
          <a:avLst/>
        </a:prstGeom>
      </xdr:spPr>
    </xdr:pic>
    <xdr:clientData/>
  </xdr:twoCellAnchor>
  <xdr:twoCellAnchor editAs="oneCell">
    <xdr:from>
      <xdr:col>0</xdr:col>
      <xdr:colOff>0</xdr:colOff>
      <xdr:row>94</xdr:row>
      <xdr:rowOff>0</xdr:rowOff>
    </xdr:from>
    <xdr:to>
      <xdr:col>12</xdr:col>
      <xdr:colOff>427543</xdr:colOff>
      <xdr:row>122</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116300"/>
          <a:ext cx="8657143" cy="4809524"/>
        </a:xfrm>
        <a:prstGeom prst="rect">
          <a:avLst/>
        </a:prstGeom>
      </xdr:spPr>
    </xdr:pic>
    <xdr:clientData/>
  </xdr:twoCellAnchor>
  <xdr:twoCellAnchor editAs="oneCell">
    <xdr:from>
      <xdr:col>0</xdr:col>
      <xdr:colOff>0</xdr:colOff>
      <xdr:row>122</xdr:row>
      <xdr:rowOff>0</xdr:rowOff>
    </xdr:from>
    <xdr:to>
      <xdr:col>12</xdr:col>
      <xdr:colOff>208496</xdr:colOff>
      <xdr:row>150</xdr:row>
      <xdr:rowOff>66067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916900"/>
          <a:ext cx="8438096" cy="4866667"/>
        </a:xfrm>
        <a:prstGeom prst="rect">
          <a:avLst/>
        </a:prstGeom>
      </xdr:spPr>
    </xdr:pic>
    <xdr:clientData/>
  </xdr:twoCellAnchor>
  <xdr:twoCellAnchor editAs="oneCell">
    <xdr:from>
      <xdr:col>0</xdr:col>
      <xdr:colOff>0</xdr:colOff>
      <xdr:row>151</xdr:row>
      <xdr:rowOff>0</xdr:rowOff>
    </xdr:from>
    <xdr:to>
      <xdr:col>12</xdr:col>
      <xdr:colOff>246591</xdr:colOff>
      <xdr:row>179</xdr:row>
      <xdr:rowOff>56543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588895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0395%20&#22826;&#38451;&#23467;&#20065;&#32511;&#22320;&#37329;&#34701;&#20013;&#24515;/&#12304;&#27979;&#31639;&#34920;&#12305;&#32511;&#22320;&#37329;&#34701;&#20013;&#24515;&#22312;&#24314;&#24037;&#31243;2017.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cell r="E19">
            <v>32828</v>
          </cell>
        </row>
        <row r="20">
          <cell r="C20" t="str">
            <v>商业</v>
          </cell>
          <cell r="E20">
            <v>6607</v>
          </cell>
        </row>
        <row r="21">
          <cell r="C21" t="str">
            <v>地下车库</v>
          </cell>
          <cell r="E21">
            <v>5565.64</v>
          </cell>
        </row>
        <row r="22">
          <cell r="E22">
            <v>0</v>
          </cell>
        </row>
        <row r="23">
          <cell r="E23">
            <v>0</v>
          </cell>
        </row>
        <row r="24">
          <cell r="E24">
            <v>0</v>
          </cell>
        </row>
        <row r="25">
          <cell r="E25">
            <v>0</v>
          </cell>
        </row>
        <row r="26">
          <cell r="E26">
            <v>0</v>
          </cell>
        </row>
        <row r="27">
          <cell r="C27" t="str">
            <v>小计</v>
          </cell>
          <cell r="E27">
            <v>45000.639999999999</v>
          </cell>
        </row>
        <row r="28">
          <cell r="C28" t="str">
            <v>设备及其他</v>
          </cell>
          <cell r="E28">
            <v>4829</v>
          </cell>
        </row>
        <row r="29">
          <cell r="C29" t="str">
            <v>公共配套及物业（住宅）</v>
          </cell>
          <cell r="E29">
            <v>0</v>
          </cell>
        </row>
        <row r="30">
          <cell r="C30" t="str">
            <v>小计</v>
          </cell>
          <cell r="E30">
            <v>4829</v>
          </cell>
        </row>
        <row r="31">
          <cell r="C31" t="str">
            <v>合计</v>
          </cell>
          <cell r="E31">
            <v>49829.64</v>
          </cell>
        </row>
        <row r="32">
          <cell r="E32">
            <v>0</v>
          </cell>
        </row>
      </sheetData>
      <sheetData sheetId="14">
        <row r="2">
          <cell r="B2">
            <v>42936</v>
          </cell>
        </row>
        <row r="5">
          <cell r="A5" t="str">
            <v>项目类型</v>
          </cell>
          <cell r="AH5" t="str">
            <v>车位数/套数/收益面积</v>
          </cell>
        </row>
        <row r="6">
          <cell r="A6" t="str">
            <v>办公</v>
          </cell>
        </row>
        <row r="7">
          <cell r="A7" t="str">
            <v>商业</v>
          </cell>
        </row>
        <row r="8">
          <cell r="A8" t="str">
            <v>地下车库</v>
          </cell>
          <cell r="AH8">
            <v>98</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6">
          <cell r="C6" t="str">
            <v>估价对象周边有405、641等公交线路及地铁10号线经过，综合评价交通便捷度较好</v>
          </cell>
        </row>
        <row r="7">
          <cell r="C7" t="str">
            <v>估价对象所在区域公共配套设施齐备情况较好</v>
          </cell>
        </row>
        <row r="8">
          <cell r="C8" t="str">
            <v>估价对象所在区域基础设施水平七通</v>
          </cell>
        </row>
        <row r="9">
          <cell r="C9" t="str">
            <v>区域自然环境：；人文环境；综合评价环境状况较好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efreshError="1"/>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北京市北京朝阳区太阳宫乡0301-616地块出让国有建设用地使用权及在建建筑物房地产抵押价值预评估</v>
      </c>
    </row>
    <row r="3" spans="1:2" s="1595" customFormat="1">
      <c r="A3" s="1593" t="s">
        <v>1217</v>
      </c>
      <c r="B3" s="1594" t="str">
        <f>'预评函-封皮'!B40</f>
        <v>上海尚地投资发展有限公司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康正预评字2018-1-E000012号</v>
      </c>
    </row>
    <row r="6" spans="1:2" s="1592" customFormat="1" ht="15" thickTop="1">
      <c r="A6" s="1590" t="s">
        <v>1220</v>
      </c>
      <c r="B6" s="1591" t="str">
        <f>'预评函-1'!A4</f>
        <v>受贵公司委托，我公司对北京市北京朝阳区太阳宫乡0301-616地块出让国有建设用地使用权及在建建筑物房地产抵押价值进行了预评估。</v>
      </c>
    </row>
    <row r="7" spans="1:2" s="1595" customFormat="1">
      <c r="A7" s="1593" t="s">
        <v>1260</v>
      </c>
      <c r="B7" s="1594" t="str">
        <f>'预评函-1'!A7</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建筑面积为48502.21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规划建筑面积为48502.21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为估价委托人在向兴业银行股份有限公司办理贷款手续过程中，确定房地产抵押贷款额度提供参考依据而评估房地产抵押价值。</v>
      </c>
    </row>
    <row r="12" spans="1:2" s="1595" customFormat="1">
      <c r="A12" s="1593" t="s">
        <v>1222</v>
      </c>
      <c r="B12" s="1594" t="str">
        <f>'预评函-1'!A15</f>
        <v>2018年1月9日（评估专业人员实地查勘之日）</v>
      </c>
    </row>
    <row r="13" spans="1:2" s="1595" customFormat="1">
      <c r="A13" s="1593" t="s">
        <v>1223</v>
      </c>
      <c r="B13" s="1594" t="str">
        <f>'预评函-1'!A18</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330818</v>
      </c>
    </row>
    <row r="21" spans="1:2" s="1595" customFormat="1">
      <c r="A21" s="1593" t="s">
        <v>1231</v>
      </c>
      <c r="B21" s="1594">
        <f ca="1">'预评函-2'!D7</f>
        <v>68207</v>
      </c>
    </row>
    <row r="22" spans="1:2" s="1595" customFormat="1">
      <c r="A22" s="1593" t="s">
        <v>1232</v>
      </c>
      <c r="B22" s="1594" t="str">
        <f ca="1">'预评函-2'!D6</f>
        <v>叁拾叁亿零捌佰壹拾捌万元整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330818</v>
      </c>
    </row>
    <row r="31" spans="1:2" s="1595" customFormat="1">
      <c r="A31" s="1593" t="s">
        <v>1270</v>
      </c>
      <c r="B31" s="1594">
        <f ca="1">'预评函-2'!D15</f>
        <v>68207</v>
      </c>
    </row>
    <row r="32" spans="1:2" s="1595" customFormat="1">
      <c r="A32" s="1593" t="s">
        <v>1237</v>
      </c>
      <c r="B32" s="1594" t="str">
        <f ca="1">'预评函-2'!D14</f>
        <v>叁拾叁亿零捌佰壹拾捌万元整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北京市北京朝阳区太阳宫乡0301-616地块出让国有建设用地使用权及在建建筑物房地产</v>
      </c>
    </row>
    <row r="42" spans="1:2" s="1595" customFormat="1">
      <c r="A42" s="1593" t="s">
        <v>1284</v>
      </c>
      <c r="B42" s="1594" t="str">
        <f>'预评函-3'!B2</f>
        <v>建筑面积</v>
      </c>
    </row>
    <row r="43" spans="1:2" s="1595" customFormat="1">
      <c r="A43" s="1593" t="s">
        <v>1285</v>
      </c>
      <c r="B43" s="1594">
        <f>'预评函-3'!B4</f>
        <v>48502.210000000006</v>
      </c>
    </row>
    <row r="44" spans="1:2" s="1595" customFormat="1">
      <c r="A44" s="1593" t="s">
        <v>1269</v>
      </c>
      <c r="B44" s="1594" t="str">
        <f>'预评函-3'!C2</f>
        <v>(分摊)土地面积</v>
      </c>
    </row>
    <row r="45" spans="1:2" s="1595" customFormat="1">
      <c r="A45" s="1593" t="s">
        <v>1241</v>
      </c>
      <c r="B45" s="1594">
        <f>'预评函-3'!C4</f>
        <v>7449.74</v>
      </c>
    </row>
    <row r="46" spans="1:2" s="1595" customFormat="1">
      <c r="A46" s="1593" t="s">
        <v>1267</v>
      </c>
      <c r="B46" s="1594" t="str">
        <f>'预评函-3'!D2</f>
        <v>出让国有建设用地使用权价值</v>
      </c>
    </row>
    <row r="47" spans="1:2" s="1595" customFormat="1">
      <c r="A47" s="1593" t="s">
        <v>1242</v>
      </c>
      <c r="B47" s="1594">
        <f ca="1">'预评函-3'!D4</f>
        <v>310307</v>
      </c>
    </row>
    <row r="48" spans="1:2" s="1595" customFormat="1">
      <c r="A48" s="1593" t="s">
        <v>1243</v>
      </c>
      <c r="B48" s="1594">
        <f ca="1">'预评函-3'!E4</f>
        <v>63978</v>
      </c>
    </row>
    <row r="49" spans="1:2" s="1595" customFormat="1">
      <c r="A49" s="1593" t="s">
        <v>1244</v>
      </c>
      <c r="B49" s="1594" t="str">
        <f ca="1">'预评函-3'!D5</f>
        <v>叁拾壹亿零叁佰零柒万元整</v>
      </c>
    </row>
    <row r="50" spans="1:2" s="1595" customFormat="1">
      <c r="A50" s="1593" t="s">
        <v>1268</v>
      </c>
      <c r="B50" s="1594" t="str">
        <f>'预评函-3'!F2</f>
        <v>在建建筑物价值</v>
      </c>
    </row>
    <row r="51" spans="1:2" s="1595" customFormat="1">
      <c r="A51" s="1593" t="s">
        <v>1245</v>
      </c>
      <c r="B51" s="1594">
        <f ca="1">'预评函-3'!F4</f>
        <v>20511</v>
      </c>
    </row>
    <row r="52" spans="1:2" s="1595" customFormat="1">
      <c r="A52" s="1593" t="s">
        <v>1246</v>
      </c>
      <c r="B52" s="1594">
        <f ca="1">'预评函-3'!G4</f>
        <v>4229</v>
      </c>
    </row>
    <row r="53" spans="1:2" s="1595" customFormat="1">
      <c r="A53" s="1593" t="s">
        <v>1274</v>
      </c>
      <c r="B53" s="1594" t="str">
        <f ca="1">'预评函-3'!F5</f>
        <v>贰亿零伍佰壹拾壹万元整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7" customWidth="1"/>
    <col min="3" max="3" width="13" style="2020" hidden="1" customWidth="1"/>
    <col min="4" max="4" width="5.75" style="2018" hidden="1" customWidth="1"/>
    <col min="5" max="5" width="7.125" style="2018" hidden="1" customWidth="1"/>
    <col min="6" max="6" width="10.625" style="2018" hidden="1" customWidth="1"/>
    <col min="7" max="7" width="7.5" style="2018" hidden="1" customWidth="1"/>
    <col min="8" max="8" width="9" style="2020" hidden="1" customWidth="1"/>
    <col min="9" max="9" width="11.625" style="2020" hidden="1" customWidth="1"/>
    <col min="10" max="10" width="9" style="2020" hidden="1" customWidth="1"/>
    <col min="11" max="19" width="9" style="2018" hidden="1" customWidth="1"/>
    <col min="20" max="22" width="9" style="2020" hidden="1" customWidth="1"/>
    <col min="23" max="23" width="9" style="2020" customWidth="1"/>
    <col min="24" max="24" width="21.125" style="1977" customWidth="1"/>
    <col min="25" max="16384" width="9" style="1977"/>
  </cols>
  <sheetData>
    <row r="1" spans="1:23" s="2015" customFormat="1" ht="27">
      <c r="A1" s="2009" t="s">
        <v>70</v>
      </c>
      <c r="B1" s="2010" t="s">
        <v>1687</v>
      </c>
      <c r="C1" s="2011" t="s">
        <v>757</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752</v>
      </c>
      <c r="Q1" s="2013" t="s">
        <v>1142</v>
      </c>
      <c r="R1" s="2012" t="s">
        <v>1136</v>
      </c>
      <c r="S1" s="2012" t="s">
        <v>1700</v>
      </c>
      <c r="T1" s="2014" t="s">
        <v>1701</v>
      </c>
      <c r="U1" s="2012" t="s">
        <v>1702</v>
      </c>
      <c r="V1" s="2012" t="s">
        <v>1703</v>
      </c>
      <c r="W1" s="2012" t="s">
        <v>754</v>
      </c>
    </row>
    <row r="2" spans="1:23">
      <c r="A2" s="2978" t="s">
        <v>3033</v>
      </c>
      <c r="B2" s="2978" t="s">
        <v>3034</v>
      </c>
      <c r="C2" s="2017" t="s">
        <v>758</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1138</v>
      </c>
      <c r="S2" s="2018" t="s">
        <v>1709</v>
      </c>
      <c r="T2" s="2018" t="s">
        <v>1710</v>
      </c>
      <c r="U2" s="2018" t="s">
        <v>1709</v>
      </c>
      <c r="V2" s="2018" t="s">
        <v>1711</v>
      </c>
      <c r="W2" s="2018" t="s">
        <v>1709</v>
      </c>
    </row>
    <row r="3" spans="1:23">
      <c r="A3" s="2978" t="s">
        <v>3035</v>
      </c>
      <c r="B3" s="2979" t="s">
        <v>3036</v>
      </c>
      <c r="C3" s="2019" t="s">
        <v>759</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1137</v>
      </c>
      <c r="S3" s="2018" t="s">
        <v>1716</v>
      </c>
      <c r="T3" s="2018" t="s">
        <v>1717</v>
      </c>
      <c r="U3" s="2018" t="s">
        <v>1716</v>
      </c>
      <c r="V3" s="2018" t="s">
        <v>1718</v>
      </c>
      <c r="W3" s="2018" t="s">
        <v>1716</v>
      </c>
    </row>
    <row r="4" spans="1:23">
      <c r="A4" s="2978" t="s">
        <v>3037</v>
      </c>
      <c r="B4" s="2978" t="s">
        <v>3038</v>
      </c>
      <c r="C4" s="2017" t="s">
        <v>760</v>
      </c>
      <c r="D4" s="2018" t="s">
        <v>866</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1139</v>
      </c>
      <c r="S4" s="2018" t="s">
        <v>1722</v>
      </c>
      <c r="T4" s="2018" t="s">
        <v>1723</v>
      </c>
      <c r="U4" s="2018" t="s">
        <v>1722</v>
      </c>
      <c r="W4" s="2018" t="s">
        <v>1722</v>
      </c>
    </row>
    <row r="5" spans="1:23">
      <c r="A5" s="2978" t="s">
        <v>3039</v>
      </c>
      <c r="B5" s="2979" t="s">
        <v>3040</v>
      </c>
      <c r="C5" s="2017" t="s">
        <v>761</v>
      </c>
      <c r="F5" s="2018" t="s">
        <v>1724</v>
      </c>
      <c r="H5" s="2018" t="s">
        <v>1725</v>
      </c>
      <c r="I5" s="2018" t="s">
        <v>1726</v>
      </c>
      <c r="K5" s="2018" t="s">
        <v>1727</v>
      </c>
      <c r="L5" s="2018" t="s">
        <v>1727</v>
      </c>
      <c r="M5" s="2018" t="s">
        <v>1727</v>
      </c>
      <c r="N5" s="2018" t="s">
        <v>1727</v>
      </c>
      <c r="O5" s="2018" t="s">
        <v>1727</v>
      </c>
      <c r="P5" s="2018" t="s">
        <v>1727</v>
      </c>
      <c r="Q5" s="2018" t="s">
        <v>1727</v>
      </c>
      <c r="R5" s="2018" t="s">
        <v>1140</v>
      </c>
      <c r="S5" s="2018" t="s">
        <v>1727</v>
      </c>
      <c r="T5" s="2018" t="s">
        <v>1728</v>
      </c>
      <c r="U5" s="2018" t="s">
        <v>1727</v>
      </c>
      <c r="W5" s="2018" t="s">
        <v>1727</v>
      </c>
    </row>
    <row r="6" spans="1:23">
      <c r="A6" s="2978" t="s">
        <v>3041</v>
      </c>
      <c r="B6" s="2979" t="s">
        <v>3042</v>
      </c>
      <c r="C6" s="2021" t="s">
        <v>29</v>
      </c>
      <c r="F6" s="2018" t="s">
        <v>1725</v>
      </c>
      <c r="H6" s="2018" t="s">
        <v>1729</v>
      </c>
      <c r="I6" s="2018" t="s">
        <v>1730</v>
      </c>
      <c r="K6" s="2018" t="s">
        <v>1731</v>
      </c>
      <c r="L6" s="2018" t="s">
        <v>1731</v>
      </c>
      <c r="M6" s="2018" t="s">
        <v>1731</v>
      </c>
      <c r="N6" s="2018" t="s">
        <v>1731</v>
      </c>
      <c r="O6" s="2018" t="s">
        <v>1731</v>
      </c>
      <c r="P6" s="2018" t="s">
        <v>1731</v>
      </c>
      <c r="Q6" s="2018" t="s">
        <v>1731</v>
      </c>
      <c r="R6" s="2018" t="s">
        <v>1141</v>
      </c>
      <c r="S6" s="2018" t="s">
        <v>1731</v>
      </c>
      <c r="T6" s="2018"/>
      <c r="U6" s="2018" t="s">
        <v>1731</v>
      </c>
      <c r="W6" s="2018" t="s">
        <v>1731</v>
      </c>
    </row>
    <row r="7" spans="1:23">
      <c r="A7" s="2978" t="s">
        <v>3043</v>
      </c>
      <c r="B7" s="2979" t="s">
        <v>3044</v>
      </c>
      <c r="C7" s="2017" t="s">
        <v>30</v>
      </c>
      <c r="F7" s="2018" t="s">
        <v>1732</v>
      </c>
      <c r="H7" s="2018" t="s">
        <v>1733</v>
      </c>
      <c r="I7" s="2018" t="s">
        <v>1734</v>
      </c>
    </row>
    <row r="8" spans="1:23">
      <c r="A8" s="2978" t="s">
        <v>3045</v>
      </c>
      <c r="B8" s="2978" t="s">
        <v>3046</v>
      </c>
      <c r="C8" s="2017" t="s">
        <v>762</v>
      </c>
      <c r="F8" s="2018" t="s">
        <v>1735</v>
      </c>
      <c r="H8" s="2018"/>
      <c r="I8" s="2018" t="s">
        <v>1736</v>
      </c>
    </row>
    <row r="9" spans="1:23">
      <c r="A9" s="2978" t="s">
        <v>3047</v>
      </c>
      <c r="B9" s="2978" t="s">
        <v>3048</v>
      </c>
      <c r="C9" s="2017" t="s">
        <v>763</v>
      </c>
      <c r="F9" s="2018" t="s">
        <v>1737</v>
      </c>
      <c r="H9" s="2018"/>
    </row>
    <row r="10" spans="1:23">
      <c r="A10" s="2978" t="s">
        <v>3049</v>
      </c>
      <c r="B10" s="2978" t="s">
        <v>3050</v>
      </c>
      <c r="C10" s="2017" t="s">
        <v>764</v>
      </c>
      <c r="F10" s="2018" t="s">
        <v>16</v>
      </c>
    </row>
    <row r="11" spans="1:23">
      <c r="A11" s="2978" t="s">
        <v>3051</v>
      </c>
      <c r="B11" s="2978" t="s">
        <v>3052</v>
      </c>
      <c r="C11" s="2017" t="s">
        <v>765</v>
      </c>
    </row>
    <row r="12" spans="1:23">
      <c r="A12" s="2978" t="s">
        <v>3053</v>
      </c>
      <c r="B12" s="2978" t="s">
        <v>3054</v>
      </c>
      <c r="C12" s="2017" t="s">
        <v>766</v>
      </c>
    </row>
    <row r="13" spans="1:23">
      <c r="A13" s="2978" t="s">
        <v>3055</v>
      </c>
      <c r="B13" s="2978" t="s">
        <v>3056</v>
      </c>
      <c r="C13" s="2017" t="s">
        <v>767</v>
      </c>
    </row>
    <row r="14" spans="1:23">
      <c r="A14" s="2978" t="s">
        <v>3057</v>
      </c>
      <c r="B14" s="2978" t="s">
        <v>3058</v>
      </c>
      <c r="C14" s="2018" t="s">
        <v>16</v>
      </c>
    </row>
    <row r="15" spans="1:23">
      <c r="A15" s="2978" t="s">
        <v>3059</v>
      </c>
      <c r="B15" s="2978" t="s">
        <v>3060</v>
      </c>
      <c r="C15" s="2017"/>
    </row>
    <row r="16" spans="1:23">
      <c r="A16" s="2978" t="s">
        <v>3061</v>
      </c>
      <c r="B16" s="2978" t="s">
        <v>3062</v>
      </c>
      <c r="C16" s="2017"/>
    </row>
    <row r="17" spans="1:3">
      <c r="A17" s="2978" t="s">
        <v>3063</v>
      </c>
      <c r="B17" s="2978" t="s">
        <v>3064</v>
      </c>
      <c r="C17" s="2017"/>
    </row>
    <row r="18" spans="1:3">
      <c r="A18" s="2978" t="s">
        <v>3065</v>
      </c>
      <c r="B18" s="2978" t="s">
        <v>3066</v>
      </c>
      <c r="C18" s="2017"/>
    </row>
    <row r="19" spans="1:3">
      <c r="A19" s="2978" t="s">
        <v>3067</v>
      </c>
      <c r="B19" s="2978" t="s">
        <v>3263</v>
      </c>
      <c r="C19" s="2017"/>
    </row>
    <row r="20" spans="1:3">
      <c r="A20" s="2978" t="s">
        <v>3069</v>
      </c>
      <c r="B20" s="2978" t="s">
        <v>3068</v>
      </c>
      <c r="C20" s="2017"/>
    </row>
    <row r="21" spans="1:3">
      <c r="A21" s="2978" t="s">
        <v>3070</v>
      </c>
      <c r="B21" s="2978" t="s">
        <v>3068</v>
      </c>
      <c r="C21" s="2017"/>
    </row>
    <row r="22" spans="1:3">
      <c r="A22" s="2978" t="s">
        <v>3071</v>
      </c>
      <c r="B22" s="2978" t="s">
        <v>3068</v>
      </c>
      <c r="C22" s="2017"/>
    </row>
    <row r="23" spans="1:3">
      <c r="A23" s="2978" t="s">
        <v>3072</v>
      </c>
      <c r="B23" s="2978" t="s">
        <v>3068</v>
      </c>
      <c r="C23" s="2017"/>
    </row>
    <row r="24" spans="1:3">
      <c r="A24" s="2978" t="s">
        <v>3073</v>
      </c>
      <c r="B24" s="2978" t="s">
        <v>3068</v>
      </c>
      <c r="C24" s="2017"/>
    </row>
    <row r="25" spans="1:3">
      <c r="A25" s="2978" t="s">
        <v>3074</v>
      </c>
      <c r="B25" s="2978" t="s">
        <v>3068</v>
      </c>
      <c r="C25" s="2017"/>
    </row>
    <row r="26" spans="1:3">
      <c r="A26" s="2978" t="s">
        <v>3075</v>
      </c>
      <c r="B26" s="2978" t="s">
        <v>3068</v>
      </c>
      <c r="C26" s="2017"/>
    </row>
    <row r="27" spans="1:3">
      <c r="A27" s="2016" t="s">
        <v>755</v>
      </c>
      <c r="B27" s="2016" t="s">
        <v>755</v>
      </c>
      <c r="C27" s="2017"/>
    </row>
    <row r="28" spans="1:3">
      <c r="A28" s="2016" t="s">
        <v>755</v>
      </c>
      <c r="B28" s="2016" t="s">
        <v>755</v>
      </c>
      <c r="C28" s="2017"/>
    </row>
    <row r="29" spans="1:3">
      <c r="A29" s="2016" t="s">
        <v>755</v>
      </c>
      <c r="B29" s="2016" t="s">
        <v>755</v>
      </c>
      <c r="C29" s="2017"/>
    </row>
    <row r="30" spans="1:3">
      <c r="A30" s="2016" t="s">
        <v>755</v>
      </c>
      <c r="B30" s="2016" t="s">
        <v>755</v>
      </c>
      <c r="C30" s="2017"/>
    </row>
    <row r="31" spans="1:3">
      <c r="A31" s="2016" t="s">
        <v>755</v>
      </c>
      <c r="B31" s="2016" t="s">
        <v>755</v>
      </c>
      <c r="C31" s="2017"/>
    </row>
    <row r="32" spans="1:3">
      <c r="A32" s="2016" t="s">
        <v>755</v>
      </c>
      <c r="B32" s="2016" t="s">
        <v>755</v>
      </c>
      <c r="C32" s="2017"/>
    </row>
    <row r="33" spans="1:3">
      <c r="A33" s="2016" t="s">
        <v>755</v>
      </c>
      <c r="B33" s="2016" t="s">
        <v>755</v>
      </c>
      <c r="C33" s="2017"/>
    </row>
    <row r="34" spans="1:3">
      <c r="A34" s="2016" t="s">
        <v>755</v>
      </c>
      <c r="B34" s="2016" t="s">
        <v>755</v>
      </c>
      <c r="C34" s="2017"/>
    </row>
    <row r="35" spans="1:3">
      <c r="A35" s="2016" t="s">
        <v>755</v>
      </c>
      <c r="B35" s="2016" t="s">
        <v>755</v>
      </c>
      <c r="C35" s="2017"/>
    </row>
    <row r="36" spans="1:3">
      <c r="A36" s="2016" t="s">
        <v>755</v>
      </c>
      <c r="B36" s="2016" t="s">
        <v>755</v>
      </c>
      <c r="C36" s="2017"/>
    </row>
    <row r="37" spans="1:3">
      <c r="A37" s="2016" t="s">
        <v>755</v>
      </c>
      <c r="B37" s="2016" t="s">
        <v>755</v>
      </c>
      <c r="C37" s="2017"/>
    </row>
    <row r="38" spans="1:3">
      <c r="A38" s="2016" t="s">
        <v>755</v>
      </c>
      <c r="B38" s="2016" t="s">
        <v>755</v>
      </c>
      <c r="C38" s="2017"/>
    </row>
    <row r="39" spans="1:3">
      <c r="A39" s="2016" t="s">
        <v>755</v>
      </c>
      <c r="B39" s="2016" t="s">
        <v>755</v>
      </c>
      <c r="C39" s="2017"/>
    </row>
    <row r="40" spans="1:3">
      <c r="A40" s="2016" t="s">
        <v>755</v>
      </c>
      <c r="B40" s="2016" t="s">
        <v>755</v>
      </c>
      <c r="C40" s="2017"/>
    </row>
    <row r="41" spans="1:3">
      <c r="A41" s="2016" t="s">
        <v>755</v>
      </c>
      <c r="B41" s="2016" t="s">
        <v>755</v>
      </c>
      <c r="C41" s="2017"/>
    </row>
    <row r="42" spans="1:3">
      <c r="A42" s="2016" t="s">
        <v>755</v>
      </c>
      <c r="B42" s="2016" t="s">
        <v>755</v>
      </c>
      <c r="C42" s="2017"/>
    </row>
    <row r="43" spans="1:3">
      <c r="A43" s="2016" t="s">
        <v>755</v>
      </c>
      <c r="B43" s="2016" t="s">
        <v>755</v>
      </c>
      <c r="C43" s="2017"/>
    </row>
    <row r="44" spans="1:3">
      <c r="A44" s="2016" t="s">
        <v>755</v>
      </c>
      <c r="B44" s="2016" t="s">
        <v>755</v>
      </c>
      <c r="C44" s="2017"/>
    </row>
    <row r="45" spans="1:3">
      <c r="A45" s="2016" t="s">
        <v>755</v>
      </c>
      <c r="B45" s="2016" t="s">
        <v>755</v>
      </c>
      <c r="C45" s="2017"/>
    </row>
    <row r="46" spans="1:3">
      <c r="A46" s="2016" t="s">
        <v>755</v>
      </c>
      <c r="B46" s="2016" t="s">
        <v>755</v>
      </c>
      <c r="C46" s="2017"/>
    </row>
    <row r="47" spans="1:3">
      <c r="A47" s="2016" t="s">
        <v>755</v>
      </c>
      <c r="B47" s="2016" t="s">
        <v>755</v>
      </c>
      <c r="C47" s="2017"/>
    </row>
    <row r="48" spans="1:3">
      <c r="A48" s="2016" t="s">
        <v>755</v>
      </c>
      <c r="B48" s="2016" t="s">
        <v>755</v>
      </c>
      <c r="C48" s="2017"/>
    </row>
    <row r="49" spans="1:4">
      <c r="A49" s="2016" t="s">
        <v>755</v>
      </c>
      <c r="B49" s="2016" t="s">
        <v>755</v>
      </c>
      <c r="C49" s="2017"/>
    </row>
    <row r="50" spans="1:4">
      <c r="A50" s="2016" t="s">
        <v>755</v>
      </c>
      <c r="B50" s="2016" t="s">
        <v>755</v>
      </c>
      <c r="C50" s="2017"/>
    </row>
    <row r="51" spans="1:4">
      <c r="A51" s="2022" t="s">
        <v>855</v>
      </c>
      <c r="B51" s="2023" t="str">
        <f>"为估价委托人在向"&amp;项目基本情况!B6&amp;"办理贷款手续过程中，确定房地产抵押贷款额度提供参考依据而评估房地产抵押价值。"</f>
        <v>为估价委托人在向兴业银行股份有限公司办理贷款手续过程中，确定房地产抵押贷款额度提供参考依据而评估房地产抵押价值。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尚地投资发展有限公司拟使用北京市北京朝阳区太阳宫乡0301-616地块出让国有建设用地使用权及在建建筑物房地产作为抵押担保物，向兴业银行股份有限公司办理贷款手续。兴业银行股份有限公司特委托北京康正宏基房地产评估有限公司对上述抵押物进行评估。本次评估为确定房地产抵押贷款额度提供参考依据而评估房地产抵押价值。</v>
      </c>
      <c r="D51" s="2023" t="s">
        <v>1280</v>
      </c>
    </row>
    <row r="52" spans="1:4">
      <c r="A52" s="2022" t="s">
        <v>856</v>
      </c>
      <c r="B52" s="2022" t="s">
        <v>857</v>
      </c>
      <c r="C52" s="2020" t="s">
        <v>858</v>
      </c>
      <c r="D52" s="2020" t="s">
        <v>859</v>
      </c>
    </row>
    <row r="53" spans="1:4">
      <c r="A53" s="3355"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355"/>
      <c r="B54" s="2023" t="s">
        <v>862</v>
      </c>
      <c r="C54" s="2020" t="s">
        <v>1277</v>
      </c>
    </row>
    <row r="55" spans="1:4">
      <c r="A55" s="3355"/>
      <c r="B55" s="2023" t="s">
        <v>863</v>
      </c>
      <c r="C55" s="2020" t="s">
        <v>1278</v>
      </c>
    </row>
    <row r="56" spans="1:4">
      <c r="A56" s="3355"/>
      <c r="B56" s="2023" t="s">
        <v>864</v>
      </c>
      <c r="C56" s="2020" t="s">
        <v>1282</v>
      </c>
    </row>
    <row r="57" spans="1:4">
      <c r="A57" s="3355"/>
      <c r="B57" s="2023" t="s">
        <v>865</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1738</v>
      </c>
      <c r="B1" s="3356" t="str">
        <f>IF(B10="北京市","北京市",C10)&amp;F10&amp;IF(结果表!G1="在建","出让国有建设用地使用权及在建建筑物",IF(结果表!G1="土地","出让国有建设用地使用权",))&amp;B9&amp;"预评估"</f>
        <v>北京市北京朝阳区太阳宫乡0301-616地块出让国有建设用地使用权及在建建筑物房地产抵押价值预评估</v>
      </c>
      <c r="C1" s="3357"/>
      <c r="D1" s="3357"/>
      <c r="E1" s="3357"/>
      <c r="F1" s="3357"/>
      <c r="G1" s="3357"/>
      <c r="H1" s="3357"/>
      <c r="I1" s="335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北京市北京朝阳区太阳宫乡0301-616地块出让国有建设用地使用权及在建建筑物房地产抵押价值</v>
      </c>
    </row>
    <row r="2" spans="1:19" ht="18" customHeight="1">
      <c r="A2" s="2027" t="s">
        <v>1739</v>
      </c>
      <c r="B2" s="1041" t="s">
        <v>3245</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北京市北京朝阳区太阳宫乡0301-616地块出让国有建设用地使用权及在建建筑物房地产</v>
      </c>
    </row>
    <row r="3" spans="1:19" ht="18" customHeight="1">
      <c r="A3" s="2036" t="s">
        <v>1740</v>
      </c>
      <c r="B3" s="2037">
        <v>43109</v>
      </c>
      <c r="C3" s="2038" t="s">
        <v>1741</v>
      </c>
      <c r="D3" s="2037">
        <f>B3</f>
        <v>43109</v>
      </c>
      <c r="E3" s="2027"/>
      <c r="F3" s="2027"/>
      <c r="G3" s="2027"/>
      <c r="H3" s="2027"/>
      <c r="I3" s="2027"/>
      <c r="J3" s="2027"/>
      <c r="K3" s="2028"/>
      <c r="L3" s="2029"/>
      <c r="M3" s="2029"/>
      <c r="N3" s="2030"/>
      <c r="O3" s="2031"/>
      <c r="P3" s="2030"/>
      <c r="Q3" s="2030"/>
      <c r="R3" s="2030"/>
      <c r="S3" s="2032"/>
    </row>
    <row r="4" spans="1:19" ht="18" customHeight="1" thickBot="1">
      <c r="A4" s="2039" t="s">
        <v>1742</v>
      </c>
      <c r="B4" s="2040" t="s">
        <v>3005</v>
      </c>
      <c r="C4" s="1039">
        <f ca="1">SUMIF(注册房地产估价师,B4,估价师及机构信息!B3:B24)</f>
        <v>1120000080</v>
      </c>
      <c r="D4" s="2040" t="s">
        <v>3006</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1743</v>
      </c>
      <c r="B5" s="2962" t="s">
        <v>3007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1744</v>
      </c>
      <c r="B6" s="3296" t="s">
        <v>3246</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1745</v>
      </c>
      <c r="B7" s="2052" t="str">
        <f>B5</f>
        <v>上海尚地投资发展有限公司</v>
      </c>
      <c r="C7" s="2049"/>
      <c r="D7" s="2050"/>
      <c r="E7" s="2035"/>
      <c r="F7" s="2043"/>
      <c r="G7" s="2043"/>
      <c r="H7" s="2043"/>
      <c r="I7" s="2043"/>
      <c r="J7" s="2043"/>
      <c r="K7" s="2053"/>
      <c r="L7" s="2029"/>
      <c r="M7" s="2029"/>
      <c r="N7" s="2030"/>
      <c r="O7" s="2031"/>
      <c r="P7" s="2030"/>
      <c r="Q7" s="2030"/>
      <c r="R7" s="2030"/>
    </row>
    <row r="8" spans="1:19" ht="18" customHeight="1">
      <c r="A8" s="2048" t="s">
        <v>1746</v>
      </c>
      <c r="B8" s="2054" t="s">
        <v>2999</v>
      </c>
      <c r="C8" s="2055"/>
      <c r="D8" s="3359" t="s">
        <v>1747</v>
      </c>
      <c r="E8" s="2056" t="s">
        <v>3000</v>
      </c>
      <c r="F8" s="2057"/>
      <c r="G8" s="2027"/>
      <c r="H8" s="2027"/>
      <c r="I8" s="2027"/>
      <c r="J8" s="2043"/>
      <c r="K8" s="2044"/>
      <c r="L8" s="2029"/>
      <c r="M8" s="2029"/>
      <c r="N8" s="2030"/>
      <c r="O8" s="2031"/>
      <c r="P8" s="2030"/>
      <c r="Q8" s="2030"/>
      <c r="R8" s="2030"/>
    </row>
    <row r="9" spans="1:19" ht="18" customHeight="1" thickBot="1">
      <c r="A9" s="2041" t="s">
        <v>1748</v>
      </c>
      <c r="B9" s="2058" t="s">
        <v>3000</v>
      </c>
      <c r="C9" s="2059"/>
      <c r="D9" s="3360"/>
      <c r="E9" s="2058" t="s">
        <v>69</v>
      </c>
      <c r="F9" s="2060"/>
      <c r="G9" s="2061"/>
      <c r="H9" s="2061"/>
      <c r="I9" s="2061"/>
      <c r="J9" s="2043"/>
      <c r="K9" s="2053"/>
      <c r="L9" s="2029"/>
      <c r="M9" s="2029"/>
      <c r="N9" s="2030"/>
      <c r="O9" s="2031"/>
      <c r="P9" s="2030"/>
      <c r="Q9" s="2030"/>
      <c r="R9" s="2030"/>
    </row>
    <row r="10" spans="1:19" ht="18" customHeight="1" thickTop="1">
      <c r="A10" s="2062" t="s">
        <v>1749</v>
      </c>
      <c r="B10" s="2063" t="s">
        <v>3247</v>
      </c>
      <c r="C10" s="2064"/>
      <c r="D10" s="2047"/>
      <c r="E10" s="2065" t="s">
        <v>1750</v>
      </c>
      <c r="F10" s="2963" t="s">
        <v>3008</v>
      </c>
      <c r="G10" s="2066"/>
      <c r="H10" s="2067"/>
      <c r="I10" s="2047"/>
      <c r="J10" s="2043"/>
      <c r="K10" s="2053"/>
      <c r="L10" s="2029"/>
      <c r="M10" s="2029"/>
      <c r="N10" s="2030"/>
      <c r="O10" s="2031"/>
      <c r="P10" s="2030"/>
      <c r="Q10" s="2030"/>
      <c r="R10" s="2030"/>
    </row>
    <row r="11" spans="1:19" ht="18" customHeight="1">
      <c r="A11" s="2068" t="s">
        <v>1751</v>
      </c>
      <c r="B11" s="2069" t="s">
        <v>3001</v>
      </c>
      <c r="C11" s="2964" t="s">
        <v>3009</v>
      </c>
      <c r="D11" s="2070"/>
      <c r="E11" s="2043"/>
      <c r="F11" s="2043"/>
      <c r="G11" s="2043"/>
      <c r="H11" s="2043"/>
      <c r="I11" s="2043"/>
      <c r="J11" s="2043"/>
      <c r="K11" s="2053"/>
      <c r="L11" s="2029"/>
      <c r="M11" s="2029"/>
      <c r="N11" s="2030"/>
      <c r="O11" s="2031"/>
      <c r="P11" s="2030"/>
      <c r="Q11" s="2030"/>
      <c r="R11" s="2030"/>
    </row>
    <row r="12" spans="1:19" ht="18" customHeight="1">
      <c r="A12" s="2071" t="s">
        <v>1752</v>
      </c>
      <c r="B12" s="2069" t="s">
        <v>3002</v>
      </c>
      <c r="C12" s="2072" t="s">
        <v>1753</v>
      </c>
      <c r="D12" s="2073" t="s">
        <v>1754</v>
      </c>
      <c r="E12" s="2073" t="s">
        <v>1755</v>
      </c>
      <c r="F12" s="2073" t="s">
        <v>1756</v>
      </c>
      <c r="G12" s="2073" t="s">
        <v>1757</v>
      </c>
      <c r="H12" s="2073" t="s">
        <v>1758</v>
      </c>
      <c r="I12" s="2073" t="s">
        <v>1759</v>
      </c>
      <c r="J12" s="2043"/>
      <c r="K12" s="2053"/>
      <c r="L12" s="2029"/>
      <c r="M12" s="2029"/>
      <c r="N12" s="2030"/>
      <c r="O12" s="2031"/>
      <c r="P12" s="2030"/>
      <c r="Q12" s="2030"/>
      <c r="R12" s="2030"/>
    </row>
    <row r="13" spans="1:19" ht="18" customHeight="1">
      <c r="A13" s="2074"/>
      <c r="B13" s="2075"/>
      <c r="C13" s="2076" t="s">
        <v>1760</v>
      </c>
      <c r="D13" s="2077"/>
      <c r="E13" s="2965">
        <v>56690</v>
      </c>
      <c r="F13" s="2965">
        <v>60343</v>
      </c>
      <c r="G13" s="2965">
        <f>F13</f>
        <v>60343</v>
      </c>
      <c r="H13" s="2077"/>
      <c r="I13" s="1049"/>
      <c r="J13" s="2043"/>
      <c r="K13" s="2053"/>
      <c r="L13" s="2029"/>
      <c r="M13" s="2029"/>
      <c r="N13" s="2030"/>
      <c r="O13" s="2031"/>
      <c r="P13" s="2030"/>
      <c r="Q13" s="2030"/>
      <c r="R13" s="2030"/>
    </row>
    <row r="14" spans="1:19" ht="18" customHeight="1">
      <c r="A14" s="2074"/>
      <c r="B14" s="2075"/>
      <c r="C14" s="2076" t="s">
        <v>1761</v>
      </c>
      <c r="D14" s="1052"/>
      <c r="E14" s="1052">
        <v>40</v>
      </c>
      <c r="F14" s="1052">
        <v>50</v>
      </c>
      <c r="G14" s="1052">
        <v>50</v>
      </c>
      <c r="H14" s="1052"/>
      <c r="I14" s="1052"/>
      <c r="J14" s="2043"/>
      <c r="K14" s="2078"/>
      <c r="L14" s="2029"/>
      <c r="M14" s="2029"/>
      <c r="N14" s="2030"/>
      <c r="O14" s="2031"/>
      <c r="P14" s="2030"/>
      <c r="Q14" s="2030"/>
      <c r="R14" s="2030"/>
    </row>
    <row r="15" spans="1:19" ht="18" customHeight="1">
      <c r="A15" s="2062"/>
      <c r="B15" s="2079"/>
      <c r="C15" s="2076" t="s">
        <v>1762</v>
      </c>
      <c r="D15" s="1051" t="str">
        <f>IF(B12="出让",IF(D13="","",ROUNDDOWN(MIN((D13-$D$3)/365,D14),2)),D14)</f>
        <v/>
      </c>
      <c r="E15" s="1051">
        <f>IF(B12="出让",IF(E13="","",ROUNDDOWN(MIN((E13-$D$3)/365,E14),2)),E14)</f>
        <v>37.200000000000003</v>
      </c>
      <c r="F15" s="1051">
        <f>IF(B12="出让",IF(F13="","",ROUNDDOWN(MIN((F13-$D$3)/365,F14),2)),F14)</f>
        <v>47.21</v>
      </c>
      <c r="G15" s="1051">
        <f>IF(B12="出让",IF(G13="","",ROUNDDOWN(MIN((G13-$D$3)/365,G14),2)),G14)</f>
        <v>47.21</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1763</v>
      </c>
      <c r="B16" s="3366" t="s">
        <v>3010</v>
      </c>
      <c r="C16" s="3367"/>
      <c r="D16" s="3368"/>
      <c r="E16" s="2083" t="s">
        <v>1764</v>
      </c>
      <c r="F16" s="3369"/>
      <c r="G16" s="3370"/>
      <c r="H16" s="3370"/>
      <c r="I16" s="3371"/>
      <c r="J16" s="2030"/>
      <c r="K16" s="2080"/>
      <c r="L16" s="2081"/>
      <c r="M16" s="2081"/>
      <c r="N16" s="2082"/>
      <c r="O16" s="2081"/>
      <c r="P16" s="2082"/>
      <c r="Q16" s="2030"/>
      <c r="R16" s="2030"/>
    </row>
    <row r="17" spans="1:22" ht="18" customHeight="1">
      <c r="A17" s="2084" t="s">
        <v>1765</v>
      </c>
      <c r="B17" s="2036" t="s">
        <v>1766</v>
      </c>
      <c r="C17" s="1056">
        <f>'数据-汇总表'!E3</f>
        <v>48502.210000000006</v>
      </c>
      <c r="D17" s="2085" t="s">
        <v>1767</v>
      </c>
      <c r="E17" s="3372" t="s">
        <v>3011</v>
      </c>
      <c r="F17" s="3373"/>
      <c r="G17" s="3373"/>
      <c r="H17" s="3373"/>
      <c r="I17" s="3374"/>
      <c r="J17" s="2030"/>
      <c r="K17" s="2086"/>
      <c r="L17" s="2081"/>
      <c r="M17" s="2081"/>
      <c r="N17" s="2082"/>
      <c r="O17" s="2081"/>
      <c r="P17" s="2082"/>
      <c r="Q17" s="2030"/>
      <c r="R17" s="2030"/>
      <c r="S17" s="2030"/>
      <c r="T17" s="2030"/>
      <c r="U17" s="2030"/>
      <c r="V17" s="2030"/>
    </row>
    <row r="18" spans="1:22" ht="36" customHeight="1" thickBot="1">
      <c r="A18" s="2087" t="s">
        <v>1768</v>
      </c>
      <c r="B18" s="2039" t="s">
        <v>1769</v>
      </c>
      <c r="C18" s="1446">
        <f>'数据-汇总表'!D3</f>
        <v>7449.74</v>
      </c>
      <c r="D18" s="2088" t="s">
        <v>1767</v>
      </c>
      <c r="E18" s="3375" t="s">
        <v>3012</v>
      </c>
      <c r="F18" s="3376"/>
      <c r="G18" s="3376"/>
      <c r="H18" s="3376"/>
      <c r="I18" s="3377"/>
      <c r="J18" s="2030"/>
      <c r="K18" s="2086"/>
      <c r="L18" s="2081"/>
      <c r="M18" s="2081"/>
      <c r="N18" s="2082"/>
      <c r="O18" s="2081"/>
      <c r="P18" s="2082"/>
      <c r="Q18" s="2030"/>
      <c r="R18" s="2030"/>
      <c r="S18" s="2030"/>
      <c r="T18" s="2030"/>
      <c r="U18" s="2030"/>
      <c r="V18" s="2030"/>
    </row>
    <row r="19" spans="1:22" ht="37.5" customHeight="1" thickTop="1" thickBot="1">
      <c r="A19" s="373" t="s">
        <v>1770</v>
      </c>
      <c r="B19" s="352" t="s">
        <v>1771</v>
      </c>
      <c r="C19" s="2089" t="s">
        <v>3013</v>
      </c>
      <c r="D19" s="2090" t="s">
        <v>1772</v>
      </c>
      <c r="E19" s="2091" t="s">
        <v>69</v>
      </c>
      <c r="F19" s="2092" t="str">
        <f>IF(AND(C19="是",E19="否"),"是否提供他项权证或相关说明","")</f>
        <v/>
      </c>
      <c r="G19" s="2093"/>
      <c r="H19" s="2043"/>
      <c r="I19" s="2043"/>
      <c r="J19" s="2043"/>
      <c r="K19" s="2053"/>
      <c r="L19" s="2029"/>
      <c r="M19" s="2029"/>
      <c r="N19" s="2082"/>
      <c r="O19" s="2081"/>
      <c r="P19" s="2082"/>
      <c r="Q19" s="2030"/>
      <c r="R19" s="2030"/>
      <c r="S19" s="2030"/>
      <c r="T19" s="2030"/>
      <c r="U19" s="2030"/>
      <c r="V19" s="2030"/>
    </row>
    <row r="20" spans="1:22" ht="18" customHeight="1">
      <c r="A20" s="2094" t="s">
        <v>1773</v>
      </c>
      <c r="B20" s="3362" t="s">
        <v>1774</v>
      </c>
      <c r="C20" s="3363"/>
      <c r="D20" s="3364" t="s">
        <v>1775</v>
      </c>
      <c r="E20" s="3365"/>
      <c r="F20" s="2095" t="s">
        <v>1776</v>
      </c>
      <c r="G20" s="2043"/>
      <c r="H20" s="2043"/>
      <c r="I20" s="2043"/>
      <c r="J20" s="2043"/>
      <c r="K20" s="3361" t="s">
        <v>1777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1778</v>
      </c>
      <c r="C21" s="2097" t="s">
        <v>1780</v>
      </c>
      <c r="D21" s="2098"/>
      <c r="E21" s="2099"/>
      <c r="F21" s="2100"/>
      <c r="G21" s="2043"/>
      <c r="H21" s="2043"/>
      <c r="I21" s="2043"/>
      <c r="J21" s="2043"/>
      <c r="K21" s="336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1779</v>
      </c>
      <c r="C22" s="2097" t="s">
        <v>1780</v>
      </c>
      <c r="D22" s="2027"/>
      <c r="E22" s="2027"/>
      <c r="F22" s="2102"/>
      <c r="G22" s="2043"/>
      <c r="H22" s="2043"/>
      <c r="I22" s="2043"/>
      <c r="J22" s="2043"/>
      <c r="K22" s="336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1781</v>
      </c>
      <c r="B23" s="183" t="s">
        <v>1782</v>
      </c>
      <c r="C23" s="2104"/>
      <c r="D23" s="2105" t="s">
        <v>1782</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1783</v>
      </c>
      <c r="C24" s="2109"/>
      <c r="D24" s="2103" t="s">
        <v>1783</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1784</v>
      </c>
      <c r="C25" s="2109"/>
      <c r="D25" s="2103" t="s">
        <v>1784</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1785</v>
      </c>
      <c r="C26" s="2113"/>
      <c r="D26" s="2114" t="s">
        <v>1786</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379" t="s">
        <v>1787</v>
      </c>
      <c r="B27" s="2062" t="s">
        <v>1788</v>
      </c>
      <c r="C27" s="2117" t="s">
        <v>3014</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379"/>
      <c r="B28" s="2036" t="s">
        <v>1789</v>
      </c>
      <c r="C28" s="2119" t="s">
        <v>3015</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379"/>
      <c r="B29" s="2036" t="s">
        <v>1790</v>
      </c>
      <c r="C29" s="2122" t="s">
        <v>3013</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380"/>
      <c r="B30" s="2036" t="s">
        <v>1791</v>
      </c>
      <c r="C30" s="3381"/>
      <c r="D30" s="3382"/>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383" t="s">
        <v>1792</v>
      </c>
      <c r="B31" s="2124" t="s">
        <v>3016</v>
      </c>
      <c r="C31" s="2125" t="str">
        <f>IF(B31="现房","成新及维护状况正常否",IF(B31="在建","工程状态是否正常",IF(B31="土地","是否闲置","-")))</f>
        <v>工程状态是否正常</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384"/>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384"/>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1793</v>
      </c>
      <c r="B34" s="2966" t="s">
        <v>3017</v>
      </c>
      <c r="C34" s="2966" t="s">
        <v>3018</v>
      </c>
      <c r="D34" s="2966" t="s">
        <v>3019</v>
      </c>
      <c r="E34" s="2966" t="s">
        <v>3020</v>
      </c>
      <c r="F34" s="2966" t="s">
        <v>3021</v>
      </c>
      <c r="G34" s="2131"/>
      <c r="H34" s="2131"/>
      <c r="I34" s="2043"/>
      <c r="J34" s="2043"/>
      <c r="K34" s="1797">
        <f>COUNTIF(B34:H34,"——")</f>
        <v>0</v>
      </c>
      <c r="L34" s="2072" t="s">
        <v>1794</v>
      </c>
      <c r="M34" s="2072" t="s">
        <v>1795</v>
      </c>
      <c r="N34" s="2072" t="s">
        <v>1796</v>
      </c>
      <c r="O34" s="2072" t="s">
        <v>1797</v>
      </c>
      <c r="P34" s="2072" t="s">
        <v>1798</v>
      </c>
      <c r="Q34" s="2072" t="s">
        <v>1799</v>
      </c>
      <c r="R34" s="2072" t="s">
        <v>1800</v>
      </c>
      <c r="S34" s="3378" t="s">
        <v>1801</v>
      </c>
      <c r="T34" s="2132" t="str">
        <f>NUMBERSTRING(7-K34,1)&amp;"通"</f>
        <v>七通</v>
      </c>
      <c r="U34" s="2030"/>
      <c r="V34" s="2030"/>
    </row>
    <row r="35" spans="1:22" ht="18" customHeight="1">
      <c r="A35" s="2133"/>
      <c r="B35" s="3385" t="s">
        <v>1802</v>
      </c>
      <c r="C35" s="3385"/>
      <c r="D35" s="3385"/>
      <c r="E35" s="3385"/>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78"/>
      <c r="T35" s="48" t="str">
        <f>IF(T34="一通",L35,IF(T34="二通",M35,IF(T34="三通",N35,IF(T34="四通",O35,IF(T34="五通",P35,IF(T34="六通",Q35,R35))))))</f>
        <v>通路、通电、通讯、通上水、通下水、、</v>
      </c>
      <c r="U35" s="2030"/>
      <c r="V35" s="2030"/>
    </row>
    <row r="36" spans="1:22" ht="18" customHeight="1">
      <c r="A36" s="2135"/>
      <c r="B36" s="2134" t="s">
        <v>1803</v>
      </c>
      <c r="C36" s="2134" t="s">
        <v>1804</v>
      </c>
      <c r="D36" s="2134" t="s">
        <v>1805</v>
      </c>
      <c r="E36" s="2134" t="s">
        <v>1806</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1807</v>
      </c>
      <c r="B37" s="2967" t="s">
        <v>268</v>
      </c>
      <c r="C37" s="2967" t="s">
        <v>268</v>
      </c>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1808</v>
      </c>
      <c r="B38" s="2967" t="s">
        <v>321</v>
      </c>
      <c r="C38" s="2967" t="s">
        <v>352</v>
      </c>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1810</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1811</v>
      </c>
      <c r="B42" s="1797" t="s">
        <v>1812</v>
      </c>
      <c r="C42" s="1797" t="s">
        <v>1813</v>
      </c>
      <c r="D42" s="1797" t="s">
        <v>1814</v>
      </c>
      <c r="E42" s="1797" t="s">
        <v>1815</v>
      </c>
      <c r="F42" s="1797" t="s">
        <v>1816</v>
      </c>
      <c r="G42" s="1797" t="s">
        <v>1817</v>
      </c>
      <c r="H42" s="1797" t="s">
        <v>1818</v>
      </c>
      <c r="I42" s="1797" t="s">
        <v>1819</v>
      </c>
      <c r="J42" s="2150" t="s">
        <v>1820</v>
      </c>
      <c r="K42" s="2073" t="s">
        <v>1821</v>
      </c>
      <c r="L42" s="2073" t="s">
        <v>1822</v>
      </c>
      <c r="M42" s="2073" t="s">
        <v>1823</v>
      </c>
      <c r="N42" s="1797" t="s">
        <v>1824</v>
      </c>
      <c r="O42" s="1797" t="s">
        <v>1825</v>
      </c>
      <c r="P42" s="1797" t="s">
        <v>1826</v>
      </c>
      <c r="Q42" s="2072" t="s">
        <v>1827</v>
      </c>
      <c r="R42" s="2072" t="s">
        <v>1828</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1830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1831</v>
      </c>
      <c r="B2" s="11" t="s">
        <v>1832</v>
      </c>
      <c r="C2" s="11" t="s">
        <v>1833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1834</v>
      </c>
      <c r="AZ2" s="1272" t="s">
        <v>1835</v>
      </c>
      <c r="BA2" s="11" t="s">
        <v>1836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8128.99</v>
      </c>
      <c r="B3" s="14">
        <f>IF(C3="否",G5-AT5,G5)</f>
        <v>52924.560000000012</v>
      </c>
      <c r="C3" s="2166" t="s">
        <v>2998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1837</v>
      </c>
      <c r="B5" s="1805"/>
      <c r="C5" s="1805"/>
      <c r="D5" s="1808"/>
      <c r="E5" s="16" t="s">
        <v>1</v>
      </c>
      <c r="F5" s="16">
        <f>SUM(F13:F587)</f>
        <v>0</v>
      </c>
      <c r="G5" s="16">
        <f>SUM(G13:G587)</f>
        <v>52924.560000000012</v>
      </c>
      <c r="H5" s="16">
        <f t="shared" ref="H5:AT5" si="0">SUM(H13:H656)</f>
        <v>47328.260000000009</v>
      </c>
      <c r="I5" s="16">
        <f t="shared" si="0"/>
        <v>34273.35</v>
      </c>
      <c r="J5" s="16">
        <f t="shared" si="0"/>
        <v>0</v>
      </c>
      <c r="K5" s="16">
        <f t="shared" si="0"/>
        <v>3842.1499999999996</v>
      </c>
      <c r="L5" s="16">
        <f t="shared" si="0"/>
        <v>0</v>
      </c>
      <c r="M5" s="16">
        <f t="shared" si="0"/>
        <v>4028.04</v>
      </c>
      <c r="N5" s="16">
        <f t="shared" si="0"/>
        <v>0</v>
      </c>
      <c r="O5" s="16">
        <f t="shared" si="0"/>
        <v>5184.72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1173.95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1173.95</v>
      </c>
      <c r="AO5" s="16">
        <f t="shared" si="0"/>
        <v>0</v>
      </c>
      <c r="AP5" s="16">
        <f t="shared" si="0"/>
        <v>0</v>
      </c>
      <c r="AQ5" s="16">
        <f t="shared" si="0"/>
        <v>0</v>
      </c>
      <c r="AR5" s="16">
        <f t="shared" si="0"/>
        <v>0</v>
      </c>
      <c r="AS5" s="16">
        <f t="shared" si="0"/>
        <v>0</v>
      </c>
      <c r="AT5" s="16">
        <f t="shared" si="0"/>
        <v>4422.3499999999995</v>
      </c>
      <c r="AU5" s="1804"/>
      <c r="AV5" s="15" t="s">
        <v>1837</v>
      </c>
      <c r="AW5" s="1805"/>
      <c r="AX5" s="1805"/>
      <c r="AY5" s="17" t="s">
        <v>3</v>
      </c>
      <c r="AZ5" s="18">
        <f t="shared" ref="AZ5:BT5" si="1">SUM(AZ13:AZ656)</f>
        <v>48502.210000000006</v>
      </c>
      <c r="BA5" s="18">
        <f t="shared" si="1"/>
        <v>47328.260000000009</v>
      </c>
      <c r="BB5" s="18">
        <f t="shared" si="1"/>
        <v>34273.35</v>
      </c>
      <c r="BC5" s="18">
        <f t="shared" si="1"/>
        <v>3842.1499999999996</v>
      </c>
      <c r="BD5" s="18">
        <f t="shared" si="1"/>
        <v>4028.04</v>
      </c>
      <c r="BE5" s="18">
        <f t="shared" si="1"/>
        <v>5184.72</v>
      </c>
      <c r="BF5" s="18">
        <f t="shared" si="1"/>
        <v>0</v>
      </c>
      <c r="BG5" s="18">
        <f t="shared" si="1"/>
        <v>0</v>
      </c>
      <c r="BH5" s="18">
        <f t="shared" si="1"/>
        <v>0</v>
      </c>
      <c r="BI5" s="18">
        <f t="shared" si="1"/>
        <v>0</v>
      </c>
      <c r="BJ5" s="18">
        <f t="shared" si="1"/>
        <v>0</v>
      </c>
      <c r="BK5" s="18">
        <f t="shared" si="1"/>
        <v>0</v>
      </c>
      <c r="BL5" s="18">
        <f t="shared" si="1"/>
        <v>1173.95</v>
      </c>
      <c r="BM5" s="18">
        <f t="shared" si="1"/>
        <v>0</v>
      </c>
      <c r="BN5" s="18">
        <f t="shared" si="1"/>
        <v>0</v>
      </c>
      <c r="BO5" s="18">
        <f t="shared" si="1"/>
        <v>0</v>
      </c>
      <c r="BP5" s="18">
        <f t="shared" si="1"/>
        <v>0</v>
      </c>
      <c r="BQ5" s="18">
        <f t="shared" si="1"/>
        <v>0</v>
      </c>
      <c r="BR5" s="18">
        <f t="shared" si="1"/>
        <v>1173.95</v>
      </c>
      <c r="BS5" s="18">
        <f t="shared" si="1"/>
        <v>0</v>
      </c>
      <c r="BT5" s="19">
        <f t="shared" si="1"/>
        <v>0</v>
      </c>
    </row>
    <row r="6" spans="1:72" s="2175" customFormat="1" ht="12.75">
      <c r="A6" s="15" t="s">
        <v>1838</v>
      </c>
      <c r="B6" s="2172"/>
      <c r="C6" s="2172"/>
      <c r="D6" s="2173"/>
      <c r="E6" s="16">
        <f>H6+AC6+AT6</f>
        <v>8128.9800000000005</v>
      </c>
      <c r="F6" s="16" t="s">
        <v>1</v>
      </c>
      <c r="G6" s="16" t="s">
        <v>2</v>
      </c>
      <c r="H6" s="20">
        <f>SUMIF(I$12:AB$12,"总值",I6:AB6)</f>
        <v>7269.42</v>
      </c>
      <c r="I6" s="16">
        <f t="shared" ref="I6:AB6" si="2">ROUND($A$3*I5/$B$3,2)</f>
        <v>5264.24</v>
      </c>
      <c r="J6" s="16">
        <f t="shared" si="2"/>
        <v>0</v>
      </c>
      <c r="K6" s="16">
        <f t="shared" si="2"/>
        <v>590.14</v>
      </c>
      <c r="L6" s="16">
        <f t="shared" si="2"/>
        <v>0</v>
      </c>
      <c r="M6" s="16">
        <f t="shared" si="2"/>
        <v>618.69000000000005</v>
      </c>
      <c r="N6" s="16">
        <f t="shared" si="2"/>
        <v>0</v>
      </c>
      <c r="O6" s="16">
        <f t="shared" si="2"/>
        <v>796.35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180.31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180.31</v>
      </c>
      <c r="AO6" s="16">
        <f t="shared" si="3"/>
        <v>0</v>
      </c>
      <c r="AP6" s="16">
        <f t="shared" si="3"/>
        <v>0</v>
      </c>
      <c r="AQ6" s="16">
        <f t="shared" si="3"/>
        <v>0</v>
      </c>
      <c r="AR6" s="16">
        <f t="shared" si="3"/>
        <v>0</v>
      </c>
      <c r="AS6" s="16">
        <f t="shared" si="3"/>
        <v>0</v>
      </c>
      <c r="AT6" s="20">
        <f>IF(C3="是",ROUND($A$3*AT5/$B$3,2),0)</f>
        <v>679.25</v>
      </c>
      <c r="AU6" s="2174"/>
      <c r="AV6" s="15" t="s">
        <v>1838</v>
      </c>
      <c r="AW6" s="2172"/>
      <c r="AX6" s="2172"/>
      <c r="AY6" s="21">
        <f>IF(AY3&gt;0,AY3,ROUND($A$3*AZ5/$B$3,2))</f>
        <v>7449.74</v>
      </c>
      <c r="AZ6" s="16" t="s">
        <v>3</v>
      </c>
      <c r="BA6" s="16">
        <f>ROUND($AY$6*BA5/$AZ$5,2)</f>
        <v>7269.43</v>
      </c>
      <c r="BB6" s="16">
        <f>ROUND($AY$6*BB5/$AZ$5,2)</f>
        <v>5264.25</v>
      </c>
      <c r="BC6" s="16">
        <f t="shared" ref="BC6:BH6" si="4">ROUND($AY$6*BC5/$AZ$5,2)</f>
        <v>590.14</v>
      </c>
      <c r="BD6" s="16">
        <f t="shared" si="4"/>
        <v>618.69000000000005</v>
      </c>
      <c r="BE6" s="16">
        <f t="shared" si="4"/>
        <v>796.35</v>
      </c>
      <c r="BF6" s="16">
        <f t="shared" si="4"/>
        <v>0</v>
      </c>
      <c r="BG6" s="16">
        <f t="shared" si="4"/>
        <v>0</v>
      </c>
      <c r="BH6" s="16">
        <f t="shared" si="4"/>
        <v>0</v>
      </c>
      <c r="BI6" s="16">
        <f t="shared" ref="BI6:BT6" si="5">ROUND($AY$6*BI5/$AZ$5,2)</f>
        <v>0</v>
      </c>
      <c r="BJ6" s="16">
        <f t="shared" si="5"/>
        <v>0</v>
      </c>
      <c r="BK6" s="16">
        <f t="shared" si="5"/>
        <v>0</v>
      </c>
      <c r="BL6" s="16">
        <f t="shared" si="5"/>
        <v>180.31</v>
      </c>
      <c r="BM6" s="16">
        <f t="shared" si="5"/>
        <v>0</v>
      </c>
      <c r="BN6" s="16">
        <f t="shared" si="5"/>
        <v>0</v>
      </c>
      <c r="BO6" s="16">
        <f t="shared" si="5"/>
        <v>0</v>
      </c>
      <c r="BP6" s="16">
        <f t="shared" si="5"/>
        <v>0</v>
      </c>
      <c r="BQ6" s="16">
        <f t="shared" si="5"/>
        <v>0</v>
      </c>
      <c r="BR6" s="16">
        <f t="shared" si="5"/>
        <v>180.31</v>
      </c>
      <c r="BS6" s="16">
        <f t="shared" si="5"/>
        <v>0</v>
      </c>
      <c r="BT6" s="22">
        <f t="shared" si="5"/>
        <v>0</v>
      </c>
    </row>
    <row r="7" spans="1:72" s="2165" customFormat="1" ht="24.75">
      <c r="A7" s="2107" t="s">
        <v>1839</v>
      </c>
      <c r="B7" s="2107" t="s">
        <v>1840</v>
      </c>
      <c r="C7" s="2107" t="s">
        <v>1841</v>
      </c>
      <c r="D7" s="2107" t="s">
        <v>1842</v>
      </c>
      <c r="E7" s="2107" t="s">
        <v>1843</v>
      </c>
      <c r="F7" s="2107" t="s">
        <v>1844</v>
      </c>
      <c r="G7" s="2176" t="s">
        <v>1845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1846</v>
      </c>
      <c r="AV7" s="23" t="s">
        <v>1847</v>
      </c>
      <c r="AW7" s="2164" t="s">
        <v>1848</v>
      </c>
      <c r="AX7" s="23" t="s">
        <v>1841</v>
      </c>
      <c r="AY7" s="1805" t="s">
        <v>1849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1850</v>
      </c>
      <c r="H8" s="2182" t="s">
        <v>1851</v>
      </c>
      <c r="I8" s="2183"/>
      <c r="J8" s="1820"/>
      <c r="K8" s="1820"/>
      <c r="L8" s="1820"/>
      <c r="M8" s="1820"/>
      <c r="N8" s="1820"/>
      <c r="O8" s="1820"/>
      <c r="P8" s="1820"/>
      <c r="Q8" s="1820"/>
      <c r="R8" s="1820"/>
      <c r="S8" s="1820"/>
      <c r="T8" s="1820"/>
      <c r="U8" s="1820"/>
      <c r="V8" s="2184"/>
      <c r="W8" s="1820"/>
      <c r="X8" s="1820"/>
      <c r="Y8" s="1820"/>
      <c r="Z8" s="1820"/>
      <c r="AA8" s="2184"/>
      <c r="AB8" s="2185"/>
      <c r="AC8" s="983" t="s">
        <v>1852</v>
      </c>
      <c r="AD8" s="2186"/>
      <c r="AE8" s="2178"/>
      <c r="AF8" s="1820"/>
      <c r="AG8" s="1820"/>
      <c r="AH8" s="1820"/>
      <c r="AI8" s="1820"/>
      <c r="AJ8" s="1820"/>
      <c r="AK8" s="1820"/>
      <c r="AL8" s="1820"/>
      <c r="AM8" s="1820"/>
      <c r="AN8" s="1820"/>
      <c r="AO8" s="1820"/>
      <c r="AP8" s="1820"/>
      <c r="AQ8" s="1820"/>
      <c r="AR8" s="1820"/>
      <c r="AS8" s="1820"/>
      <c r="AT8" s="1294" t="s">
        <v>1853</v>
      </c>
      <c r="AU8" s="2180" t="s">
        <v>1854</v>
      </c>
      <c r="AV8" s="1294"/>
      <c r="AW8" s="2163"/>
      <c r="AX8" s="1294"/>
      <c r="AY8" s="2164" t="s">
        <v>1855</v>
      </c>
      <c r="AZ8" s="1819" t="s">
        <v>1856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1857</v>
      </c>
      <c r="I9" s="2975" t="s">
        <v>3027</v>
      </c>
      <c r="J9" s="983"/>
      <c r="K9" s="2975" t="s">
        <v>3027</v>
      </c>
      <c r="L9" s="983"/>
      <c r="M9" s="2975" t="s">
        <v>3030</v>
      </c>
      <c r="N9" s="983"/>
      <c r="O9" s="2189" t="s">
        <v>3030</v>
      </c>
      <c r="P9" s="983"/>
      <c r="Q9" s="2189"/>
      <c r="R9" s="983"/>
      <c r="S9" s="2189"/>
      <c r="T9" s="983"/>
      <c r="U9" s="2189"/>
      <c r="V9" s="983"/>
      <c r="W9" s="2189"/>
      <c r="X9" s="2190"/>
      <c r="Y9" s="2189"/>
      <c r="Z9" s="983"/>
      <c r="AA9" s="2189"/>
      <c r="AB9" s="983"/>
      <c r="AC9" s="2181" t="s">
        <v>1857</v>
      </c>
      <c r="AD9" s="15" t="s">
        <v>1858</v>
      </c>
      <c r="AE9" s="1300"/>
      <c r="AF9" s="15" t="s">
        <v>1859</v>
      </c>
      <c r="AG9" s="1300"/>
      <c r="AH9" s="15" t="s">
        <v>1858</v>
      </c>
      <c r="AI9" s="1300"/>
      <c r="AJ9" s="15" t="s">
        <v>1859</v>
      </c>
      <c r="AK9" s="1300"/>
      <c r="AL9" s="15" t="s">
        <v>1858</v>
      </c>
      <c r="AM9" s="1300"/>
      <c r="AN9" s="15" t="s">
        <v>1859</v>
      </c>
      <c r="AO9" s="1300"/>
      <c r="AP9" s="15" t="s">
        <v>1858</v>
      </c>
      <c r="AQ9" s="1300"/>
      <c r="AR9" s="15" t="s">
        <v>1859</v>
      </c>
      <c r="AS9" s="2191"/>
      <c r="AT9" s="2180"/>
      <c r="AU9" s="2180" t="s">
        <v>1860</v>
      </c>
      <c r="AV9" s="1294"/>
      <c r="AW9" s="2163"/>
      <c r="AX9" s="1294"/>
      <c r="AY9" s="28"/>
      <c r="AZ9" s="28" t="s">
        <v>1850</v>
      </c>
      <c r="BA9" s="2192" t="s">
        <v>1861</v>
      </c>
      <c r="BB9" s="2193"/>
      <c r="BC9" s="1340"/>
      <c r="BD9" s="1340"/>
      <c r="BE9" s="1340"/>
      <c r="BF9" s="1340"/>
      <c r="BG9" s="1340"/>
      <c r="BH9" s="1340"/>
      <c r="BI9" s="1340"/>
      <c r="BJ9" s="1340"/>
      <c r="BK9" s="2194"/>
      <c r="BL9" s="15" t="s">
        <v>1862</v>
      </c>
      <c r="BM9" s="1820"/>
      <c r="BN9" s="2183"/>
      <c r="BO9" s="1820"/>
      <c r="BP9" s="1820"/>
      <c r="BQ9" s="1820"/>
      <c r="BR9" s="1820"/>
      <c r="BS9" s="1820"/>
      <c r="BT9" s="26"/>
    </row>
    <row r="10" spans="1:72" s="2187" customFormat="1" ht="12.75">
      <c r="A10" s="2180"/>
      <c r="B10" s="2180"/>
      <c r="C10" s="2180"/>
      <c r="D10" s="2180"/>
      <c r="E10" s="2180"/>
      <c r="F10" s="2180"/>
      <c r="G10" s="1294"/>
      <c r="H10" s="28"/>
      <c r="I10" s="2975" t="s">
        <v>26</v>
      </c>
      <c r="J10" s="983"/>
      <c r="K10" s="2977" t="s">
        <v>1373</v>
      </c>
      <c r="L10" s="983"/>
      <c r="M10" s="2977" t="s">
        <v>1373</v>
      </c>
      <c r="N10" s="983"/>
      <c r="O10" s="2195" t="s">
        <v>3031</v>
      </c>
      <c r="P10" s="983"/>
      <c r="Q10" s="2195"/>
      <c r="R10" s="983"/>
      <c r="S10" s="2195"/>
      <c r="T10" s="983"/>
      <c r="U10" s="2195"/>
      <c r="V10" s="983"/>
      <c r="W10" s="2195"/>
      <c r="X10" s="983"/>
      <c r="Y10" s="2195"/>
      <c r="Z10" s="983"/>
      <c r="AA10" s="2195"/>
      <c r="AB10" s="983"/>
      <c r="AC10" s="1294"/>
      <c r="AD10" s="15" t="s">
        <v>1863</v>
      </c>
      <c r="AE10" s="2196"/>
      <c r="AF10" s="15" t="s">
        <v>1863</v>
      </c>
      <c r="AG10" s="2196"/>
      <c r="AH10" s="15" t="s">
        <v>1864</v>
      </c>
      <c r="AI10" s="2196"/>
      <c r="AJ10" s="15" t="s">
        <v>1864</v>
      </c>
      <c r="AK10" s="2196"/>
      <c r="AL10" s="15" t="s">
        <v>1865</v>
      </c>
      <c r="AM10" s="1300"/>
      <c r="AN10" s="15" t="s">
        <v>1865</v>
      </c>
      <c r="AO10" s="1300"/>
      <c r="AP10" s="15" t="s">
        <v>1866</v>
      </c>
      <c r="AQ10" s="1300"/>
      <c r="AR10" s="15" t="s">
        <v>1866</v>
      </c>
      <c r="AS10" s="1300"/>
      <c r="AT10" s="2180"/>
      <c r="AU10" s="2180"/>
      <c r="AV10" s="1294"/>
      <c r="AW10" s="2163"/>
      <c r="AX10" s="1294"/>
      <c r="AY10" s="28"/>
      <c r="AZ10" s="28"/>
      <c r="BA10" s="2197" t="s">
        <v>1857</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1857</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976" t="s">
        <v>3028</v>
      </c>
      <c r="J11" s="2201"/>
      <c r="K11" s="2976" t="s">
        <v>3029</v>
      </c>
      <c r="L11" s="2201"/>
      <c r="M11" s="2200" t="s">
        <v>3029</v>
      </c>
      <c r="N11" s="2201"/>
      <c r="O11" s="2200" t="s">
        <v>3032</v>
      </c>
      <c r="P11" s="2201"/>
      <c r="Q11" s="2200"/>
      <c r="R11" s="2201"/>
      <c r="S11" s="2200"/>
      <c r="T11" s="2201"/>
      <c r="U11" s="2200"/>
      <c r="V11" s="2201"/>
      <c r="W11" s="2200"/>
      <c r="X11" s="2201"/>
      <c r="Y11" s="2200"/>
      <c r="Z11" s="2201"/>
      <c r="AA11" s="2200"/>
      <c r="AB11" s="2201"/>
      <c r="AC11" s="1294"/>
      <c r="AD11" s="2202" t="s">
        <v>1867</v>
      </c>
      <c r="AE11" s="1821"/>
      <c r="AF11" s="2202" t="s">
        <v>1867</v>
      </c>
      <c r="AG11" s="1821"/>
      <c r="AH11" s="2202" t="s">
        <v>1868</v>
      </c>
      <c r="AI11" s="2203"/>
      <c r="AJ11" s="2202" t="s">
        <v>1868</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商业</v>
      </c>
      <c r="BD11" s="2185" t="str">
        <f>M10</f>
        <v>商业</v>
      </c>
      <c r="BE11" s="2185" t="str">
        <f>O10</f>
        <v>车库—办公</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804" t="s">
        <v>1870</v>
      </c>
      <c r="W12" s="11" t="s">
        <v>1869</v>
      </c>
      <c r="X12" s="11" t="s">
        <v>1870</v>
      </c>
      <c r="Y12" s="11" t="s">
        <v>1869</v>
      </c>
      <c r="Z12" s="11" t="s">
        <v>1870</v>
      </c>
      <c r="AA12" s="11" t="s">
        <v>1869</v>
      </c>
      <c r="AB12" s="11" t="s">
        <v>1870</v>
      </c>
      <c r="AC12" s="2207"/>
      <c r="AD12" s="1808"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5" t="s">
        <v>1870</v>
      </c>
      <c r="AT12" s="2208"/>
      <c r="AU12" s="2205"/>
      <c r="AV12" s="31"/>
      <c r="AW12" s="2164"/>
      <c r="AX12" s="31"/>
      <c r="AY12" s="2209"/>
      <c r="AZ12" s="28"/>
      <c r="BA12" s="2197"/>
      <c r="BB12" s="24" t="str">
        <f>I11</f>
        <v>办公楼</v>
      </c>
      <c r="BC12" s="2210" t="str">
        <f>K11</f>
        <v>底商</v>
      </c>
      <c r="BD12" s="2210" t="str">
        <f>M11</f>
        <v>底商</v>
      </c>
      <c r="BE12" s="2185" t="str">
        <f>O11</f>
        <v>车库</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68" t="s">
        <v>3022</v>
      </c>
      <c r="D13" s="2969" t="s">
        <v>2998</v>
      </c>
      <c r="E13" s="16">
        <f>IF($C$3="是",ROUND($A$3*G13/$B$3,2),ROUND($A$3*(G13-AT13)/$B$3,2))</f>
        <v>5429.78</v>
      </c>
      <c r="F13" s="32"/>
      <c r="G13" s="33">
        <f>H13+AC13+AT13</f>
        <v>35351.08</v>
      </c>
      <c r="H13" s="20">
        <f>SUMIF(I$12:AB$12,"总值",I13:AB13)</f>
        <v>35337.89</v>
      </c>
      <c r="I13" s="2973">
        <v>34273.35</v>
      </c>
      <c r="J13" s="2973"/>
      <c r="K13" s="2973">
        <v>1064.54</v>
      </c>
      <c r="L13" s="2973"/>
      <c r="M13" s="2973"/>
      <c r="N13" s="2211"/>
      <c r="O13" s="2211"/>
      <c r="P13" s="2973"/>
      <c r="Q13" s="2973"/>
      <c r="R13" s="2973"/>
      <c r="S13" s="2973"/>
      <c r="T13" s="2973"/>
      <c r="U13" s="2973"/>
      <c r="V13" s="2973"/>
      <c r="W13" s="2973"/>
      <c r="X13" s="2973"/>
      <c r="Y13" s="2973"/>
      <c r="Z13" s="2973"/>
      <c r="AA13" s="2973"/>
      <c r="AB13" s="2973"/>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v>13.19</v>
      </c>
      <c r="AU13" s="2214"/>
      <c r="AV13" s="11">
        <f t="shared" ref="AV13:AX17" si="6">A13</f>
        <v>0</v>
      </c>
      <c r="AW13" s="11">
        <f t="shared" si="6"/>
        <v>0</v>
      </c>
      <c r="AX13" s="11" t="str">
        <f t="shared" si="6"/>
        <v>1#办公楼</v>
      </c>
      <c r="AY13" s="1808">
        <f>ROUND($AY$6*AZ13/$AZ$5,2)</f>
        <v>5427.75</v>
      </c>
      <c r="AZ13" s="16">
        <f>BA13+BL13</f>
        <v>35337.89</v>
      </c>
      <c r="BA13" s="16">
        <f>SUM(BB13:BK13)</f>
        <v>35337.89</v>
      </c>
      <c r="BB13" s="16">
        <f>IF($D13="是",I13-J13,0)</f>
        <v>34273.35</v>
      </c>
      <c r="BC13" s="16">
        <f>IF($D13="是",K13-L13,0)</f>
        <v>1064.54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70" t="s">
        <v>3023</v>
      </c>
      <c r="D14" s="2969" t="s">
        <v>2998</v>
      </c>
      <c r="E14" s="16">
        <f>IF($C$3="是",ROUND($A$3*G14/$B$3,2),ROUND($A$3*(G14-AT14)/$B$3,2))</f>
        <v>115.76</v>
      </c>
      <c r="F14" s="32"/>
      <c r="G14" s="33">
        <f>H14+AC14+AT14</f>
        <v>753.65</v>
      </c>
      <c r="H14" s="20">
        <f>SUMIF(I$12:AB$12,"总值",I14:AB14)</f>
        <v>753.65</v>
      </c>
      <c r="I14" s="2973"/>
      <c r="J14" s="2973"/>
      <c r="K14" s="2973">
        <v>753.65</v>
      </c>
      <c r="L14" s="2973"/>
      <c r="M14" s="2973"/>
      <c r="N14" s="2211"/>
      <c r="O14" s="2211"/>
      <c r="P14" s="2973"/>
      <c r="Q14" s="2973"/>
      <c r="R14" s="2973"/>
      <c r="S14" s="2973"/>
      <c r="T14" s="2973"/>
      <c r="U14" s="2973"/>
      <c r="V14" s="2973"/>
      <c r="W14" s="2973"/>
      <c r="X14" s="2973"/>
      <c r="Y14" s="2973"/>
      <c r="Z14" s="2973"/>
      <c r="AA14" s="2973"/>
      <c r="AB14" s="2973"/>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v>0</v>
      </c>
      <c r="AU14" s="2214"/>
      <c r="AV14" s="11">
        <f t="shared" si="6"/>
        <v>0</v>
      </c>
      <c r="AW14" s="11">
        <f t="shared" si="6"/>
        <v>0</v>
      </c>
      <c r="AX14" s="11" t="str">
        <f t="shared" si="6"/>
        <v>2#商业楼</v>
      </c>
      <c r="AY14" s="1808">
        <f>ROUND($AY$6*AZ14/$AZ$5,2)</f>
        <v>115.76</v>
      </c>
      <c r="AZ14" s="16">
        <f>BA14+BL14</f>
        <v>753.65</v>
      </c>
      <c r="BA14" s="16">
        <f>SUM(BB14:BK14)</f>
        <v>753.65</v>
      </c>
      <c r="BB14" s="16">
        <f>IF($D14="是",I14-J14,0)</f>
        <v>0</v>
      </c>
      <c r="BC14" s="16">
        <f>IF($D14="是",K14-L14,0)</f>
        <v>753.65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70" t="s">
        <v>3024</v>
      </c>
      <c r="D15" s="2969" t="s">
        <v>2998</v>
      </c>
      <c r="E15" s="16">
        <f>IF($C$3="是",ROUND($A$3*G15/$B$3,2),ROUND($A$3*(G15-AT15)/$B$3,2))</f>
        <v>85.52</v>
      </c>
      <c r="F15" s="32"/>
      <c r="G15" s="33">
        <f>H15+AC15+AT15</f>
        <v>556.79</v>
      </c>
      <c r="H15" s="20">
        <f>SUMIF(I$12:AB$12,"总值",I15:AB15)</f>
        <v>556.79</v>
      </c>
      <c r="I15" s="2973"/>
      <c r="J15" s="2973"/>
      <c r="K15" s="2973">
        <v>556.79</v>
      </c>
      <c r="L15" s="2973"/>
      <c r="M15" s="2973"/>
      <c r="N15" s="2211"/>
      <c r="O15" s="2211"/>
      <c r="P15" s="2973"/>
      <c r="Q15" s="2973"/>
      <c r="R15" s="2973"/>
      <c r="S15" s="2973"/>
      <c r="T15" s="2973"/>
      <c r="U15" s="2973"/>
      <c r="V15" s="2973"/>
      <c r="W15" s="2973"/>
      <c r="X15" s="2973"/>
      <c r="Y15" s="2973"/>
      <c r="Z15" s="2973"/>
      <c r="AA15" s="2973"/>
      <c r="AB15" s="2973"/>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v>0</v>
      </c>
      <c r="AU15" s="2214"/>
      <c r="AV15" s="11">
        <f t="shared" si="6"/>
        <v>0</v>
      </c>
      <c r="AW15" s="11">
        <f t="shared" si="6"/>
        <v>0</v>
      </c>
      <c r="AX15" s="11" t="str">
        <f t="shared" si="6"/>
        <v>3#商业楼</v>
      </c>
      <c r="AY15" s="1808">
        <f>ROUND($AY$6*AZ15/$AZ$5,2)</f>
        <v>85.52</v>
      </c>
      <c r="AZ15" s="16">
        <f>BA15+BL15</f>
        <v>556.79</v>
      </c>
      <c r="BA15" s="16">
        <f>SUM(BB15:BK15)</f>
        <v>556.79</v>
      </c>
      <c r="BB15" s="16">
        <f>IF($D15="是",I15-J15,0)</f>
        <v>0</v>
      </c>
      <c r="BC15" s="16">
        <f>IF($D15="是",K15-L15,0)</f>
        <v>556.79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70" t="s">
        <v>3025</v>
      </c>
      <c r="D16" s="2969" t="s">
        <v>2998</v>
      </c>
      <c r="E16" s="16">
        <f>IF($C$3="是",ROUND($A$3*G16/$B$3,2),ROUND($A$3*(G16-AT16)/$B$3,2))</f>
        <v>93.05</v>
      </c>
      <c r="F16" s="32"/>
      <c r="G16" s="33">
        <f>H16+AC16+AT16</f>
        <v>605.79999999999995</v>
      </c>
      <c r="H16" s="20">
        <f>SUMIF(I$12:AB$12,"总值",I16:AB16)</f>
        <v>605.79999999999995</v>
      </c>
      <c r="I16" s="2973"/>
      <c r="J16" s="2973"/>
      <c r="K16" s="2973">
        <v>605.79999999999995</v>
      </c>
      <c r="L16" s="2973"/>
      <c r="M16" s="2973"/>
      <c r="N16" s="2211"/>
      <c r="O16" s="2211"/>
      <c r="P16" s="2973"/>
      <c r="Q16" s="2973"/>
      <c r="R16" s="2973"/>
      <c r="S16" s="2973"/>
      <c r="T16" s="2973"/>
      <c r="U16" s="2973"/>
      <c r="V16" s="2973"/>
      <c r="W16" s="2973"/>
      <c r="X16" s="2973"/>
      <c r="Y16" s="2973"/>
      <c r="Z16" s="2973"/>
      <c r="AA16" s="2973"/>
      <c r="AB16" s="2973"/>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v>0</v>
      </c>
      <c r="AU16" s="2214"/>
      <c r="AV16" s="11">
        <f t="shared" si="6"/>
        <v>0</v>
      </c>
      <c r="AW16" s="11">
        <f t="shared" si="6"/>
        <v>0</v>
      </c>
      <c r="AX16" s="11" t="str">
        <f t="shared" si="6"/>
        <v>4#商业楼</v>
      </c>
      <c r="AY16" s="1808">
        <f>ROUND($AY$6*AZ16/$AZ$5,2)</f>
        <v>93.05</v>
      </c>
      <c r="AZ16" s="16">
        <f>BA16+BL16</f>
        <v>605.79999999999995</v>
      </c>
      <c r="BA16" s="16">
        <f>SUM(BB16:BK16)</f>
        <v>605.79999999999995</v>
      </c>
      <c r="BB16" s="16">
        <f>IF($D16="是",I16-J16,0)</f>
        <v>0</v>
      </c>
      <c r="BC16" s="16">
        <f>IF($D16="是",K16-L16,0)</f>
        <v>605.79999999999995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70" t="s">
        <v>3026</v>
      </c>
      <c r="D17" s="2969" t="s">
        <v>2998</v>
      </c>
      <c r="E17" s="16">
        <f>IF($C$3="是",ROUND($A$3*G17/$B$3,2),ROUND($A$3*(G17-AT17)/$B$3,2))</f>
        <v>132.30000000000001</v>
      </c>
      <c r="F17" s="32"/>
      <c r="G17" s="33">
        <f>H17+AC17+AT17</f>
        <v>861.37</v>
      </c>
      <c r="H17" s="20">
        <f>SUMIF(I$12:AB$12,"总值",I17:AB17)</f>
        <v>861.37</v>
      </c>
      <c r="I17" s="2973"/>
      <c r="J17" s="2973"/>
      <c r="K17" s="2973">
        <v>861.37</v>
      </c>
      <c r="L17" s="2973"/>
      <c r="M17" s="2973"/>
      <c r="N17" s="2211"/>
      <c r="O17" s="2211"/>
      <c r="P17" s="2973"/>
      <c r="Q17" s="2973"/>
      <c r="R17" s="2973"/>
      <c r="S17" s="2973"/>
      <c r="T17" s="2973"/>
      <c r="U17" s="2973"/>
      <c r="V17" s="2973"/>
      <c r="W17" s="2973"/>
      <c r="X17" s="2973"/>
      <c r="Y17" s="2973"/>
      <c r="Z17" s="2973"/>
      <c r="AA17" s="2973"/>
      <c r="AB17" s="2973"/>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v>0</v>
      </c>
      <c r="AU17" s="2214"/>
      <c r="AV17" s="11">
        <f t="shared" si="6"/>
        <v>0</v>
      </c>
      <c r="AW17" s="11">
        <f t="shared" si="6"/>
        <v>0</v>
      </c>
      <c r="AX17" s="11" t="str">
        <f t="shared" si="6"/>
        <v>5#商业楼</v>
      </c>
      <c r="AY17" s="1808">
        <f>ROUND($AY$6*AZ17/$AZ$5,2)</f>
        <v>132.30000000000001</v>
      </c>
      <c r="AZ17" s="16">
        <f>BA17+BL17</f>
        <v>861.37</v>
      </c>
      <c r="BA17" s="16">
        <f>SUM(BB17:BK17)</f>
        <v>861.37</v>
      </c>
      <c r="BB17" s="16">
        <f>IF($D17="是",I17-J17,0)</f>
        <v>0</v>
      </c>
      <c r="BC17" s="16">
        <f>IF($D17="是",K17-L17,0)</f>
        <v>861.37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70" t="s">
        <v>3253</v>
      </c>
      <c r="D18" s="2971" t="s">
        <v>2998</v>
      </c>
      <c r="E18" s="35">
        <f t="shared" ref="E18:E112" si="7">IF($C$3="是",ROUND($A$3*G18/$B$3,2),ROUND($A$3*(G18-AT18)/$B$3,2))</f>
        <v>2272.58</v>
      </c>
      <c r="F18" s="36"/>
      <c r="G18" s="37">
        <f t="shared" ref="G18:G109" si="8">H18+AC18+AT18</f>
        <v>14795.87</v>
      </c>
      <c r="H18" s="38">
        <f t="shared" ref="H18:H109" si="9">SUMIF(I$12:AB$12,"总值",I18:AB18)</f>
        <v>9212.76</v>
      </c>
      <c r="I18" s="2974"/>
      <c r="J18" s="39"/>
      <c r="K18" s="2974"/>
      <c r="L18" s="39"/>
      <c r="M18" s="39">
        <v>4028.04</v>
      </c>
      <c r="N18" s="39"/>
      <c r="O18" s="39">
        <v>5184.72</v>
      </c>
      <c r="P18" s="39"/>
      <c r="Q18" s="39"/>
      <c r="R18" s="39"/>
      <c r="S18" s="39"/>
      <c r="T18" s="39"/>
      <c r="U18" s="39"/>
      <c r="V18" s="39"/>
      <c r="W18" s="39"/>
      <c r="X18" s="39"/>
      <c r="Y18" s="39"/>
      <c r="Z18" s="39"/>
      <c r="AA18" s="39"/>
      <c r="AB18" s="39"/>
      <c r="AC18" s="35">
        <f t="shared" ref="AC18:AC109" si="10">SUMIF(AD$12:AS$12,"总值",AD18:AS18)</f>
        <v>1173.95</v>
      </c>
      <c r="AD18" s="40"/>
      <c r="AE18" s="40"/>
      <c r="AF18" s="40"/>
      <c r="AG18" s="40"/>
      <c r="AH18" s="40"/>
      <c r="AI18" s="40"/>
      <c r="AJ18" s="40"/>
      <c r="AK18" s="40"/>
      <c r="AL18" s="40"/>
      <c r="AM18" s="40"/>
      <c r="AN18" s="40">
        <v>1173.95</v>
      </c>
      <c r="AO18" s="40"/>
      <c r="AP18" s="40"/>
      <c r="AQ18" s="40"/>
      <c r="AR18" s="40"/>
      <c r="AS18" s="40"/>
      <c r="AT18" s="41">
        <v>4409.16</v>
      </c>
      <c r="AU18" s="2216"/>
      <c r="AV18" s="1797">
        <f t="shared" ref="AV18:AV112" si="11">A18</f>
        <v>0</v>
      </c>
      <c r="AW18" s="1797">
        <f t="shared" ref="AW18:AW112" si="12">B18</f>
        <v>0</v>
      </c>
      <c r="AX18" s="1797" t="str">
        <f t="shared" ref="AX18:AX112" si="13">C18</f>
        <v>地下汽车库</v>
      </c>
      <c r="AY18" s="42">
        <f t="shared" ref="AY18:AY109" si="14">ROUND($AY$6*AZ18/$AZ$5,2)</f>
        <v>1595.36</v>
      </c>
      <c r="AZ18" s="35">
        <f t="shared" ref="AZ18:AZ109" si="15">BA18+BL18</f>
        <v>10386.710000000001</v>
      </c>
      <c r="BA18" s="35">
        <f t="shared" ref="BA18:BA109" si="16">SUM(BB18:BK18)</f>
        <v>9212.76</v>
      </c>
      <c r="BB18" s="35">
        <f t="shared" ref="BB18:BB109" si="17">IF($D18="是",I18-J18,0)</f>
        <v>0</v>
      </c>
      <c r="BC18" s="35">
        <f t="shared" ref="BC18:BC109" si="18">IF($D18="是",K18-L18,0)</f>
        <v>0</v>
      </c>
      <c r="BD18" s="35">
        <f t="shared" ref="BD18:BD109" si="19">IF($D18="是",M18-N18,0)</f>
        <v>4028.04</v>
      </c>
      <c r="BE18" s="35">
        <f t="shared" ref="BE18:BE109" si="20">IF($D18="是",O18-P18,0)</f>
        <v>5184.72</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1173.95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1173.95</v>
      </c>
      <c r="BS18" s="35">
        <f t="shared" ref="BS18:BS109" si="34">IF($D18="是",AP18-AQ18,0)</f>
        <v>0</v>
      </c>
      <c r="BT18" s="43">
        <f t="shared" ref="BT18:BT109" si="35">IF($D18="是",AR18-AS18,0)</f>
        <v>0</v>
      </c>
    </row>
    <row r="19" spans="1:72">
      <c r="A19" s="9"/>
      <c r="B19" s="34"/>
      <c r="C19" s="2970"/>
      <c r="D19" s="2972"/>
      <c r="E19" s="35">
        <f t="shared" si="7"/>
        <v>0</v>
      </c>
      <c r="F19" s="36"/>
      <c r="G19" s="37">
        <f t="shared" si="8"/>
        <v>0</v>
      </c>
      <c r="H19" s="38">
        <f t="shared" si="9"/>
        <v>0</v>
      </c>
      <c r="I19" s="2974"/>
      <c r="J19" s="39"/>
      <c r="K19" s="2974"/>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3"/>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6" t="s">
        <v>0</v>
      </c>
      <c r="B1" s="3386" t="s">
        <v>4</v>
      </c>
      <c r="C1" s="3386" t="s">
        <v>5</v>
      </c>
      <c r="D1" s="3387" t="s">
        <v>52</v>
      </c>
      <c r="E1" s="3387" t="s">
        <v>53</v>
      </c>
      <c r="F1" s="3387"/>
      <c r="G1" s="3387"/>
      <c r="H1" s="3387"/>
      <c r="I1" s="3387"/>
      <c r="J1" s="3387"/>
      <c r="K1" s="3387"/>
      <c r="L1" s="3387"/>
      <c r="M1" s="3387"/>
    </row>
    <row r="2" spans="1:13" ht="27" customHeight="1">
      <c r="A2" s="3386"/>
      <c r="B2" s="3386"/>
      <c r="C2" s="3386"/>
      <c r="D2" s="3387"/>
      <c r="E2" s="3387" t="s">
        <v>36</v>
      </c>
      <c r="F2" s="3387" t="s">
        <v>37</v>
      </c>
      <c r="G2" s="3387"/>
      <c r="H2" s="3387"/>
      <c r="I2" s="3387"/>
      <c r="J2" s="3387" t="s">
        <v>38</v>
      </c>
      <c r="K2" s="3387"/>
      <c r="L2" s="3387"/>
      <c r="M2" s="3387"/>
    </row>
    <row r="3" spans="1:13" ht="28.5">
      <c r="A3" s="3386"/>
      <c r="B3" s="3386"/>
      <c r="C3" s="3386"/>
      <c r="D3" s="3387"/>
      <c r="E3" s="3387"/>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387" t="s">
        <v>54</v>
      </c>
      <c r="B9" s="3387"/>
      <c r="C9" s="33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1896</v>
      </c>
      <c r="B1" s="1394"/>
      <c r="C1" s="1394"/>
      <c r="D1" s="1394"/>
      <c r="E1" s="1394"/>
      <c r="F1" s="1394"/>
      <c r="G1" s="1394"/>
      <c r="H1" s="1394"/>
      <c r="I1" s="1394"/>
      <c r="J1" s="1394"/>
      <c r="K1" s="1394"/>
      <c r="L1" s="1394"/>
      <c r="M1" s="1394"/>
      <c r="N1" s="1394"/>
      <c r="O1" s="1394"/>
      <c r="P1" s="1394"/>
    </row>
    <row r="2" spans="1:16" ht="15">
      <c r="A2" s="3397" t="s">
        <v>1897</v>
      </c>
      <c r="B2" s="3397"/>
      <c r="C2" s="3397"/>
      <c r="D2" s="969" t="s">
        <v>1873</v>
      </c>
      <c r="E2" s="2224" t="s">
        <v>1874</v>
      </c>
      <c r="F2" s="1394"/>
      <c r="G2" s="2225"/>
      <c r="H2" s="2226"/>
      <c r="I2" s="2227" t="s">
        <v>1898</v>
      </c>
      <c r="J2" s="1394"/>
      <c r="K2" s="1394"/>
      <c r="L2" s="1394"/>
      <c r="M2" s="1394"/>
      <c r="N2" s="1429"/>
      <c r="O2" s="1394"/>
      <c r="P2" s="1394"/>
    </row>
    <row r="3" spans="1:16" ht="15.75" thickBot="1">
      <c r="A3" s="3398" t="s">
        <v>1871</v>
      </c>
      <c r="B3" s="3398"/>
      <c r="C3" s="3398"/>
      <c r="D3" s="46">
        <f>'数据-基础表'!AY6</f>
        <v>7449.74</v>
      </c>
      <c r="E3" s="46">
        <f>'数据-基础表'!AZ5</f>
        <v>48502.210000000006</v>
      </c>
      <c r="F3" s="1394"/>
      <c r="G3" s="1401"/>
      <c r="H3" s="1249" t="s">
        <v>1872</v>
      </c>
      <c r="I3" s="55">
        <f>ROUND('数据-基础表'!B3/'数据-基础表'!A3,2)</f>
        <v>6.51</v>
      </c>
      <c r="J3" s="1394"/>
      <c r="K3" s="1394"/>
      <c r="L3" s="1394"/>
      <c r="M3" s="1394"/>
      <c r="N3" s="1429"/>
      <c r="O3" s="1394"/>
      <c r="P3" s="1394"/>
    </row>
    <row r="4" spans="1:16" ht="15">
      <c r="A4" s="3399"/>
      <c r="B4" s="3400"/>
      <c r="C4" s="3401"/>
      <c r="D4" s="2228" t="s">
        <v>1873</v>
      </c>
      <c r="E4" s="2229" t="s">
        <v>1874</v>
      </c>
      <c r="F4" s="1394"/>
      <c r="G4" s="2230" t="s">
        <v>1899</v>
      </c>
      <c r="H4" s="1249" t="s">
        <v>1879</v>
      </c>
      <c r="I4" s="55">
        <f>ROUND(SUMIF('数据-基础表'!I9:AS9,"地上",'数据-基础表'!I5:AS5)/'数据-基础表'!A3,2)</f>
        <v>4.6900000000000004</v>
      </c>
      <c r="J4" s="1394"/>
      <c r="K4" s="1394"/>
      <c r="L4" s="1394"/>
      <c r="M4" s="1394"/>
      <c r="N4" s="1429"/>
      <c r="O4" s="1394"/>
      <c r="P4" s="1394"/>
    </row>
    <row r="5" spans="1:16">
      <c r="A5" s="47" t="s">
        <v>1875</v>
      </c>
      <c r="B5" s="3402" t="s">
        <v>1876</v>
      </c>
      <c r="C5" s="3402"/>
      <c r="D5" s="48">
        <f>ROUND($D$3*E5/$E$3,2)</f>
        <v>0</v>
      </c>
      <c r="E5" s="49">
        <f>SUMIF('数据-基础表'!$11:$11,"住宅",'数据-基础表'!$5:$5)</f>
        <v>0</v>
      </c>
      <c r="F5" s="1394"/>
      <c r="G5" s="1401"/>
      <c r="H5" s="1249" t="s">
        <v>1872</v>
      </c>
      <c r="I5" s="55">
        <f>ROUND(E31/D31,2)</f>
        <v>6.51</v>
      </c>
      <c r="J5" s="1394"/>
      <c r="K5" s="1394"/>
      <c r="L5" s="1394"/>
      <c r="M5" s="1394"/>
      <c r="N5" s="1394"/>
      <c r="O5" s="1394"/>
      <c r="P5" s="1394"/>
    </row>
    <row r="6" spans="1:16" ht="15" thickBot="1">
      <c r="A6" s="2231"/>
      <c r="B6" s="3402" t="s">
        <v>1877</v>
      </c>
      <c r="C6" s="3402"/>
      <c r="D6" s="48">
        <f>ROUND($D$3*E6/$E$3,2)</f>
        <v>7449.74</v>
      </c>
      <c r="E6" s="49">
        <f>E3-E5</f>
        <v>48502.210000000006</v>
      </c>
      <c r="F6" s="1394"/>
      <c r="G6" s="2232" t="s">
        <v>1878</v>
      </c>
      <c r="H6" s="1401" t="s">
        <v>1879</v>
      </c>
      <c r="I6" s="941">
        <f>ROUND(F31/D31,2)</f>
        <v>5.12</v>
      </c>
      <c r="J6" s="1394"/>
      <c r="K6" s="1394"/>
      <c r="L6" s="1394"/>
      <c r="M6" s="1394"/>
      <c r="N6" s="1394"/>
      <c r="O6" s="1394"/>
      <c r="P6" s="1394"/>
    </row>
    <row r="7" spans="1:16" ht="15">
      <c r="A7" s="3394"/>
      <c r="B7" s="3395"/>
      <c r="C7" s="3396"/>
      <c r="D7" s="2228" t="s">
        <v>1873</v>
      </c>
      <c r="E7" s="2233" t="s">
        <v>1880</v>
      </c>
      <c r="F7" s="1394"/>
      <c r="G7" s="2225" t="s">
        <v>1881</v>
      </c>
      <c r="H7" s="64"/>
      <c r="I7" s="420"/>
      <c r="J7" s="1394"/>
      <c r="K7" s="1394"/>
      <c r="L7" s="1394"/>
      <c r="M7" s="1394"/>
      <c r="N7" s="1394"/>
      <c r="O7" s="1394"/>
      <c r="P7" s="1394"/>
    </row>
    <row r="8" spans="1:16">
      <c r="A8" s="47" t="s">
        <v>1882</v>
      </c>
      <c r="B8" s="50" t="s">
        <v>1883</v>
      </c>
      <c r="C8" s="48" t="s">
        <v>1884</v>
      </c>
      <c r="D8" s="48">
        <f t="shared" ref="D8:D15" si="0">ROUND($D$3*E8/$E$3,2)</f>
        <v>5854.38</v>
      </c>
      <c r="E8" s="51">
        <f>SUMIF('数据-基础表'!BB10:BK10,"地上",'数据-基础表'!BB5:BK5)</f>
        <v>38115.5</v>
      </c>
      <c r="F8" s="1394"/>
      <c r="G8" s="2234"/>
      <c r="H8" s="2234"/>
      <c r="I8" s="1394"/>
      <c r="J8" s="1394"/>
      <c r="K8" s="1394"/>
      <c r="L8" s="1394"/>
      <c r="M8" s="1394"/>
      <c r="N8" s="1394"/>
      <c r="O8" s="1394"/>
      <c r="P8" s="1394"/>
    </row>
    <row r="9" spans="1:16">
      <c r="A9" s="2235"/>
      <c r="B9" s="2236"/>
      <c r="C9" s="48" t="s">
        <v>1885</v>
      </c>
      <c r="D9" s="48">
        <f t="shared" si="0"/>
        <v>0</v>
      </c>
      <c r="E9" s="52">
        <v>0</v>
      </c>
      <c r="F9" s="1394"/>
      <c r="G9" s="2234"/>
      <c r="H9" s="2234"/>
      <c r="I9" s="1394"/>
      <c r="J9" s="1394"/>
      <c r="K9" s="1394"/>
      <c r="L9" s="1394"/>
      <c r="M9" s="1394"/>
      <c r="N9" s="1394"/>
      <c r="O9" s="1394"/>
      <c r="P9" s="1394"/>
    </row>
    <row r="10" spans="1:16">
      <c r="A10" s="2235"/>
      <c r="B10" s="2236"/>
      <c r="C10" s="48" t="s">
        <v>1894</v>
      </c>
      <c r="D10" s="48">
        <f t="shared" si="0"/>
        <v>618.69000000000005</v>
      </c>
      <c r="E10" s="51">
        <f>SUMPRODUCT(('数据-基础表'!BB10:BK10="地下")*('数据-基础表'!BB11:BK11="商业")*('数据-基础表'!BB5:BK5))</f>
        <v>4028.04</v>
      </c>
      <c r="F10" s="1394"/>
      <c r="G10" s="2234"/>
      <c r="H10" s="2234"/>
      <c r="I10" s="1394"/>
      <c r="J10" s="1394"/>
      <c r="K10" s="1394"/>
      <c r="L10" s="1394"/>
      <c r="M10" s="1394"/>
      <c r="N10" s="1394"/>
      <c r="O10" s="1394"/>
      <c r="P10" s="1394"/>
    </row>
    <row r="11" spans="1:16">
      <c r="A11" s="2235"/>
      <c r="B11" s="2236"/>
      <c r="C11" s="48" t="s">
        <v>1886</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1887</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1888</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1900</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1895</v>
      </c>
      <c r="D15" s="48">
        <f t="shared" si="0"/>
        <v>796.35</v>
      </c>
      <c r="E15" s="51">
        <f>SUMPRODUCT(('数据-基础表'!BB10:BK10="地下")*('数据-基础表'!BB11:BK11="车库—办公")*('数据-基础表'!BB5:BK5))</f>
        <v>5184.72</v>
      </c>
      <c r="F15" s="1394"/>
      <c r="G15" s="2234"/>
      <c r="H15" s="2234"/>
      <c r="I15" s="1394"/>
      <c r="J15" s="1394"/>
      <c r="K15" s="1394"/>
      <c r="L15" s="1394"/>
      <c r="M15" s="1394"/>
      <c r="N15" s="1394"/>
      <c r="O15" s="1394"/>
      <c r="P15" s="1394"/>
    </row>
    <row r="16" spans="1:16" ht="15.75" thickBot="1">
      <c r="A16" s="2231"/>
      <c r="B16" s="2236"/>
      <c r="C16" s="50" t="s">
        <v>1889</v>
      </c>
      <c r="D16" s="50">
        <f>SUM(D8:D15)</f>
        <v>7269.42</v>
      </c>
      <c r="E16" s="53">
        <f>SUM(E8:E15)</f>
        <v>47328.26</v>
      </c>
      <c r="F16" s="1394"/>
      <c r="G16" s="2234"/>
      <c r="H16" s="2237" t="s">
        <v>1901</v>
      </c>
      <c r="I16" s="2238"/>
      <c r="J16" s="1394"/>
      <c r="K16" s="3391" t="s">
        <v>1901</v>
      </c>
      <c r="L16" s="3392"/>
      <c r="M16" s="3392"/>
      <c r="N16" s="3392"/>
      <c r="O16" s="3392"/>
      <c r="P16" s="3393"/>
    </row>
    <row r="17" spans="1:19" ht="15">
      <c r="A17" s="2239" t="s">
        <v>1902</v>
      </c>
      <c r="B17" s="2240" t="s">
        <v>1903</v>
      </c>
      <c r="C17" s="2241" t="s">
        <v>1904</v>
      </c>
      <c r="D17" s="2242" t="s">
        <v>1892</v>
      </c>
      <c r="E17" s="2243" t="s">
        <v>1893</v>
      </c>
      <c r="F17" s="2244"/>
      <c r="G17" s="2245"/>
      <c r="H17" s="2246" t="s">
        <v>1905</v>
      </c>
      <c r="I17" s="2247" t="s">
        <v>1890</v>
      </c>
      <c r="J17" s="1394"/>
      <c r="K17" s="3388" t="s">
        <v>1906</v>
      </c>
      <c r="L17" s="3389"/>
      <c r="M17" s="3390"/>
      <c r="N17" s="3388" t="s">
        <v>1907</v>
      </c>
      <c r="O17" s="3389"/>
      <c r="P17" s="3390"/>
      <c r="R17" s="2225" t="s">
        <v>1908</v>
      </c>
      <c r="S17" s="64"/>
    </row>
    <row r="18" spans="1:19" ht="15">
      <c r="A18" s="2235"/>
      <c r="B18" s="2248"/>
      <c r="C18" s="2249"/>
      <c r="D18" s="2250"/>
      <c r="E18" s="2251" t="s">
        <v>1909</v>
      </c>
      <c r="F18" s="2252" t="s">
        <v>1910</v>
      </c>
      <c r="G18" s="2253" t="s">
        <v>1911</v>
      </c>
      <c r="H18" s="1264" t="s">
        <v>1912</v>
      </c>
      <c r="I18" s="2254" t="s">
        <v>1913</v>
      </c>
      <c r="J18" s="1394"/>
      <c r="K18" s="1264" t="s">
        <v>1914</v>
      </c>
      <c r="L18" s="2255" t="s">
        <v>1915</v>
      </c>
      <c r="M18" s="1048" t="s">
        <v>1916</v>
      </c>
      <c r="N18" s="1264" t="s">
        <v>1914</v>
      </c>
      <c r="O18" s="2255" t="s">
        <v>1915</v>
      </c>
      <c r="P18" s="1048" t="s">
        <v>1916</v>
      </c>
      <c r="R18" s="1249" t="s">
        <v>1917</v>
      </c>
      <c r="S18" s="1249" t="s">
        <v>1918</v>
      </c>
    </row>
    <row r="19" spans="1:19">
      <c r="A19" s="2256"/>
      <c r="B19" s="50" t="s">
        <v>1891</v>
      </c>
      <c r="C19" s="2980" t="s">
        <v>3076</v>
      </c>
      <c r="D19" s="48">
        <f>ROUND($D$3*E19/$E$3,2)</f>
        <v>5264.25</v>
      </c>
      <c r="E19" s="56">
        <f t="shared" ref="E19:E26" si="1">SUM(F19:G19)</f>
        <v>34273.35</v>
      </c>
      <c r="F19" s="57">
        <f>'数据-基础表'!I5</f>
        <v>34273.35</v>
      </c>
      <c r="G19" s="58"/>
      <c r="H19" s="723">
        <f>ROUND($D$3*I19/$E$3,2)</f>
        <v>130.58000000000001</v>
      </c>
      <c r="I19" s="51">
        <f t="shared" ref="I19:I26" si="2">IF($I$17="自定义",P19,M19)</f>
        <v>850.13</v>
      </c>
      <c r="J19" s="1394"/>
      <c r="K19" s="1393">
        <f t="shared" ref="K19:K26" si="3">ROUND(E$28*E19/E$27,2)</f>
        <v>850.13</v>
      </c>
      <c r="L19" s="1249">
        <f t="shared" ref="L19:L26" si="4">ROUND(IF(COUNTIF(C19,"*住宅*")&gt;0,E$29*E19/E$32,0),2)</f>
        <v>0</v>
      </c>
      <c r="M19" s="1405">
        <f>K19+L19</f>
        <v>850.13</v>
      </c>
      <c r="N19" s="2257"/>
      <c r="O19" s="2258"/>
      <c r="P19" s="1405">
        <f>N19+O19</f>
        <v>0</v>
      </c>
      <c r="R19" s="1249">
        <f t="shared" ref="R19:S26" si="5">D19+H19</f>
        <v>5394.83</v>
      </c>
      <c r="S19" s="1250">
        <f t="shared" si="5"/>
        <v>35123.479999999996</v>
      </c>
    </row>
    <row r="20" spans="1:19">
      <c r="A20" s="2259"/>
      <c r="B20" s="50" t="s">
        <v>1919</v>
      </c>
      <c r="C20" s="2980" t="s">
        <v>3077</v>
      </c>
      <c r="D20" s="48">
        <f t="shared" ref="D20:D26" si="6">ROUND($D$3*E20/$E$3,2)</f>
        <v>590.14</v>
      </c>
      <c r="E20" s="56">
        <f t="shared" si="1"/>
        <v>3842.1499999999996</v>
      </c>
      <c r="F20" s="57">
        <f>'数据-基础表'!K5</f>
        <v>3842.1499999999996</v>
      </c>
      <c r="G20" s="58"/>
      <c r="H20" s="723">
        <f t="shared" ref="H20:H26" si="7">ROUND($D$3*I20/$E$3,2)</f>
        <v>14.64</v>
      </c>
      <c r="I20" s="51">
        <f t="shared" si="2"/>
        <v>95.3</v>
      </c>
      <c r="J20" s="1394"/>
      <c r="K20" s="1393">
        <f t="shared" si="3"/>
        <v>95.3</v>
      </c>
      <c r="L20" s="1249">
        <f t="shared" si="4"/>
        <v>0</v>
      </c>
      <c r="M20" s="1405">
        <f t="shared" ref="M20:M26" si="8">K20+L20</f>
        <v>95.3</v>
      </c>
      <c r="N20" s="2257"/>
      <c r="O20" s="2258"/>
      <c r="P20" s="1405">
        <f t="shared" ref="P20:P26" si="9">N20+O20</f>
        <v>0</v>
      </c>
      <c r="R20" s="1249">
        <f t="shared" si="5"/>
        <v>604.78</v>
      </c>
      <c r="S20" s="1250">
        <f t="shared" si="5"/>
        <v>3937.45</v>
      </c>
    </row>
    <row r="21" spans="1:19">
      <c r="A21" s="2259"/>
      <c r="B21" s="50" t="s">
        <v>1919</v>
      </c>
      <c r="C21" s="2980" t="s">
        <v>3078</v>
      </c>
      <c r="D21" s="48">
        <f t="shared" si="6"/>
        <v>796.35</v>
      </c>
      <c r="E21" s="56">
        <f t="shared" si="1"/>
        <v>5184.72</v>
      </c>
      <c r="F21" s="57"/>
      <c r="G21" s="58">
        <f>'数据-基础表'!O5</f>
        <v>5184.72</v>
      </c>
      <c r="H21" s="723">
        <f t="shared" si="7"/>
        <v>19.75</v>
      </c>
      <c r="I21" s="51">
        <f t="shared" si="2"/>
        <v>128.6</v>
      </c>
      <c r="J21" s="1394"/>
      <c r="K21" s="1393">
        <f t="shared" si="3"/>
        <v>128.6</v>
      </c>
      <c r="L21" s="1249">
        <f t="shared" si="4"/>
        <v>0</v>
      </c>
      <c r="M21" s="1405">
        <f t="shared" si="8"/>
        <v>128.6</v>
      </c>
      <c r="N21" s="2257"/>
      <c r="O21" s="2258"/>
      <c r="P21" s="1405">
        <f t="shared" si="9"/>
        <v>0</v>
      </c>
      <c r="R21" s="1249">
        <f t="shared" si="5"/>
        <v>816.1</v>
      </c>
      <c r="S21" s="1250">
        <f t="shared" si="5"/>
        <v>5313.3200000000006</v>
      </c>
    </row>
    <row r="22" spans="1:19">
      <c r="A22" s="2259"/>
      <c r="B22" s="50" t="s">
        <v>1919</v>
      </c>
      <c r="C22" s="3311" t="s">
        <v>3260</v>
      </c>
      <c r="D22" s="48">
        <f t="shared" si="6"/>
        <v>618.69000000000005</v>
      </c>
      <c r="E22" s="56">
        <f t="shared" si="1"/>
        <v>4028.04</v>
      </c>
      <c r="F22" s="61"/>
      <c r="G22" s="62">
        <f>'数据-基础表'!M5</f>
        <v>4028.04</v>
      </c>
      <c r="H22" s="723">
        <f t="shared" si="7"/>
        <v>15.35</v>
      </c>
      <c r="I22" s="51">
        <f t="shared" si="2"/>
        <v>99.91</v>
      </c>
      <c r="J22" s="1394"/>
      <c r="K22" s="1393">
        <f t="shared" si="3"/>
        <v>99.91</v>
      </c>
      <c r="L22" s="1249">
        <f t="shared" si="4"/>
        <v>0</v>
      </c>
      <c r="M22" s="1405">
        <f t="shared" si="8"/>
        <v>99.91</v>
      </c>
      <c r="N22" s="2257"/>
      <c r="O22" s="2258"/>
      <c r="P22" s="1405">
        <f t="shared" si="9"/>
        <v>0</v>
      </c>
      <c r="R22" s="1249">
        <f t="shared" si="5"/>
        <v>634.04000000000008</v>
      </c>
      <c r="S22" s="1250">
        <f t="shared" si="5"/>
        <v>4127.95</v>
      </c>
    </row>
    <row r="23" spans="1:19">
      <c r="A23" s="2259"/>
      <c r="B23" s="50" t="s">
        <v>1919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1919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1919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1919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1920</v>
      </c>
      <c r="D27" s="1395">
        <f>SUM(D19:D26)</f>
        <v>7269.43</v>
      </c>
      <c r="E27" s="1396">
        <f>IF(SUM(E19:E26)='数据-基础表'!BA5,SUM(E19:E26),IF(F27="地上面积有误","面积有误","地下面积有误"))</f>
        <v>47328.26</v>
      </c>
      <c r="F27" s="1395">
        <f>IF(SUM(F19:F26)=E8,SUM(F19:F26),"地上面积有误")</f>
        <v>38115.5</v>
      </c>
      <c r="G27" s="1397">
        <f>SUM(G19:G26)</f>
        <v>9212.76</v>
      </c>
      <c r="H27" s="1398">
        <f>SUM(H19:H26)</f>
        <v>180.32000000000002</v>
      </c>
      <c r="I27" s="1399">
        <f>SUM(I19:I26)</f>
        <v>1173.94</v>
      </c>
      <c r="J27" s="1394"/>
      <c r="K27" s="1402">
        <f>SUM(K19:K26)</f>
        <v>1173.94</v>
      </c>
      <c r="L27" s="1403">
        <f>SUM(L19:L26)</f>
        <v>0</v>
      </c>
      <c r="M27" s="1406">
        <f>SUM(M19:M26)</f>
        <v>1173.94</v>
      </c>
      <c r="N27" s="1402">
        <f t="shared" ref="N27:O27" si="10">SUM(N19:N26)</f>
        <v>0</v>
      </c>
      <c r="O27" s="1403">
        <f t="shared" si="10"/>
        <v>0</v>
      </c>
      <c r="P27" s="1404">
        <f>SUM(P19:P26)</f>
        <v>0</v>
      </c>
      <c r="R27" s="1251" t="str">
        <f>IF(SUM(R19:R26)=$D$3,SUM(R19:R26),SUM(R19:R26)&amp;"误差"&amp;ROUND(SUM(R19:R26)-$D$3,2))</f>
        <v>7449.75误差0.01</v>
      </c>
      <c r="S27" s="1249" t="str">
        <f>IF(SUM(S19:S26)=$E$3,SUM(S19:S26),SUM(S19:S26)&amp;"误差"&amp;ROUND(SUM(S19:S26)-E3,2))</f>
        <v>48502.2误差-0.01</v>
      </c>
    </row>
    <row r="28" spans="1:19">
      <c r="A28" s="2259"/>
      <c r="B28" s="50" t="s">
        <v>1921</v>
      </c>
      <c r="C28" s="1261" t="s">
        <v>1922</v>
      </c>
      <c r="D28" s="48">
        <f>ROUND($D$3*E28/$E$3,2)</f>
        <v>180.31</v>
      </c>
      <c r="E28" s="56">
        <f>SUM(F28:G28)</f>
        <v>1173.95</v>
      </c>
      <c r="F28" s="64">
        <f>'数据-基础表'!BQ5+'数据-基础表'!BS5</f>
        <v>0</v>
      </c>
      <c r="G28" s="65">
        <f>'数据-基础表'!BR5+'数据-基础表'!BT5</f>
        <v>1173.95</v>
      </c>
      <c r="H28" s="1394"/>
      <c r="I28" s="1394"/>
      <c r="J28" s="1394"/>
      <c r="K28" s="1394"/>
      <c r="L28" s="1394"/>
      <c r="M28" s="1394"/>
      <c r="N28" s="1394"/>
      <c r="O28" s="1394"/>
      <c r="P28" s="1394"/>
    </row>
    <row r="29" spans="1:19">
      <c r="A29" s="2259"/>
      <c r="B29" s="50" t="s">
        <v>1921</v>
      </c>
      <c r="C29" s="2263" t="s">
        <v>1923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1920</v>
      </c>
      <c r="D30" s="1395">
        <f>SUM(D28:D29)</f>
        <v>180.31</v>
      </c>
      <c r="E30" s="1395">
        <f>SUM(E28:E29)</f>
        <v>1173.95</v>
      </c>
      <c r="F30" s="1395">
        <f>SUM(F28:F29)</f>
        <v>0</v>
      </c>
      <c r="G30" s="1397">
        <f>SUM(G28:G29)</f>
        <v>1173.95</v>
      </c>
      <c r="H30" s="1394"/>
      <c r="I30" s="1394"/>
      <c r="J30" s="1394"/>
      <c r="K30" s="1394"/>
      <c r="L30" s="1394"/>
      <c r="M30" s="1394"/>
      <c r="N30" s="1394"/>
      <c r="O30" s="1394"/>
      <c r="P30" s="1394"/>
    </row>
    <row r="31" spans="1:19" ht="15.75" thickBot="1">
      <c r="A31" s="2265"/>
      <c r="B31" s="2266"/>
      <c r="C31" s="1009" t="s">
        <v>1924</v>
      </c>
      <c r="D31" s="729">
        <f>D27+D30</f>
        <v>7449.7400000000007</v>
      </c>
      <c r="E31" s="729">
        <f>E27+E30</f>
        <v>48502.21</v>
      </c>
      <c r="F31" s="730">
        <f>F27+F30</f>
        <v>38115.5</v>
      </c>
      <c r="G31" s="731">
        <f>G27+G30</f>
        <v>10386.710000000001</v>
      </c>
      <c r="H31" s="1394"/>
      <c r="I31" s="1394"/>
      <c r="J31" s="1394"/>
      <c r="K31" s="1394"/>
      <c r="L31" s="1394"/>
      <c r="M31" s="1394"/>
      <c r="N31" s="1394"/>
      <c r="O31" s="1394"/>
      <c r="P31" s="1394"/>
    </row>
    <row r="32" spans="1:19">
      <c r="A32" s="2230"/>
      <c r="B32" s="2230" t="s">
        <v>1925</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9" sqref="I2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1927</v>
      </c>
      <c r="B2" s="1268">
        <f>项目基本情况!D3</f>
        <v>43109</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1" t="s">
        <v>1932</v>
      </c>
      <c r="AA4" s="2241"/>
      <c r="AB4" s="2241"/>
      <c r="AC4" s="2241"/>
      <c r="AD4" s="2241"/>
      <c r="AE4" s="2239" t="s">
        <v>1933</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1934</v>
      </c>
      <c r="B5" s="2286" t="s">
        <v>1935</v>
      </c>
      <c r="C5" s="2287" t="s">
        <v>1936</v>
      </c>
      <c r="D5" s="2288" t="s">
        <v>1937</v>
      </c>
      <c r="E5" s="1270" t="s">
        <v>1938</v>
      </c>
      <c r="F5" s="2289" t="s">
        <v>1939</v>
      </c>
      <c r="G5" s="1270" t="s">
        <v>1940</v>
      </c>
      <c r="H5" s="1270" t="s">
        <v>1941</v>
      </c>
      <c r="I5" s="1270" t="s">
        <v>1942</v>
      </c>
      <c r="J5" s="2290" t="s">
        <v>1943</v>
      </c>
      <c r="K5" s="2291" t="s">
        <v>1944</v>
      </c>
      <c r="L5" s="2292" t="s">
        <v>1945</v>
      </c>
      <c r="M5" s="2293" t="s">
        <v>1946</v>
      </c>
      <c r="N5" s="2294" t="s">
        <v>3079</v>
      </c>
      <c r="O5" s="2292" t="s">
        <v>1947</v>
      </c>
      <c r="P5" s="2295" t="s">
        <v>1948</v>
      </c>
      <c r="Q5" s="69" t="s">
        <v>1949</v>
      </c>
      <c r="R5" s="2296" t="s">
        <v>1950</v>
      </c>
      <c r="S5" s="2297" t="s">
        <v>1951</v>
      </c>
      <c r="T5" s="2298" t="s">
        <v>1952</v>
      </c>
      <c r="U5" s="1269" t="s">
        <v>1953</v>
      </c>
      <c r="V5" s="1270" t="s">
        <v>1954</v>
      </c>
      <c r="W5" s="1270" t="s">
        <v>1955</v>
      </c>
      <c r="X5" s="71"/>
      <c r="Y5" s="70" t="s">
        <v>1956</v>
      </c>
      <c r="Z5" s="2299" t="s">
        <v>1953</v>
      </c>
      <c r="AA5" s="1270" t="s">
        <v>1954</v>
      </c>
      <c r="AB5" s="1270" t="s">
        <v>1955</v>
      </c>
      <c r="AC5" s="71"/>
      <c r="AD5" s="71" t="s">
        <v>1956</v>
      </c>
      <c r="AE5" s="1269" t="s">
        <v>1957</v>
      </c>
      <c r="AF5" s="1270" t="s">
        <v>1958</v>
      </c>
      <c r="AG5" s="70" t="s">
        <v>1959</v>
      </c>
      <c r="AH5" s="1269" t="s">
        <v>1960</v>
      </c>
      <c r="AI5" s="2299" t="s">
        <v>1961</v>
      </c>
      <c r="AJ5" s="2299" t="s">
        <v>1962</v>
      </c>
      <c r="AK5" s="1270" t="s">
        <v>1963</v>
      </c>
      <c r="AL5" s="1270" t="s">
        <v>1964</v>
      </c>
      <c r="AM5" s="70" t="s">
        <v>1965</v>
      </c>
      <c r="AN5" s="2300" t="s">
        <v>1966</v>
      </c>
      <c r="AO5" s="2072" t="s">
        <v>1967</v>
      </c>
      <c r="AP5" s="1251" t="s">
        <v>1968</v>
      </c>
      <c r="AQ5" s="2301" t="s">
        <v>1969</v>
      </c>
      <c r="AR5" s="2301"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2" t="str">
        <f>'数据-汇总表'!C19</f>
        <v>办公</v>
      </c>
      <c r="B6" s="2303" t="str">
        <f>IF(A6=0,"","经营性")</f>
        <v>经营性</v>
      </c>
      <c r="C6" s="2981" t="s">
        <v>26</v>
      </c>
      <c r="D6" s="1053">
        <f>SUMIF(项目基本情况!D$12:I$12,C6,项目基本情况!D$14:I$14)</f>
        <v>50</v>
      </c>
      <c r="E6" s="1050">
        <f>IF(B6="","",SUMIF(项目基本情况!D$12:I$12,C6,项目基本情况!D$13:I$13))</f>
        <v>60343</v>
      </c>
      <c r="F6" s="72">
        <f>SUMIF(项目基本情况!D$12:I$12,C6,项目基本情况!D$15:I$15)</f>
        <v>47.21</v>
      </c>
      <c r="G6" s="73">
        <f>IF(ISERROR(ROUND(POWER(1+H6,D6-F6)*(POWER(1+H6,F6)-1)/(POWER(1+H6,D6)-1),3)),0,ROUND(POWER(1+H6,D6-F6)*(POWER(1+H6,F6)-1)/(POWER(1+H6,D6)-1),3))</f>
        <v>0.98399999999999999</v>
      </c>
      <c r="H6" s="802">
        <v>4.4999999999999998E-2</v>
      </c>
      <c r="I6" s="802">
        <v>5.5E-2</v>
      </c>
      <c r="J6" s="74">
        <v>8.5000000000000006E-2</v>
      </c>
      <c r="K6" s="1253">
        <f>SUMIF('数据-汇总表'!C$19:C$33,A6,'数据-汇总表'!E$19:E$33)</f>
        <v>34273.35</v>
      </c>
      <c r="L6" s="803">
        <v>4000</v>
      </c>
      <c r="M6" s="75">
        <f t="shared" ref="M6:M14" si="0">ROUND(K6*L6/10000,0)</f>
        <v>13709</v>
      </c>
      <c r="N6" s="801">
        <v>0.5</v>
      </c>
      <c r="O6" s="75">
        <f>IF($N$5="成新度","——",ROUND(M6*N6,0))</f>
        <v>6855</v>
      </c>
      <c r="P6" s="76">
        <f>IF($N$5="成新度","——",M6-O6)</f>
        <v>6854</v>
      </c>
      <c r="Q6" s="804">
        <v>0.2</v>
      </c>
      <c r="R6" s="77">
        <f ca="1">SUMIF('数据-汇总表'!C$19:C$33,A6,'数据-汇总表'!R$19:R$27)</f>
        <v>5394.83</v>
      </c>
      <c r="S6" s="54">
        <f>IF('数据-汇总表'!$I$17="按面积比例",SUMIF('数据-汇总表'!C$19:C$33,A6,'数据-汇总表'!K$19:K$33),SUMIF('数据-汇总表'!C$19:C$33,A6,'数据-汇总表'!N$19:N$33))</f>
        <v>850.13</v>
      </c>
      <c r="T6" s="1445">
        <f>ROUND($L$14*S6/10000,0)</f>
        <v>255</v>
      </c>
      <c r="U6" s="2982">
        <v>13</v>
      </c>
      <c r="V6" s="79">
        <v>0.04</v>
      </c>
      <c r="W6" s="79">
        <v>0.05</v>
      </c>
      <c r="X6" s="1263"/>
      <c r="Y6" s="80">
        <v>1</v>
      </c>
      <c r="Z6" s="81"/>
      <c r="AA6" s="74"/>
      <c r="AB6" s="74"/>
      <c r="AC6" s="1263"/>
      <c r="AD6" s="82"/>
      <c r="AE6" s="1264">
        <f ca="1">IF(AN6="",0,SUMIF(INDIRECT("'"&amp;AN6&amp;"'"&amp;"!E:E"),$AE$5,INDIRECT("'"&amp;AN6&amp;"'"&amp;"!F:F")))</f>
        <v>45.71</v>
      </c>
      <c r="AF6" s="1806"/>
      <c r="AG6" s="147">
        <f>IF(AF6="",0,AE6-AF6)</f>
        <v>0</v>
      </c>
      <c r="AH6" s="83"/>
      <c r="AI6" s="85">
        <v>365</v>
      </c>
      <c r="AJ6" s="86"/>
      <c r="AK6" s="87">
        <v>1.4999999999999999E-2</v>
      </c>
      <c r="AL6" s="88">
        <v>1.5E-3</v>
      </c>
      <c r="AM6" s="89">
        <v>0.01</v>
      </c>
      <c r="AN6" s="2305" t="s">
        <v>3126</v>
      </c>
      <c r="AO6" s="55">
        <f ca="1">SUMIF(INDIRECT("'"&amp;AN6&amp;"'"&amp;"!A:A"),"总价",INDIRECT("'"&amp;AN6&amp;"'"&amp;"!B:B"))</f>
        <v>446711</v>
      </c>
      <c r="AP6" s="2306">
        <f>IF(C6="住宅",K6*L6,0)</f>
        <v>0</v>
      </c>
      <c r="AQ6" s="55">
        <f>ROUND($L$14*$N$14*S6/10000,0)</f>
        <v>128</v>
      </c>
      <c r="AR6" s="55">
        <f>ROUND($L$14*(1-$N$14)*S6/10000,0)</f>
        <v>128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981" t="s">
        <v>1373</v>
      </c>
      <c r="D7" s="1053">
        <f>SUMIF(项目基本情况!D$12:I$12,C7,项目基本情况!D$14:I$14)</f>
        <v>40</v>
      </c>
      <c r="E7" s="1050">
        <f>IF(B7="","",SUMIF(项目基本情况!D$12:I$12,C7,项目基本情况!D$13:I$13))</f>
        <v>56690</v>
      </c>
      <c r="F7" s="72">
        <f>SUMIF(项目基本情况!D$12:I$12,C7,项目基本情况!D$15:I$15)</f>
        <v>37.200000000000003</v>
      </c>
      <c r="G7" s="73">
        <f t="shared" ref="G7:G11" si="2">IF(ISERROR(ROUND(POWER(1+H7,D7-F7)*(POWER(1+H7,F7)-1)/(POWER(1+H7,D7)-1),3)),0,ROUND(POWER(1+H7,D7-F7)*(POWER(1+H7,F7)-1)/(POWER(1+H7,D7)-1),3))</f>
        <v>0.97599999999999998</v>
      </c>
      <c r="H7" s="802">
        <v>0.05</v>
      </c>
      <c r="I7" s="802">
        <v>0.06</v>
      </c>
      <c r="J7" s="74">
        <v>8.5000000000000006E-2</v>
      </c>
      <c r="K7" s="1253">
        <f>SUMIF('数据-汇总表'!C$19:C$33,A7,'数据-汇总表'!E$19:E$33)</f>
        <v>3842.1499999999996</v>
      </c>
      <c r="L7" s="803">
        <v>4000</v>
      </c>
      <c r="M7" s="75">
        <f t="shared" si="0"/>
        <v>1537</v>
      </c>
      <c r="N7" s="801">
        <f>N6</f>
        <v>0.5</v>
      </c>
      <c r="O7" s="75">
        <f t="shared" ref="O7:O14" si="3">IF($N$5="成新度","——",ROUND(M7*N7,0))</f>
        <v>769</v>
      </c>
      <c r="P7" s="76">
        <f t="shared" ref="P7:P14" si="4">IF($N$5="成新度","——",M7-O7)</f>
        <v>768</v>
      </c>
      <c r="Q7" s="804">
        <v>0.25</v>
      </c>
      <c r="R7" s="77">
        <f ca="1">SUMIF('数据-汇总表'!C$19:C$33,A7,'数据-汇总表'!R$19:R$27)</f>
        <v>604.78</v>
      </c>
      <c r="S7" s="54">
        <f>IF('数据-汇总表'!$I$17="按面积比例",SUMIF('数据-汇总表'!C$19:C$33,A7,'数据-汇总表'!K$19:K$33),SUMIF('数据-汇总表'!C$19:C$33,A7,'数据-汇总表'!N$19:N$33))</f>
        <v>95.3</v>
      </c>
      <c r="T7" s="1445">
        <f t="shared" ref="T7:T13" si="5">ROUND($L$14*S7/10000,0)</f>
        <v>29</v>
      </c>
      <c r="U7" s="2982">
        <f>案例!E188</f>
        <v>9.6999999999999993</v>
      </c>
      <c r="V7" s="79">
        <v>0.04</v>
      </c>
      <c r="W7" s="79">
        <v>0.05</v>
      </c>
      <c r="X7" s="1263"/>
      <c r="Y7" s="80">
        <v>1</v>
      </c>
      <c r="Z7" s="81"/>
      <c r="AA7" s="74"/>
      <c r="AB7" s="74"/>
      <c r="AC7" s="1263"/>
      <c r="AD7" s="82"/>
      <c r="AE7" s="1264">
        <f t="shared" ref="AE7:AE13" ca="1" si="6">IF(AN7="",0,SUMIF(INDIRECT("'"&amp;AN7&amp;"'"&amp;"!E:E"),$AE$5,INDIRECT("'"&amp;AN7&amp;"'"&amp;"!F:F")))</f>
        <v>35.700000000000003</v>
      </c>
      <c r="AF7" s="1806"/>
      <c r="AG7" s="147">
        <f t="shared" ref="AG7:AG13" si="7">IF(AF7="",0,AE7-AF7)</f>
        <v>0</v>
      </c>
      <c r="AH7" s="83"/>
      <c r="AI7" s="85">
        <v>365</v>
      </c>
      <c r="AJ7" s="86"/>
      <c r="AK7" s="87">
        <v>1.4999999999999999E-2</v>
      </c>
      <c r="AL7" s="88">
        <v>1.5E-3</v>
      </c>
      <c r="AM7" s="89">
        <v>0.01</v>
      </c>
      <c r="AN7" s="2305" t="s">
        <v>3127</v>
      </c>
      <c r="AO7" s="55">
        <f t="shared" ref="AO7:AO13" ca="1" si="8">SUMIF(INDIRECT("'"&amp;AN7&amp;"'"&amp;"!A:A"),"总价",INDIRECT("'"&amp;AN7&amp;"'"&amp;"!B:B"))</f>
        <v>28345</v>
      </c>
      <c r="AP7" s="2306">
        <f t="shared" ref="AP7:AP13" si="9">IF(C7="住宅",K7*L7,0)</f>
        <v>0</v>
      </c>
      <c r="AQ7" s="55">
        <f t="shared" ref="AQ7:AQ13" si="10">ROUND($L$14*$N$14*S7/10000,0)</f>
        <v>14</v>
      </c>
      <c r="AR7" s="55">
        <f t="shared" ref="AR7:AR13" si="11">ROUND($L$14*(1-$N$14)*S7/10000,0)</f>
        <v>14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981" t="s">
        <v>3032</v>
      </c>
      <c r="D8" s="1053">
        <f>SUMIF(项目基本情况!D$12:I$12,C8,项目基本情况!D$14:I$14)</f>
        <v>50</v>
      </c>
      <c r="E8" s="1050">
        <f>IF(B8="","",SUMIF(项目基本情况!D$12:I$12,C8,项目基本情况!D$13:I$13))</f>
        <v>60343</v>
      </c>
      <c r="F8" s="72">
        <f>SUMIF(项目基本情况!D$12:I$12,C8,项目基本情况!D$15:I$15)</f>
        <v>47.21</v>
      </c>
      <c r="G8" s="73">
        <f t="shared" si="2"/>
        <v>0.98399999999999999</v>
      </c>
      <c r="H8" s="802">
        <v>4.4999999999999998E-2</v>
      </c>
      <c r="I8" s="802">
        <v>0.05</v>
      </c>
      <c r="J8" s="74">
        <v>8.5000000000000006E-2</v>
      </c>
      <c r="K8" s="1253">
        <f>SUMIF('数据-汇总表'!C$19:C$33,A8,'数据-汇总表'!E$19:E$33)</f>
        <v>5184.72</v>
      </c>
      <c r="L8" s="803">
        <v>3000</v>
      </c>
      <c r="M8" s="75">
        <f>ROUND(K8*L8/10000,0)</f>
        <v>1555</v>
      </c>
      <c r="N8" s="801">
        <f>N6</f>
        <v>0.5</v>
      </c>
      <c r="O8" s="75">
        <f t="shared" si="3"/>
        <v>778</v>
      </c>
      <c r="P8" s="76">
        <f t="shared" si="4"/>
        <v>777</v>
      </c>
      <c r="Q8" s="804">
        <v>0.05</v>
      </c>
      <c r="R8" s="77">
        <f ca="1">SUMIF('数据-汇总表'!C$19:C$33,A8,'数据-汇总表'!R$19:R$27)</f>
        <v>816.1</v>
      </c>
      <c r="S8" s="54">
        <f>IF('数据-汇总表'!$I$17="按面积比例",SUMIF('数据-汇总表'!C$19:C$33,A8,'数据-汇总表'!K$19:K$33),SUMIF('数据-汇总表'!C$19:C$33,A8,'数据-汇总表'!N$19:N$33))</f>
        <v>128.6</v>
      </c>
      <c r="T8" s="1445">
        <f t="shared" si="5"/>
        <v>39</v>
      </c>
      <c r="U8" s="805"/>
      <c r="V8" s="806"/>
      <c r="W8" s="806"/>
      <c r="X8" s="1263"/>
      <c r="Y8" s="80"/>
      <c r="Z8" s="81"/>
      <c r="AA8" s="74"/>
      <c r="AB8" s="74"/>
      <c r="AC8" s="1263"/>
      <c r="AD8" s="82"/>
      <c r="AE8" s="1264">
        <f t="shared" ca="1" si="6"/>
        <v>0</v>
      </c>
      <c r="AF8" s="1806"/>
      <c r="AG8" s="147">
        <f t="shared" si="7"/>
        <v>0</v>
      </c>
      <c r="AH8" s="807">
        <v>98</v>
      </c>
      <c r="AI8" s="85"/>
      <c r="AJ8" s="86"/>
      <c r="AK8" s="808"/>
      <c r="AL8" s="809"/>
      <c r="AM8" s="810"/>
      <c r="AN8" s="2305"/>
      <c r="AO8" s="55" t="e">
        <f t="shared" ca="1" si="8"/>
        <v>#REF!</v>
      </c>
      <c r="AP8" s="2306">
        <f t="shared" si="9"/>
        <v>0</v>
      </c>
      <c r="AQ8" s="55">
        <f t="shared" si="10"/>
        <v>19</v>
      </c>
      <c r="AR8" s="55">
        <f t="shared" si="11"/>
        <v>19</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t="str">
        <f>'数据-汇总表'!C22</f>
        <v>地下商业</v>
      </c>
      <c r="B9" s="2303" t="str">
        <f t="shared" si="1"/>
        <v>经营性</v>
      </c>
      <c r="C9" s="2981" t="s">
        <v>1373</v>
      </c>
      <c r="D9" s="1053">
        <f>SUMIF(项目基本情况!D$12:I$12,C9,项目基本情况!D$14:I$14)</f>
        <v>40</v>
      </c>
      <c r="E9" s="1050">
        <f>IF(B9="","",SUMIF(项目基本情况!D$12:I$12,C9,项目基本情况!D$13:I$13))</f>
        <v>56690</v>
      </c>
      <c r="F9" s="72">
        <f>SUMIF(项目基本情况!D$12:I$12,C9,项目基本情况!D$15:I$15)</f>
        <v>37.200000000000003</v>
      </c>
      <c r="G9" s="73">
        <f t="shared" si="2"/>
        <v>0.97599999999999998</v>
      </c>
      <c r="H9" s="74">
        <v>0.05</v>
      </c>
      <c r="I9" s="74">
        <v>5.5E-2</v>
      </c>
      <c r="J9" s="74">
        <f>J6</f>
        <v>8.5000000000000006E-2</v>
      </c>
      <c r="K9" s="1253">
        <f>SUMIF('数据-汇总表'!C$19:C$33,A9,'数据-汇总表'!E$19:E$33)</f>
        <v>4028.04</v>
      </c>
      <c r="L9" s="91">
        <f>L7</f>
        <v>4000</v>
      </c>
      <c r="M9" s="75">
        <f t="shared" si="0"/>
        <v>1611</v>
      </c>
      <c r="N9" s="801">
        <f>N6</f>
        <v>0.5</v>
      </c>
      <c r="O9" s="75">
        <f t="shared" si="3"/>
        <v>806</v>
      </c>
      <c r="P9" s="76">
        <f t="shared" si="4"/>
        <v>805</v>
      </c>
      <c r="Q9" s="90">
        <v>0.15</v>
      </c>
      <c r="R9" s="77">
        <f ca="1">SUMIF('数据-汇总表'!C$19:C$33,A9,'数据-汇总表'!R$19:R$27)</f>
        <v>634.04000000000008</v>
      </c>
      <c r="S9" s="54">
        <f>IF('数据-汇总表'!$I$17="按面积比例",SUMIF('数据-汇总表'!C$19:C$33,A9,'数据-汇总表'!K$19:K$33),SUMIF('数据-汇总表'!C$19:C$33,A9,'数据-汇总表'!N$19:N$33))</f>
        <v>99.91</v>
      </c>
      <c r="T9" s="1445">
        <f t="shared" si="5"/>
        <v>30</v>
      </c>
      <c r="U9" s="2982">
        <v>5.7</v>
      </c>
      <c r="V9" s="79">
        <v>3.5000000000000003E-2</v>
      </c>
      <c r="W9" s="79">
        <f>W7</f>
        <v>0.05</v>
      </c>
      <c r="X9" s="1263"/>
      <c r="Y9" s="80">
        <v>1</v>
      </c>
      <c r="Z9" s="81"/>
      <c r="AA9" s="74"/>
      <c r="AB9" s="74"/>
      <c r="AC9" s="1263"/>
      <c r="AD9" s="82"/>
      <c r="AE9" s="1264">
        <f t="shared" ca="1" si="6"/>
        <v>35.700000000000003</v>
      </c>
      <c r="AF9" s="1806"/>
      <c r="AG9" s="147">
        <f t="shared" si="7"/>
        <v>0</v>
      </c>
      <c r="AH9" s="83"/>
      <c r="AI9" s="85">
        <v>365</v>
      </c>
      <c r="AJ9" s="86"/>
      <c r="AK9" s="87">
        <f>AK6</f>
        <v>1.4999999999999999E-2</v>
      </c>
      <c r="AL9" s="88">
        <f>AL6</f>
        <v>1.5E-3</v>
      </c>
      <c r="AM9" s="89">
        <f>AM6</f>
        <v>0.01</v>
      </c>
      <c r="AN9" s="2305" t="s">
        <v>3262</v>
      </c>
      <c r="AO9" s="55">
        <f t="shared" ca="1" si="8"/>
        <v>16955</v>
      </c>
      <c r="AP9" s="2306">
        <f t="shared" si="9"/>
        <v>0</v>
      </c>
      <c r="AQ9" s="55">
        <f t="shared" si="10"/>
        <v>15</v>
      </c>
      <c r="AR9" s="55">
        <f t="shared" si="11"/>
        <v>15</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91"/>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1971</v>
      </c>
      <c r="B14" s="2303" t="s">
        <v>1972</v>
      </c>
      <c r="C14" s="2308" t="s">
        <v>1971</v>
      </c>
      <c r="D14" s="1053"/>
      <c r="E14" s="1050"/>
      <c r="F14" s="72"/>
      <c r="G14" s="73"/>
      <c r="H14" s="1252"/>
      <c r="I14" s="1252"/>
      <c r="J14" s="1252"/>
      <c r="K14" s="1253">
        <f>SUMIF('数据-汇总表'!C$19:C$33,A14,'数据-汇总表'!E$19:E$33)</f>
        <v>1173.95</v>
      </c>
      <c r="L14" s="91">
        <v>3000</v>
      </c>
      <c r="M14" s="75">
        <f t="shared" si="0"/>
        <v>352</v>
      </c>
      <c r="N14" s="92">
        <f>N6</f>
        <v>0.5</v>
      </c>
      <c r="O14" s="75">
        <f t="shared" si="3"/>
        <v>176</v>
      </c>
      <c r="P14" s="76">
        <f t="shared" si="4"/>
        <v>176</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1973</v>
      </c>
      <c r="B15" s="2303" t="s">
        <v>1972</v>
      </c>
      <c r="C15" s="2308" t="s">
        <v>1974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1975</v>
      </c>
      <c r="B16" s="97"/>
      <c r="C16" s="1007"/>
      <c r="D16" s="2310"/>
      <c r="E16" s="97"/>
      <c r="F16" s="97"/>
      <c r="G16" s="98">
        <f>ROUND(SUMPRODUCT(G6:G13,K6:K13)/SUMPRODUCT((G6:G13&gt;0)*(K6:K13)),3)</f>
        <v>0.98299999999999998</v>
      </c>
      <c r="H16" s="99">
        <f>ROUND(SUMPRODUCT(H6:H13,K6:K13)/SUMPRODUCT((H6:H13&gt;0)*(K6:K13)),3)</f>
        <v>4.5999999999999999E-2</v>
      </c>
      <c r="I16" s="100"/>
      <c r="J16" s="100"/>
      <c r="K16" s="101">
        <f>SUM(K6:K15)</f>
        <v>48502.21</v>
      </c>
      <c r="L16" s="102">
        <f>ROUND(M16*10000/SUM(K6:K14),0)</f>
        <v>3869</v>
      </c>
      <c r="M16" s="102">
        <f>SUM(M6:M14)</f>
        <v>18764</v>
      </c>
      <c r="N16" s="103">
        <f>ROUND(SUMPRODUCT(M6:M14,N6:N14)/M16,3)</f>
        <v>0.5</v>
      </c>
      <c r="O16" s="102">
        <f>SUM(O6:O14)</f>
        <v>9384</v>
      </c>
      <c r="P16" s="102">
        <f>SUM(P6:P14)</f>
        <v>9380</v>
      </c>
      <c r="Q16" s="104">
        <f>ROUND(SUMPRODUCT(Q6:Q13,K6:K13)/SUMPRODUCT((Q6:Q13&gt;0)*(K6:K13)),2)</f>
        <v>0.18</v>
      </c>
      <c r="R16" s="1257">
        <f ca="1">SUM(R6:R13)</f>
        <v>7449.75</v>
      </c>
      <c r="S16" s="105">
        <f>SUM(S6:S13)</f>
        <v>1173.94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1976</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1977</v>
      </c>
      <c r="B19" s="112">
        <v>0</v>
      </c>
      <c r="C19" s="2273" t="s">
        <v>1978</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1979</v>
      </c>
      <c r="B20" s="113">
        <v>3</v>
      </c>
      <c r="C20" s="2273" t="s">
        <v>1980</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1981</v>
      </c>
      <c r="B21" s="113">
        <v>1.5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1982</v>
      </c>
      <c r="B22" s="114">
        <f>B19+B20</f>
        <v>3</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1983</v>
      </c>
      <c r="B23" s="114">
        <f>B19+B21</f>
        <v>1.5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1984</v>
      </c>
      <c r="B24" s="115">
        <f>B20-B21</f>
        <v>1.5</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1985</v>
      </c>
      <c r="B26" s="2316" t="s">
        <v>1986</v>
      </c>
      <c r="C26" s="2317" t="s">
        <v>1987</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1988</v>
      </c>
      <c r="B27" s="116"/>
      <c r="C27" s="1766" t="s">
        <v>1989</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1990</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1991</v>
      </c>
      <c r="B29" s="121">
        <f>ROUND(B28*K16/10000,0)</f>
        <v>970</v>
      </c>
      <c r="C29" s="1766" t="s">
        <v>1992</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1993</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1994</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1995</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1996</v>
      </c>
      <c r="B33" s="726">
        <v>0.03</v>
      </c>
      <c r="C33" s="1765" t="s">
        <v>1997</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1998</v>
      </c>
      <c r="B34" s="122">
        <v>0</v>
      </c>
      <c r="C34" s="1765" t="s">
        <v>1999</v>
      </c>
      <c r="D34" s="2274" t="s">
        <v>2000</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2001</v>
      </c>
      <c r="B35" s="119">
        <v>200</v>
      </c>
      <c r="C35" s="1765" t="s">
        <v>2002</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2003</v>
      </c>
      <c r="B36" s="123">
        <v>1.4999999999999999E-2</v>
      </c>
      <c r="C36" s="1765" t="s">
        <v>2004</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2005</v>
      </c>
      <c r="B37" s="124">
        <v>1.4999999999999999E-2</v>
      </c>
      <c r="C37" s="1765" t="s">
        <v>2006</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2007</v>
      </c>
      <c r="B38" s="122">
        <v>0.02</v>
      </c>
      <c r="C38" s="1765" t="s">
        <v>2006</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2008</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2009</v>
      </c>
      <c r="B40" s="1302">
        <f ca="1">存贷款利率!G1</f>
        <v>4.7500000000000001E-2</v>
      </c>
      <c r="C40" s="1765" t="s">
        <v>2010</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2011</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2012</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2013</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2014</v>
      </c>
      <c r="B44" s="128">
        <v>7.0000000000000007E-2</v>
      </c>
      <c r="C44" s="1765" t="s">
        <v>2015</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2016</v>
      </c>
      <c r="B45" s="126">
        <v>0.03</v>
      </c>
      <c r="C45" s="1766" t="s">
        <v>2017</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2018</v>
      </c>
      <c r="B46" s="126">
        <v>0.02</v>
      </c>
      <c r="C46" s="1766" t="s">
        <v>2019</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2020</v>
      </c>
      <c r="B47" s="129">
        <v>0</v>
      </c>
      <c r="C47" s="1766" t="s">
        <v>2021</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2022</v>
      </c>
      <c r="B48" s="130">
        <v>0.03</v>
      </c>
      <c r="C48" s="1773" t="s">
        <v>2023</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2024</v>
      </c>
      <c r="B49" s="126">
        <v>5.0000000000000001E-4</v>
      </c>
      <c r="C49" s="1773" t="s">
        <v>2025</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2026</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2027</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2028</v>
      </c>
      <c r="B52" s="133">
        <f>SUMIF(A54:A63,B53,B54:B63)</f>
        <v>12</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2029</v>
      </c>
      <c r="B53" s="2332" t="s">
        <v>136</v>
      </c>
      <c r="C53" s="1429" t="s">
        <v>2030</v>
      </c>
      <c r="D53" s="2333" t="s">
        <v>2031</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2032</v>
      </c>
      <c r="B54" s="84">
        <v>30</v>
      </c>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2033</v>
      </c>
      <c r="B55" s="84">
        <v>24</v>
      </c>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2034</v>
      </c>
      <c r="B56" s="84">
        <v>18</v>
      </c>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2035</v>
      </c>
      <c r="B57" s="84">
        <v>12</v>
      </c>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2036</v>
      </c>
      <c r="B58" s="84">
        <v>3</v>
      </c>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2037</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2038</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2039</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2040</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2041</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7"/>
      <c r="D64" s="2338"/>
      <c r="K64" s="798"/>
      <c r="L64" s="798"/>
    </row>
    <row r="65" spans="1:12" s="966" customFormat="1">
      <c r="A65" s="2337"/>
      <c r="D65" s="2338"/>
      <c r="K65" s="798"/>
      <c r="L65" s="798"/>
    </row>
    <row r="66" spans="1:12" s="966" customFormat="1">
      <c r="A66" s="2337"/>
      <c r="D66" s="2338"/>
      <c r="K66" s="798"/>
      <c r="L66" s="798"/>
    </row>
    <row r="67" spans="1:12" s="966" customFormat="1">
      <c r="A67" s="2337"/>
      <c r="D67" s="2338"/>
      <c r="K67" s="798"/>
      <c r="L67" s="798"/>
    </row>
    <row r="68" spans="1:12" s="966" customFormat="1">
      <c r="A68" s="2337"/>
      <c r="D68" s="2338"/>
      <c r="K68" s="798"/>
      <c r="L68" s="798"/>
    </row>
    <row r="69" spans="1:12" s="966" customFormat="1">
      <c r="A69" s="2337"/>
      <c r="D69" s="2338"/>
      <c r="K69" s="798"/>
      <c r="L69" s="798"/>
    </row>
    <row r="70" spans="1:12" s="966" customFormat="1">
      <c r="A70" s="2337"/>
      <c r="D70" s="2338"/>
      <c r="K70" s="798"/>
      <c r="L70" s="798"/>
    </row>
    <row r="71" spans="1:12" s="966" customFormat="1">
      <c r="A71" s="2337"/>
      <c r="D71" s="2338"/>
      <c r="K71" s="798"/>
      <c r="L71" s="798"/>
    </row>
    <row r="72" spans="1:12" s="966" customFormat="1">
      <c r="A72" s="2337"/>
      <c r="D72" s="2338"/>
      <c r="K72" s="798"/>
      <c r="L72" s="798"/>
    </row>
    <row r="73" spans="1:12" s="966" customFormat="1">
      <c r="A73" s="2337"/>
      <c r="D73" s="2338"/>
      <c r="K73" s="798"/>
      <c r="L73" s="798"/>
    </row>
    <row r="74" spans="1:12" s="966" customFormat="1">
      <c r="A74" s="2337"/>
      <c r="D74" s="2338"/>
      <c r="K74" s="798"/>
      <c r="L74" s="798"/>
    </row>
    <row r="75" spans="1:12" s="966" customFormat="1">
      <c r="A75" s="2337"/>
      <c r="D75" s="2338"/>
      <c r="K75" s="798"/>
      <c r="L75" s="798"/>
    </row>
    <row r="76" spans="1:12" s="966" customFormat="1">
      <c r="A76" s="2337"/>
      <c r="D76" s="2338"/>
      <c r="K76" s="798"/>
      <c r="L76" s="798"/>
    </row>
    <row r="77" spans="1:12" s="966" customFormat="1">
      <c r="A77" s="2337"/>
      <c r="D77" s="2338"/>
      <c r="K77" s="798"/>
      <c r="L77" s="798"/>
    </row>
    <row r="78" spans="1:12" s="966" customFormat="1">
      <c r="A78" s="2337"/>
      <c r="D78" s="2338"/>
      <c r="K78" s="798"/>
      <c r="L78" s="798"/>
    </row>
    <row r="79" spans="1:12" s="966" customFormat="1">
      <c r="A79" s="2337"/>
      <c r="D79" s="2338"/>
      <c r="K79" s="798"/>
      <c r="L79" s="798"/>
    </row>
    <row r="80" spans="1:12" s="966" customFormat="1">
      <c r="A80" s="2337"/>
      <c r="D80" s="2338"/>
      <c r="K80" s="798"/>
      <c r="L80" s="798"/>
    </row>
    <row r="81" spans="1:12" s="966" customFormat="1">
      <c r="A81" s="2337"/>
      <c r="D81" s="2338"/>
      <c r="K81" s="798"/>
      <c r="L81" s="798"/>
    </row>
    <row r="82" spans="1:12" s="966" customFormat="1">
      <c r="A82" s="2337"/>
      <c r="D82" s="2338"/>
      <c r="K82" s="798"/>
      <c r="L82" s="798"/>
    </row>
    <row r="83" spans="1:12" s="966" customFormat="1">
      <c r="A83" s="2337"/>
      <c r="D83" s="2338"/>
      <c r="K83" s="798"/>
      <c r="L83" s="798"/>
    </row>
    <row r="84" spans="1:12" s="966" customFormat="1">
      <c r="A84" s="2337"/>
      <c r="D84" s="2338"/>
      <c r="K84" s="798"/>
      <c r="L84" s="798"/>
    </row>
    <row r="85" spans="1:12" s="966" customFormat="1">
      <c r="A85" s="2337"/>
      <c r="D85" s="2338"/>
      <c r="K85" s="798"/>
      <c r="L85" s="798"/>
    </row>
    <row r="86" spans="1:12" s="966" customFormat="1">
      <c r="A86" s="2337"/>
      <c r="D86" s="2338"/>
      <c r="K86" s="798"/>
      <c r="L86" s="798"/>
    </row>
    <row r="87" spans="1:12" s="966" customFormat="1">
      <c r="A87" s="2337"/>
      <c r="D87" s="2338"/>
      <c r="K87" s="798"/>
      <c r="L87" s="798"/>
    </row>
    <row r="88" spans="1:12" s="966" customFormat="1">
      <c r="A88" s="2337"/>
      <c r="D88" s="2338"/>
      <c r="K88" s="798"/>
      <c r="L88" s="798"/>
    </row>
    <row r="89" spans="1:12" s="966" customFormat="1">
      <c r="A89" s="2337"/>
      <c r="D89" s="2338"/>
      <c r="K89" s="798"/>
      <c r="L89" s="798"/>
    </row>
    <row r="90" spans="1:12" s="966" customFormat="1">
      <c r="A90" s="2337"/>
      <c r="D90" s="2338"/>
      <c r="K90" s="798"/>
      <c r="L90" s="798"/>
    </row>
    <row r="91" spans="1:12" s="966" customFormat="1">
      <c r="A91" s="2337"/>
      <c r="D91" s="2338"/>
      <c r="K91" s="798"/>
      <c r="L91" s="798"/>
    </row>
    <row r="92" spans="1:12" s="966" customFormat="1">
      <c r="A92" s="2337"/>
      <c r="D92" s="2338"/>
      <c r="K92" s="798"/>
      <c r="L92" s="798"/>
    </row>
    <row r="93" spans="1:12" s="966" customFormat="1">
      <c r="A93" s="2337"/>
      <c r="D93" s="2338"/>
      <c r="K93" s="798"/>
      <c r="L93" s="798"/>
    </row>
    <row r="94" spans="1:12" s="966" customFormat="1">
      <c r="A94" s="2337"/>
      <c r="D94" s="2338"/>
      <c r="K94" s="798"/>
      <c r="L94" s="798"/>
    </row>
    <row r="95" spans="1:12" s="966" customFormat="1">
      <c r="A95" s="2337"/>
      <c r="D95" s="2338"/>
      <c r="K95" s="798"/>
      <c r="L95" s="798"/>
    </row>
    <row r="96" spans="1:12" s="966" customFormat="1">
      <c r="A96" s="2337"/>
      <c r="D96" s="2338"/>
      <c r="K96" s="798"/>
      <c r="L96" s="798"/>
    </row>
    <row r="97" spans="1:12" s="966" customFormat="1">
      <c r="A97" s="2337"/>
      <c r="D97" s="2338"/>
      <c r="K97" s="798"/>
      <c r="L97" s="798"/>
    </row>
    <row r="98" spans="1:12" s="966" customFormat="1">
      <c r="A98" s="2337"/>
      <c r="D98" s="2338"/>
      <c r="K98" s="798"/>
      <c r="L98" s="798"/>
    </row>
    <row r="99" spans="1:12" s="966" customFormat="1">
      <c r="A99" s="2337"/>
      <c r="D99" s="2338"/>
      <c r="K99" s="798"/>
      <c r="L99" s="798"/>
    </row>
    <row r="100" spans="1:12" s="966" customFormat="1">
      <c r="A100" s="2337"/>
      <c r="D100" s="2338"/>
      <c r="K100" s="798"/>
      <c r="L100" s="798"/>
    </row>
    <row r="101" spans="1:12" s="966" customFormat="1">
      <c r="A101" s="2337"/>
      <c r="D101" s="2338"/>
      <c r="K101" s="798"/>
      <c r="L101" s="798"/>
    </row>
    <row r="102" spans="1:12" s="966" customFormat="1">
      <c r="A102" s="2337"/>
      <c r="D102" s="2338"/>
      <c r="K102" s="798"/>
      <c r="L102" s="798"/>
    </row>
    <row r="103" spans="1:12" s="966" customFormat="1">
      <c r="A103" s="2337"/>
      <c r="D103" s="2338"/>
      <c r="K103" s="798"/>
      <c r="L103" s="798"/>
    </row>
    <row r="104" spans="1:12" s="966" customFormat="1">
      <c r="A104" s="2337"/>
      <c r="D104" s="2338"/>
      <c r="K104" s="798"/>
      <c r="L104" s="798"/>
    </row>
    <row r="105" spans="1:12" s="966" customFormat="1">
      <c r="A105" s="2337"/>
      <c r="D105" s="2338"/>
      <c r="K105" s="798"/>
      <c r="L105" s="798"/>
    </row>
    <row r="106" spans="1:12" s="966" customFormat="1">
      <c r="A106" s="2337"/>
      <c r="D106" s="2338"/>
      <c r="K106" s="798"/>
      <c r="L106" s="798"/>
    </row>
    <row r="107" spans="1:12" s="966" customFormat="1">
      <c r="A107" s="2337"/>
      <c r="D107" s="2338"/>
      <c r="K107" s="798"/>
      <c r="L107" s="798"/>
    </row>
    <row r="108" spans="1:12" s="966" customFormat="1">
      <c r="A108" s="2337"/>
      <c r="D108" s="2338"/>
      <c r="K108" s="798"/>
      <c r="L108" s="798"/>
    </row>
    <row r="109" spans="1:12" s="966" customFormat="1">
      <c r="A109" s="2337"/>
      <c r="D109" s="2338"/>
      <c r="K109" s="798"/>
      <c r="L109" s="798"/>
    </row>
    <row r="110" spans="1:12" s="966" customFormat="1">
      <c r="A110" s="2337"/>
      <c r="D110" s="2338"/>
      <c r="K110" s="798"/>
      <c r="L110" s="798"/>
    </row>
    <row r="111" spans="1:12" s="966" customFormat="1">
      <c r="A111" s="2337"/>
      <c r="D111" s="2338"/>
      <c r="K111" s="798"/>
      <c r="L111" s="798"/>
    </row>
    <row r="112" spans="1:12" s="966" customFormat="1">
      <c r="A112" s="2337"/>
      <c r="D112" s="2338"/>
      <c r="K112" s="798"/>
      <c r="L112" s="798"/>
    </row>
    <row r="113" spans="1:12" s="966" customFormat="1">
      <c r="A113" s="2337"/>
      <c r="D113" s="2338"/>
      <c r="K113" s="798"/>
      <c r="L113" s="798"/>
    </row>
    <row r="114" spans="1:12" s="966" customFormat="1">
      <c r="A114" s="2337"/>
      <c r="D114" s="2338"/>
      <c r="K114" s="798"/>
      <c r="L114" s="798"/>
    </row>
    <row r="115" spans="1:12" s="966" customFormat="1">
      <c r="A115" s="2337"/>
      <c r="D115" s="2338"/>
      <c r="K115" s="798"/>
      <c r="L115" s="798"/>
    </row>
    <row r="116" spans="1:12" s="966" customFormat="1">
      <c r="A116" s="2337"/>
      <c r="D116" s="2338"/>
      <c r="K116" s="798"/>
      <c r="L116" s="798"/>
    </row>
    <row r="117" spans="1:12" s="966" customFormat="1">
      <c r="A117" s="2337"/>
      <c r="D117" s="2338"/>
      <c r="K117" s="798"/>
      <c r="L117" s="798"/>
    </row>
    <row r="118" spans="1:12" s="966" customFormat="1">
      <c r="A118" s="2337"/>
      <c r="D118" s="2338"/>
      <c r="K118" s="798"/>
      <c r="L118" s="798"/>
    </row>
    <row r="119" spans="1:12" s="966" customFormat="1">
      <c r="A119" s="2337"/>
      <c r="D119" s="2338"/>
      <c r="K119" s="798"/>
      <c r="L119" s="798"/>
    </row>
    <row r="120" spans="1:12" s="966" customFormat="1">
      <c r="A120" s="2337"/>
      <c r="D120" s="2338"/>
      <c r="K120" s="798"/>
      <c r="L120" s="798"/>
    </row>
    <row r="121" spans="1:12" s="966" customFormat="1">
      <c r="A121" s="2337"/>
      <c r="D121" s="2338"/>
      <c r="K121" s="798"/>
      <c r="L121" s="798"/>
    </row>
    <row r="122" spans="1:12" s="966" customFormat="1">
      <c r="A122" s="2337"/>
      <c r="D122" s="2338"/>
      <c r="K122" s="798"/>
      <c r="L122" s="798"/>
    </row>
    <row r="123" spans="1:12" s="966" customFormat="1">
      <c r="A123" s="2337"/>
      <c r="D123" s="2338"/>
      <c r="K123" s="798"/>
      <c r="L123" s="798"/>
    </row>
    <row r="124" spans="1:12" s="966" customFormat="1">
      <c r="A124" s="2337"/>
      <c r="D124" s="2338"/>
      <c r="K124" s="798"/>
      <c r="L124" s="798"/>
    </row>
    <row r="125" spans="1:12" s="966" customFormat="1">
      <c r="A125" s="2337"/>
      <c r="D125" s="2338"/>
      <c r="K125" s="798"/>
      <c r="L125" s="798"/>
    </row>
    <row r="126" spans="1:12" s="966" customFormat="1">
      <c r="A126" s="2337"/>
      <c r="D126" s="2338"/>
      <c r="K126" s="798"/>
      <c r="L126" s="798"/>
    </row>
    <row r="127" spans="1:12" s="966" customFormat="1">
      <c r="A127" s="2337"/>
      <c r="D127" s="2338"/>
      <c r="K127" s="798"/>
      <c r="L127" s="798"/>
    </row>
    <row r="128" spans="1:12" s="966" customFormat="1">
      <c r="A128" s="2337"/>
      <c r="D128" s="2338"/>
      <c r="K128" s="798"/>
      <c r="L128" s="798"/>
    </row>
    <row r="129" spans="1:12" s="966" customFormat="1">
      <c r="A129" s="2337"/>
      <c r="D129" s="2338"/>
      <c r="K129" s="798"/>
      <c r="L129" s="798"/>
    </row>
    <row r="130" spans="1:12" s="966" customFormat="1">
      <c r="A130" s="2337"/>
      <c r="D130" s="2338"/>
      <c r="K130" s="798"/>
      <c r="L130" s="798"/>
    </row>
    <row r="131" spans="1:12" s="966" customFormat="1">
      <c r="A131" s="2337"/>
      <c r="D131" s="2338"/>
      <c r="K131" s="798"/>
      <c r="L131" s="798"/>
    </row>
    <row r="132" spans="1:12" s="966" customFormat="1">
      <c r="A132" s="2337"/>
      <c r="D132" s="2338"/>
      <c r="K132" s="798"/>
      <c r="L132" s="798"/>
    </row>
    <row r="133" spans="1:12" s="966"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4" sqref="G34"/>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403" t="s">
        <v>2042</v>
      </c>
      <c r="B1" s="3404"/>
      <c r="C1" s="3404"/>
      <c r="D1" s="3404"/>
      <c r="E1" s="3404"/>
      <c r="F1" s="3404"/>
      <c r="G1" s="340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2043</v>
      </c>
      <c r="D2" s="2362"/>
      <c r="E2" s="2363"/>
      <c r="F2" s="2282"/>
      <c r="G2" s="2361" t="s">
        <v>2044</v>
      </c>
      <c r="H2" s="2364"/>
      <c r="I2" s="2364"/>
      <c r="J2" s="2364"/>
      <c r="K2" s="2364"/>
      <c r="L2" s="2364"/>
      <c r="M2" s="2364"/>
      <c r="N2" s="2364"/>
      <c r="O2" s="2364"/>
      <c r="P2" s="2364"/>
      <c r="Q2" s="2364"/>
      <c r="R2" s="2364"/>
    </row>
    <row r="3" spans="1:29" ht="42.75">
      <c r="A3" s="415" t="s">
        <v>2045</v>
      </c>
      <c r="B3" s="1270" t="s">
        <v>2046</v>
      </c>
      <c r="C3" s="2366"/>
      <c r="D3" s="2367"/>
      <c r="E3" s="431" t="s">
        <v>2045</v>
      </c>
      <c r="F3" s="2368" t="s">
        <v>2047</v>
      </c>
      <c r="G3" s="2369" t="s">
        <v>2048</v>
      </c>
      <c r="H3" s="2364"/>
      <c r="I3" s="2364"/>
      <c r="J3" s="2364"/>
      <c r="K3" s="2364"/>
      <c r="L3" s="2364"/>
      <c r="M3" s="2364"/>
      <c r="N3" s="2364"/>
      <c r="O3" s="2364"/>
      <c r="P3" s="2364"/>
      <c r="Q3" s="2364"/>
      <c r="R3" s="2364"/>
    </row>
    <row r="4" spans="1:29" ht="54">
      <c r="A4" s="431"/>
      <c r="B4" s="1797" t="s">
        <v>2049</v>
      </c>
      <c r="C4" s="2986" t="s">
        <v>3115</v>
      </c>
      <c r="D4" s="2367"/>
      <c r="E4" s="2370"/>
      <c r="F4" s="42" t="s">
        <v>2050</v>
      </c>
      <c r="G4" s="2371" t="s">
        <v>2051</v>
      </c>
      <c r="H4" s="2364"/>
      <c r="I4" s="2364"/>
      <c r="J4" s="2364"/>
      <c r="K4" s="2364"/>
      <c r="L4" s="2364"/>
      <c r="M4" s="2364"/>
      <c r="N4" s="2364"/>
      <c r="O4" s="2364"/>
      <c r="P4" s="2364"/>
      <c r="Q4" s="2364"/>
      <c r="R4" s="2364"/>
    </row>
    <row r="5" spans="1:29" ht="54">
      <c r="A5" s="431"/>
      <c r="B5" s="1797" t="s">
        <v>2052</v>
      </c>
      <c r="C5" s="2986" t="s">
        <v>3116</v>
      </c>
      <c r="D5" s="2367"/>
      <c r="E5" s="2370"/>
      <c r="F5" s="1797" t="s">
        <v>2053</v>
      </c>
      <c r="G5" s="2371" t="s">
        <v>2054</v>
      </c>
      <c r="H5" s="2364"/>
      <c r="I5" s="2364"/>
      <c r="J5" s="2364"/>
      <c r="K5" s="2364"/>
      <c r="L5" s="2364"/>
      <c r="M5" s="2364"/>
      <c r="N5" s="2364"/>
      <c r="O5" s="2364"/>
      <c r="P5" s="2364"/>
      <c r="Q5" s="2364"/>
      <c r="R5" s="2364"/>
    </row>
    <row r="6" spans="1:29" ht="54">
      <c r="A6" s="431"/>
      <c r="B6" s="1797" t="s">
        <v>2055</v>
      </c>
      <c r="C6" s="2987" t="s">
        <v>3117</v>
      </c>
      <c r="D6" s="2367"/>
      <c r="E6" s="2370"/>
      <c r="F6" s="1797" t="s">
        <v>2056</v>
      </c>
      <c r="G6" s="2371" t="s">
        <v>2057</v>
      </c>
      <c r="H6" s="2364"/>
      <c r="I6" s="2364"/>
      <c r="J6" s="2364"/>
      <c r="K6" s="2364"/>
      <c r="L6" s="2364"/>
      <c r="M6" s="2364"/>
      <c r="N6" s="2364"/>
      <c r="O6" s="2364"/>
      <c r="P6" s="2364"/>
      <c r="Q6" s="2364"/>
      <c r="R6" s="2364"/>
    </row>
    <row r="7" spans="1:29" ht="41.25" thickBot="1">
      <c r="A7" s="431"/>
      <c r="B7" s="1797" t="s">
        <v>2053</v>
      </c>
      <c r="C7" s="2987" t="s">
        <v>3118</v>
      </c>
      <c r="D7" s="2372"/>
      <c r="E7" s="2373"/>
      <c r="F7" s="2374" t="s">
        <v>2058</v>
      </c>
      <c r="G7" s="2375" t="s">
        <v>2059</v>
      </c>
      <c r="H7" s="2364"/>
      <c r="I7" s="2364"/>
      <c r="J7" s="2364"/>
      <c r="K7" s="2364"/>
      <c r="L7" s="2364"/>
      <c r="M7" s="2364"/>
      <c r="N7" s="2364"/>
      <c r="O7" s="2364"/>
      <c r="P7" s="2364"/>
      <c r="Q7" s="2364"/>
      <c r="R7" s="2364"/>
    </row>
    <row r="8" spans="1:29" ht="27">
      <c r="A8" s="431"/>
      <c r="B8" s="1797" t="s">
        <v>2056</v>
      </c>
      <c r="C8" s="2987" t="s">
        <v>3119</v>
      </c>
      <c r="D8" s="2372"/>
      <c r="E8" s="2372"/>
      <c r="F8" s="1135"/>
      <c r="G8" s="1135"/>
      <c r="H8" s="2364"/>
      <c r="I8" s="2364"/>
      <c r="J8" s="2364"/>
      <c r="K8" s="2364"/>
      <c r="L8" s="2364"/>
      <c r="M8" s="2364"/>
      <c r="N8" s="2364"/>
      <c r="O8" s="2364"/>
      <c r="P8" s="2364"/>
      <c r="Q8" s="2364"/>
      <c r="R8" s="2364"/>
    </row>
    <row r="9" spans="1:29" ht="40.5">
      <c r="A9" s="431"/>
      <c r="B9" s="1797" t="s">
        <v>2060</v>
      </c>
      <c r="C9" s="2986" t="s">
        <v>3120</v>
      </c>
      <c r="D9" s="2367"/>
      <c r="E9" s="2372"/>
      <c r="F9" s="1135"/>
      <c r="G9" s="1135"/>
      <c r="H9" s="2364"/>
      <c r="I9" s="2364"/>
      <c r="J9" s="2364"/>
      <c r="K9" s="2364"/>
      <c r="L9" s="2364"/>
      <c r="M9" s="2364"/>
      <c r="N9" s="2364"/>
      <c r="O9" s="2364"/>
      <c r="P9" s="2364"/>
      <c r="Q9" s="2364"/>
      <c r="R9" s="2364"/>
    </row>
    <row r="10" spans="1:29" s="117" customFormat="1" ht="15.75" thickBot="1">
      <c r="A10" s="2376"/>
      <c r="B10" s="2377" t="s">
        <v>2061</v>
      </c>
      <c r="C10" s="2988" t="s">
        <v>3121</v>
      </c>
      <c r="D10" s="2367"/>
      <c r="E10" s="2367"/>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2062</v>
      </c>
      <c r="B13" s="2382"/>
      <c r="C13" s="2382"/>
      <c r="D13" s="2389"/>
      <c r="E13" s="2382"/>
      <c r="F13" s="2382"/>
      <c r="G13" s="2382"/>
    </row>
    <row r="14" spans="1:29" ht="15.75" thickBot="1">
      <c r="A14" s="2393"/>
      <c r="B14" s="2394"/>
      <c r="C14" s="2395" t="s">
        <v>2063</v>
      </c>
      <c r="D14" s="2367"/>
      <c r="E14" s="2396"/>
      <c r="F14" s="2396"/>
      <c r="G14" s="2361" t="s">
        <v>2064</v>
      </c>
    </row>
    <row r="15" spans="1:29" ht="42.75">
      <c r="A15" s="68" t="s">
        <v>2065</v>
      </c>
      <c r="B15" s="1269" t="s">
        <v>2046</v>
      </c>
      <c r="C15" s="2397">
        <f>C3</f>
        <v>0</v>
      </c>
      <c r="D15" s="2367"/>
      <c r="E15" s="2398" t="s">
        <v>2066</v>
      </c>
      <c r="F15" s="1269" t="s">
        <v>2067</v>
      </c>
      <c r="G15" s="135" t="str">
        <f>G3</f>
        <v>估价对象位于XX开发区，园区建设成熟度XX，产业集聚程度XX</v>
      </c>
    </row>
    <row r="16" spans="1:29" ht="57">
      <c r="A16" s="645"/>
      <c r="B16" s="2399" t="s">
        <v>2049</v>
      </c>
      <c r="C16" s="2400" t="str">
        <f>C4</f>
        <v>估价对象位于三元桥商圈，周边有凤凰汇购物中心等，人流量较大，商业繁华度较好</v>
      </c>
      <c r="D16" s="2367"/>
      <c r="E16" s="2401"/>
      <c r="F16" s="2402" t="s">
        <v>2050</v>
      </c>
      <c r="G16" s="136" t="str">
        <f>G4</f>
        <v>估价对象周边道路状况、公共交通通达情况、停车便捷程度，综合评价交通便捷度较好</v>
      </c>
    </row>
    <row r="17" spans="1:18" ht="57">
      <c r="A17" s="645"/>
      <c r="B17" s="2399" t="s">
        <v>2052</v>
      </c>
      <c r="C17" s="2400" t="str">
        <f>C5</f>
        <v>估价对象位于三元桥商圈，周边有佳程广场、南银大厦等，入驻率高，办公集聚程度较好</v>
      </c>
      <c r="D17" s="2372"/>
      <c r="E17" s="2401"/>
      <c r="F17" s="2402" t="s">
        <v>2068</v>
      </c>
      <c r="G17" s="1571"/>
    </row>
    <row r="18" spans="1:18" ht="57">
      <c r="A18" s="645"/>
      <c r="B18" s="2402" t="s">
        <v>2055</v>
      </c>
      <c r="C18" s="136" t="str">
        <f>C6</f>
        <v>估价对象周边有405、641等公交线路及地铁10号线经过，综合评价交通便捷度较好</v>
      </c>
      <c r="D18" s="2372"/>
      <c r="E18" s="2401"/>
      <c r="F18" s="2402" t="s">
        <v>2058</v>
      </c>
      <c r="G18" s="136" t="str">
        <f>G7</f>
        <v>该园区内是否有污染型企业，绿化情况，卫生条件，整体环境状况判断</v>
      </c>
    </row>
    <row r="19" spans="1:18" ht="28.5">
      <c r="A19" s="645"/>
      <c r="B19" s="2402" t="s">
        <v>2069</v>
      </c>
      <c r="C19" s="2989" t="s">
        <v>3122</v>
      </c>
      <c r="D19" s="2367"/>
      <c r="E19" s="2401"/>
      <c r="F19" s="1797" t="s">
        <v>2053</v>
      </c>
      <c r="G19" s="136" t="str">
        <f>G5</f>
        <v>估价对象所在区域公共配套设施齐备情况</v>
      </c>
    </row>
    <row r="20" spans="1:18" ht="28.5">
      <c r="A20" s="645"/>
      <c r="B20" s="2402" t="s">
        <v>2070</v>
      </c>
      <c r="C20" s="2400" t="str">
        <f>C9</f>
        <v>区域自然环境：；人文环境；综合评价环境状况较好</v>
      </c>
      <c r="D20" s="2372"/>
      <c r="E20" s="2401"/>
      <c r="F20" s="1797" t="s">
        <v>2071</v>
      </c>
      <c r="G20" s="136" t="str">
        <f>G6</f>
        <v>估价对象所在区域基础设施水平</v>
      </c>
    </row>
    <row r="21" spans="1:18" ht="28.5">
      <c r="A21" s="645"/>
      <c r="B21" s="1797" t="s">
        <v>2053</v>
      </c>
      <c r="C21" s="136" t="str">
        <f>C7</f>
        <v>估价对象所在区域公共配套设施齐备情况较好</v>
      </c>
      <c r="D21" s="2367"/>
      <c r="E21" s="2401"/>
      <c r="F21" s="2402" t="s">
        <v>2072</v>
      </c>
      <c r="G21" s="2403"/>
    </row>
    <row r="22" spans="1:18" ht="13.5" customHeight="1">
      <c r="A22" s="645"/>
      <c r="B22" s="1797" t="s">
        <v>2056</v>
      </c>
      <c r="C22" s="136" t="str">
        <f>C8</f>
        <v>估价对象所在区域基础设施水平七通</v>
      </c>
      <c r="D22" s="2367"/>
      <c r="E22" s="2401"/>
      <c r="F22" s="2402" t="s">
        <v>2061</v>
      </c>
      <c r="G22" s="1571"/>
    </row>
    <row r="23" spans="1:18" s="2364" customFormat="1" ht="15.75" thickBot="1">
      <c r="A23" s="645"/>
      <c r="B23" s="2402" t="s">
        <v>2072</v>
      </c>
      <c r="C23" s="2403"/>
      <c r="D23" s="2390"/>
      <c r="E23" s="2404"/>
      <c r="F23" s="2405" t="s">
        <v>2073</v>
      </c>
      <c r="G23" s="2406"/>
      <c r="H23" s="2390"/>
      <c r="I23" s="2391"/>
      <c r="J23" s="2390"/>
      <c r="K23" s="2390"/>
      <c r="L23" s="2391"/>
      <c r="M23" s="2390"/>
      <c r="N23" s="2390"/>
      <c r="O23" s="2391"/>
      <c r="P23" s="2390"/>
      <c r="Q23" s="2390"/>
      <c r="R23" s="2392"/>
    </row>
    <row r="24" spans="1:18" s="2364" customFormat="1" ht="15.75" thickBot="1">
      <c r="A24" s="2407"/>
      <c r="B24" s="2405" t="s">
        <v>2074</v>
      </c>
      <c r="C24" s="137" t="str">
        <f>C10</f>
        <v>城市支路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48502.210000000006</v>
      </c>
      <c r="C1" s="1744"/>
      <c r="D1" s="1744"/>
      <c r="E1" s="1744"/>
      <c r="F1" s="1744"/>
      <c r="G1" s="1742"/>
    </row>
    <row r="2" spans="1:10" ht="16.5">
      <c r="A2" s="1745" t="s">
        <v>1349</v>
      </c>
      <c r="B2" s="1745">
        <f>SUM(C14:C23)</f>
        <v>7449.74</v>
      </c>
      <c r="C2" s="1744"/>
      <c r="D2" s="1744"/>
      <c r="E2" s="1744"/>
      <c r="F2" s="1744"/>
      <c r="G2" s="1742"/>
    </row>
    <row r="3" spans="1:10" ht="16.5">
      <c r="A3" s="1745" t="s">
        <v>1358</v>
      </c>
      <c r="B3" s="1746">
        <f>项目基本情况!D3</f>
        <v>43109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330818</v>
      </c>
      <c r="C5" s="1745">
        <f ca="1">ROUND(B5*10000/$B$1,0)</f>
        <v>68207</v>
      </c>
      <c r="D5" s="1745">
        <f ca="1">ROUND(B5*10000/$B$2,0)</f>
        <v>444067</v>
      </c>
      <c r="E5" s="1744"/>
      <c r="F5" s="1742"/>
      <c r="G5" s="1742"/>
    </row>
    <row r="6" spans="1:10" ht="16.5">
      <c r="A6" s="1745" t="s">
        <v>1352</v>
      </c>
      <c r="B6" s="1745">
        <f ca="1">SUM(G14:G23)</f>
        <v>330818</v>
      </c>
      <c r="C6" s="1745">
        <f ca="1">ROUND(B6*10000/$B$1,0)</f>
        <v>68207</v>
      </c>
      <c r="D6" s="1745">
        <f ca="1">ROUND(B6*10000/$B$2,0)</f>
        <v>444067</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48502.210000000006</v>
      </c>
      <c r="C14" s="1743">
        <f>结果表!C118</f>
        <v>7449.74</v>
      </c>
      <c r="D14" s="1743">
        <f ca="1">结果表!H118</f>
        <v>330818</v>
      </c>
      <c r="E14" s="1743">
        <f ca="1">ROUND(D14*10000/B14,0)</f>
        <v>68207</v>
      </c>
      <c r="F14" s="1743">
        <f ca="1">ROUND(D14*10000/C14,0)</f>
        <v>444067</v>
      </c>
      <c r="G14" s="1743">
        <f ca="1">结果表!D122</f>
        <v>330818</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1" sqref="H31"/>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2075</v>
      </c>
      <c r="B1" s="2413"/>
      <c r="C1" s="2414"/>
      <c r="D1" s="2413"/>
      <c r="E1" s="2413"/>
      <c r="F1" s="2415" t="s">
        <v>2076</v>
      </c>
      <c r="G1" s="2069" t="s">
        <v>2077</v>
      </c>
      <c r="H1" s="2416" t="str">
        <f>IF(G1="现房","——","估价对象范围")</f>
        <v>估价对象范围</v>
      </c>
      <c r="I1" s="2417" t="s">
        <v>3239</v>
      </c>
    </row>
    <row r="2" spans="1:12" ht="21.75" customHeight="1" thickBot="1">
      <c r="A2" s="3477" t="str">
        <f>项目基本情况!S2</f>
        <v>北京市北京朝阳区太阳宫乡0301-616地块出让国有建设用地使用权及在建建筑物房地产</v>
      </c>
      <c r="B2" s="3478"/>
      <c r="C2" s="3478"/>
      <c r="D2" s="3478"/>
      <c r="E2" s="3478"/>
      <c r="F2" s="3478"/>
      <c r="G2" s="3478"/>
      <c r="H2" s="3478"/>
      <c r="I2" s="3479"/>
    </row>
    <row r="3" spans="1:12" ht="12.75">
      <c r="A3" s="3480" t="s">
        <v>2078</v>
      </c>
      <c r="B3" s="3481"/>
      <c r="C3" s="3481"/>
      <c r="D3" s="3481"/>
      <c r="E3" s="3481"/>
      <c r="F3" s="3481"/>
      <c r="G3" s="3481"/>
      <c r="H3" s="3481"/>
      <c r="I3" s="3481"/>
    </row>
    <row r="4" spans="1:12" ht="14.25">
      <c r="A4" s="2420" t="s">
        <v>2079</v>
      </c>
      <c r="B4" s="2421" t="s">
        <v>2080</v>
      </c>
      <c r="C4" s="2422" t="s">
        <v>3240</v>
      </c>
      <c r="D4" s="2422" t="s">
        <v>3241</v>
      </c>
      <c r="E4" s="3461" t="s">
        <v>2081</v>
      </c>
      <c r="F4" s="3474"/>
      <c r="G4" s="3474"/>
      <c r="H4" s="3474"/>
      <c r="I4" s="346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452" t="s">
        <v>2082</v>
      </c>
      <c r="B5" s="3378">
        <v>25</v>
      </c>
      <c r="C5" s="3482"/>
      <c r="D5" s="3470"/>
      <c r="E5" s="140" t="s">
        <v>2083</v>
      </c>
      <c r="F5" s="2424"/>
      <c r="G5" s="2424"/>
      <c r="H5" s="2424"/>
      <c r="I5" s="1833"/>
    </row>
    <row r="6" spans="1:12" ht="12.75">
      <c r="A6" s="3452"/>
      <c r="B6" s="3378"/>
      <c r="C6" s="3484"/>
      <c r="D6" s="3470"/>
      <c r="E6" s="140" t="s">
        <v>2084</v>
      </c>
      <c r="F6" s="2424"/>
      <c r="G6" s="2424"/>
      <c r="H6" s="2424"/>
      <c r="I6" s="1833"/>
    </row>
    <row r="7" spans="1:12" ht="12.75">
      <c r="A7" s="3452"/>
      <c r="B7" s="3378"/>
      <c r="C7" s="3483"/>
      <c r="D7" s="3470"/>
      <c r="E7" s="140" t="s">
        <v>2085</v>
      </c>
      <c r="F7" s="2424"/>
      <c r="G7" s="2424"/>
      <c r="H7" s="2424"/>
      <c r="I7" s="1833"/>
    </row>
    <row r="8" spans="1:12" ht="12.75">
      <c r="A8" s="3452" t="s">
        <v>2086</v>
      </c>
      <c r="B8" s="3378">
        <v>15</v>
      </c>
      <c r="C8" s="3482"/>
      <c r="D8" s="3470"/>
      <c r="E8" s="140" t="s">
        <v>2087</v>
      </c>
      <c r="F8" s="2424"/>
      <c r="G8" s="2424"/>
      <c r="H8" s="2424"/>
      <c r="I8" s="1833"/>
    </row>
    <row r="9" spans="1:12" ht="12.75">
      <c r="A9" s="3452"/>
      <c r="B9" s="3378"/>
      <c r="C9" s="3483"/>
      <c r="D9" s="3470"/>
      <c r="E9" s="140" t="s">
        <v>2088</v>
      </c>
      <c r="F9" s="2424"/>
      <c r="G9" s="2424"/>
      <c r="H9" s="2424"/>
      <c r="I9" s="1833"/>
    </row>
    <row r="10" spans="1:12" ht="12.75">
      <c r="A10" s="3452" t="s">
        <v>2089</v>
      </c>
      <c r="B10" s="3378">
        <v>15</v>
      </c>
      <c r="C10" s="3482"/>
      <c r="D10" s="3470"/>
      <c r="E10" s="140" t="s">
        <v>2090</v>
      </c>
      <c r="F10" s="2424"/>
      <c r="G10" s="2424"/>
      <c r="H10" s="2424"/>
      <c r="I10" s="1833"/>
    </row>
    <row r="11" spans="1:12" ht="12.75">
      <c r="A11" s="3452"/>
      <c r="B11" s="3378"/>
      <c r="C11" s="3483"/>
      <c r="D11" s="3470"/>
      <c r="E11" s="140" t="s">
        <v>2091</v>
      </c>
      <c r="F11" s="2424"/>
      <c r="G11" s="2424"/>
      <c r="H11" s="2424"/>
      <c r="I11" s="1833"/>
    </row>
    <row r="12" spans="1:12" ht="12.75">
      <c r="A12" s="3452" t="s">
        <v>2092</v>
      </c>
      <c r="B12" s="3378">
        <v>15</v>
      </c>
      <c r="C12" s="3482"/>
      <c r="D12" s="3470"/>
      <c r="E12" s="140" t="s">
        <v>2093</v>
      </c>
      <c r="F12" s="2424"/>
      <c r="G12" s="2424"/>
      <c r="H12" s="2424"/>
      <c r="I12" s="1833"/>
    </row>
    <row r="13" spans="1:12" ht="12.75">
      <c r="A13" s="3452"/>
      <c r="B13" s="3378"/>
      <c r="C13" s="3483"/>
      <c r="D13" s="3470"/>
      <c r="E13" s="140" t="s">
        <v>2094</v>
      </c>
      <c r="F13" s="2424"/>
      <c r="G13" s="2424"/>
      <c r="H13" s="2424"/>
      <c r="I13" s="1833"/>
    </row>
    <row r="14" spans="1:12" ht="12.75">
      <c r="A14" s="3452" t="s">
        <v>2095</v>
      </c>
      <c r="B14" s="3378">
        <v>30</v>
      </c>
      <c r="C14" s="3482">
        <v>3</v>
      </c>
      <c r="D14" s="3470">
        <v>7</v>
      </c>
      <c r="E14" s="140" t="s">
        <v>2096</v>
      </c>
      <c r="F14" s="2424"/>
      <c r="G14" s="2424"/>
      <c r="H14" s="2424"/>
      <c r="I14" s="1833"/>
    </row>
    <row r="15" spans="1:12" ht="12.75">
      <c r="A15" s="3452"/>
      <c r="B15" s="3378"/>
      <c r="C15" s="3484"/>
      <c r="D15" s="3470"/>
      <c r="E15" s="140" t="s">
        <v>2097</v>
      </c>
      <c r="F15" s="2424"/>
      <c r="G15" s="2424"/>
      <c r="H15" s="2424"/>
      <c r="I15" s="1833"/>
    </row>
    <row r="16" spans="1:12" ht="12.75">
      <c r="A16" s="3452"/>
      <c r="B16" s="3378"/>
      <c r="C16" s="3483"/>
      <c r="D16" s="3470"/>
      <c r="E16" s="140" t="s">
        <v>2098</v>
      </c>
      <c r="F16" s="2424"/>
      <c r="G16" s="2424"/>
      <c r="H16" s="2424"/>
      <c r="I16" s="1833"/>
    </row>
    <row r="17" spans="1:35" ht="15">
      <c r="A17" s="2425" t="s">
        <v>2099</v>
      </c>
      <c r="B17" s="64"/>
      <c r="C17" s="141">
        <f>SUM(C5:C16)</f>
        <v>3</v>
      </c>
      <c r="D17" s="141">
        <f>SUM(D5:D16)</f>
        <v>7</v>
      </c>
      <c r="E17" s="138"/>
      <c r="F17" s="138"/>
      <c r="G17" s="138"/>
      <c r="H17" s="138"/>
      <c r="I17" s="138"/>
      <c r="K17" s="2423"/>
      <c r="L17" s="2426" t="s">
        <v>2100</v>
      </c>
      <c r="M17" s="2426" t="s">
        <v>2101</v>
      </c>
    </row>
    <row r="18" spans="1:35" ht="15.75" thickBot="1">
      <c r="A18" s="2427" t="s">
        <v>2102</v>
      </c>
      <c r="B18" s="2428"/>
      <c r="C18" s="142">
        <f>ROUND(C17/SUM(C17:D17),2)</f>
        <v>0.3</v>
      </c>
      <c r="D18" s="142">
        <f>1-C18</f>
        <v>0.7</v>
      </c>
      <c r="E18" s="138"/>
      <c r="F18" s="138"/>
      <c r="G18" s="138"/>
      <c r="H18" s="138"/>
      <c r="I18" s="138"/>
      <c r="K18" s="2423" t="s">
        <v>2103</v>
      </c>
      <c r="L18" s="2423">
        <f>IF(C1="",'数据-汇总表'!E3,SUMIF(项目类型,C1,'数据-汇总表'!E17:E26)+SUMIF(项目类型,C1,'数据-汇总表'!I17:I26))</f>
        <v>48502.210000000006</v>
      </c>
      <c r="M18" s="2423">
        <f>IF(C1="",'数据-汇总表'!E3,SUMIF(项目类型,C1,'数据-汇总表'!E17:E26))</f>
        <v>48502.210000000006</v>
      </c>
    </row>
    <row r="19" spans="1:35" ht="15">
      <c r="A19" s="2429" t="s">
        <v>2104</v>
      </c>
      <c r="B19" s="2430" t="s">
        <v>2105</v>
      </c>
      <c r="C19" s="143">
        <f ca="1">SUMIF(INDIRECT("'"&amp;C4&amp;"'"&amp;"!A:A"),结果表!B19,INDIRECT("'"&amp;C4&amp;"'"&amp;"!B:B"))</f>
        <v>221817</v>
      </c>
      <c r="D19" s="144">
        <f ca="1">SUMIF(INDIRECT("'"&amp;D4&amp;"'"&amp;"!A:A"),结果表!B19,INDIRECT("'"&amp;D4&amp;"'"&amp;"!B:B"))</f>
        <v>377532</v>
      </c>
      <c r="E19" s="2429" t="s">
        <v>2106</v>
      </c>
      <c r="F19" s="2430" t="s">
        <v>2105</v>
      </c>
      <c r="G19" s="145">
        <f ca="1">ROUND(C19*$C$18+D19*$D$18,0)</f>
        <v>330818</v>
      </c>
      <c r="H19" s="2431" t="s">
        <v>2107</v>
      </c>
      <c r="I19" s="138"/>
      <c r="K19" s="2423" t="s">
        <v>2108</v>
      </c>
      <c r="L19" s="2423">
        <f>IF(C1="",'数据-汇总表'!D3,SUMIF(项目类型,C1,'数据-汇总表'!D17:D26)+SUMIF(项目类型,C1,'数据-汇总表'!H17:H27))</f>
        <v>7449.74</v>
      </c>
      <c r="M19" s="2423">
        <f>IF(C1="",'数据-汇总表'!D3,SUMIF(项目类型,C1,'数据-汇总表'!D17:D26))</f>
        <v>7449.74</v>
      </c>
    </row>
    <row r="20" spans="1:35" ht="15">
      <c r="A20" s="2432"/>
      <c r="B20" s="1249" t="s">
        <v>2109</v>
      </c>
      <c r="C20" s="146">
        <f ca="1">SUMIF(INDIRECT("'"&amp;C4&amp;"'"&amp;"!A:A"),结果表!B20,INDIRECT("'"&amp;C4&amp;"'"&amp;"!B:B"))</f>
        <v>45733</v>
      </c>
      <c r="D20" s="147">
        <f ca="1">SUMIF(INDIRECT("'"&amp;D4&amp;"'"&amp;"!A:A"),结果表!B20,INDIRECT("'"&amp;D4&amp;"'"&amp;"!B:B"))</f>
        <v>77838</v>
      </c>
      <c r="E20" s="2432"/>
      <c r="F20" s="1249" t="s">
        <v>2109</v>
      </c>
      <c r="G20" s="148">
        <f ca="1">ROUND(C20*$C$18+D20*$D$18,0)</f>
        <v>68207</v>
      </c>
      <c r="H20" s="982" t="s">
        <v>2110</v>
      </c>
      <c r="I20" s="138"/>
    </row>
    <row r="21" spans="1:35" ht="15" customHeight="1" thickBot="1">
      <c r="A21" s="1002"/>
      <c r="B21" s="2433" t="s">
        <v>2111</v>
      </c>
      <c r="C21" s="789">
        <f ca="1">ROUND(C19*10000/L19,0)</f>
        <v>297751</v>
      </c>
      <c r="D21" s="790">
        <f ca="1">ROUND(D19*10000/L19,0)</f>
        <v>506772</v>
      </c>
      <c r="E21" s="1002"/>
      <c r="F21" s="2433" t="s">
        <v>2111</v>
      </c>
      <c r="G21" s="149">
        <f ca="1">ROUND(G19*10000/L19,0)</f>
        <v>444067</v>
      </c>
      <c r="H21" s="2434" t="s">
        <v>2110</v>
      </c>
      <c r="I21" s="138"/>
    </row>
    <row r="22" spans="1:35" ht="15" thickBot="1">
      <c r="A22" s="2277" t="s">
        <v>2112</v>
      </c>
      <c r="B22" s="2435"/>
      <c r="C22" s="2436"/>
      <c r="D22" s="791">
        <f ca="1">IF(C19&lt;D19,D19/C19-1,C19/D19-1)</f>
        <v>0.70199759261012451</v>
      </c>
      <c r="E22" s="138"/>
      <c r="F22" s="138"/>
      <c r="G22" s="138"/>
      <c r="H22" s="138"/>
      <c r="I22" s="138"/>
    </row>
    <row r="23" spans="1:35" ht="13.5" thickBot="1">
      <c r="A23" s="2413"/>
      <c r="B23" s="2413"/>
      <c r="C23" s="2413"/>
      <c r="D23" s="2413"/>
      <c r="E23" s="138"/>
      <c r="F23" s="138"/>
      <c r="G23" s="138"/>
      <c r="H23" s="138"/>
      <c r="I23" s="138"/>
    </row>
    <row r="24" spans="1:35" ht="14.25">
      <c r="A24" s="3491" t="s">
        <v>2113</v>
      </c>
      <c r="B24" s="2430" t="s">
        <v>2105</v>
      </c>
      <c r="C24" s="145">
        <f>IF(B30=0,0,D30)</f>
        <v>0</v>
      </c>
      <c r="D24" s="2437"/>
      <c r="E24" s="138"/>
      <c r="F24" s="138"/>
      <c r="G24" s="138"/>
      <c r="H24" s="138"/>
      <c r="I24" s="138"/>
    </row>
    <row r="25" spans="1:35" ht="14.25">
      <c r="A25" s="3492"/>
      <c r="B25" s="1249" t="s">
        <v>2109</v>
      </c>
      <c r="C25" s="150">
        <f>IF(B30=0,0,C30)</f>
        <v>0</v>
      </c>
      <c r="D25" s="2438"/>
      <c r="E25" s="138"/>
      <c r="F25" s="138"/>
      <c r="G25" s="138"/>
      <c r="H25" s="138"/>
      <c r="I25" s="138"/>
    </row>
    <row r="26" spans="1:35" ht="13.5" customHeight="1">
      <c r="A26" s="2439" t="s">
        <v>2114</v>
      </c>
      <c r="B26" s="151" t="s">
        <v>2115</v>
      </c>
      <c r="C26" s="151" t="s">
        <v>2116</v>
      </c>
      <c r="D26" s="152" t="s">
        <v>2117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2118</v>
      </c>
      <c r="B30" s="151"/>
      <c r="C30" s="151"/>
      <c r="D30" s="151"/>
      <c r="E30" s="2939" t="s">
        <v>2997</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2119</v>
      </c>
      <c r="B32" s="2443"/>
      <c r="C32" s="153">
        <f ca="1">IF(D32="总价",G19-C24,G20-C25)</f>
        <v>330818</v>
      </c>
      <c r="D32" s="2444" t="s">
        <v>2120</v>
      </c>
      <c r="E32" s="138"/>
      <c r="F32" s="138"/>
      <c r="G32" s="138"/>
      <c r="H32" s="138"/>
      <c r="I32" s="138"/>
    </row>
    <row r="33" spans="1:15" ht="15">
      <c r="A33" s="959" t="s">
        <v>2121</v>
      </c>
      <c r="B33" s="2445"/>
      <c r="C33" s="2446" t="s">
        <v>3264</v>
      </c>
      <c r="D33" s="2447" t="s">
        <v>3240</v>
      </c>
      <c r="E33" s="2448" t="s">
        <v>2122</v>
      </c>
      <c r="F33" s="2449" t="str">
        <f>IF(D32="楼面单价","取值（单价）","取值（总价）")</f>
        <v>取值（总价）</v>
      </c>
      <c r="G33" s="138"/>
      <c r="H33" s="138"/>
      <c r="I33" s="138"/>
    </row>
    <row r="34" spans="1:15" ht="15">
      <c r="A34" s="2450"/>
      <c r="B34" s="2451" t="s">
        <v>2123</v>
      </c>
      <c r="C34" s="157">
        <f ca="1">IF(C33="自定义",F34,C32-C35)</f>
        <v>310307</v>
      </c>
      <c r="D34" s="1057">
        <f ca="1">IF(C33="自定义",ROUND(C34/C32,3),IF(C33="收益比率",SUMIF(INDIRECT("'"&amp;D33&amp;"'"&amp;"!b:b"),"土地收益比率",INDIRECT("'"&amp;D33&amp;"'"&amp;"!c:c")),SUMIF(INDIRECT("'"&amp;D33&amp;"'"&amp;"!b:b"),"土地成本比率",INDIRECT("'"&amp;D33&amp;"'"&amp;"!c:c"))))</f>
        <v>0.93799999999999994</v>
      </c>
      <c r="E34" s="2452" t="s">
        <v>2124</v>
      </c>
      <c r="F34" s="1738"/>
      <c r="G34" s="138"/>
      <c r="H34" s="138"/>
      <c r="I34" s="138"/>
    </row>
    <row r="35" spans="1:15" ht="15.75" thickBot="1">
      <c r="A35" s="2453"/>
      <c r="B35" s="2454" t="s">
        <v>2125</v>
      </c>
      <c r="C35" s="1443">
        <f ca="1">IF(C33="自定义",F35,ROUND(C32*D35,0))</f>
        <v>20511</v>
      </c>
      <c r="D35" s="1444">
        <f ca="1">IF(C33="自定义",ROUND(C35/C32,3),IF(C33="收益比率",SUMIF(INDIRECT("'"&amp;D33&amp;"'"&amp;"!b:b"),"建筑物收益比率",INDIRECT("'"&amp;D33&amp;"'"&amp;"!c:c")),SUMIF(INDIRECT("'"&amp;D33&amp;"'"&amp;"!b:b"),"建筑物成本比率",INDIRECT("'"&amp;D33&amp;"'"&amp;"!c:c"))))</f>
        <v>6.2E-2</v>
      </c>
      <c r="E35" s="2455" t="s">
        <v>2126</v>
      </c>
      <c r="F35" s="163"/>
      <c r="G35" s="138"/>
      <c r="H35" s="138"/>
      <c r="I35" s="138"/>
    </row>
    <row r="36" spans="1:15" ht="15.75" thickBot="1">
      <c r="A36" s="3471" t="s">
        <v>2127</v>
      </c>
      <c r="B36" s="2456" t="s">
        <v>2128</v>
      </c>
      <c r="C36" s="154"/>
      <c r="D36" s="2457"/>
      <c r="E36" s="2458"/>
      <c r="F36" s="2459"/>
      <c r="G36" s="138"/>
      <c r="H36" s="138"/>
      <c r="I36" s="138"/>
    </row>
    <row r="37" spans="1:15" ht="15.75" thickBot="1">
      <c r="A37" s="3472"/>
      <c r="B37" s="2263" t="s">
        <v>2129</v>
      </c>
      <c r="C37" s="156"/>
      <c r="D37" s="1394"/>
      <c r="E37" s="1394"/>
      <c r="F37" s="2459"/>
      <c r="G37" s="138"/>
      <c r="H37" s="138"/>
      <c r="I37" s="138"/>
    </row>
    <row r="38" spans="1:15" ht="15.75" thickBot="1">
      <c r="A38" s="3473"/>
      <c r="B38" s="2460" t="s">
        <v>2130</v>
      </c>
      <c r="C38" s="727"/>
      <c r="D38" s="2461" t="s">
        <v>2131</v>
      </c>
      <c r="E38" s="1394"/>
      <c r="F38" s="2459"/>
      <c r="G38" s="138"/>
      <c r="H38" s="138"/>
      <c r="I38" s="138"/>
    </row>
    <row r="39" spans="1:15" ht="15">
      <c r="A39" s="2432" t="s">
        <v>2132</v>
      </c>
      <c r="B39" s="2462" t="s">
        <v>2133</v>
      </c>
      <c r="C39" s="2463" t="s">
        <v>2134</v>
      </c>
      <c r="D39" s="2463" t="s">
        <v>2135</v>
      </c>
      <c r="E39" s="2464" t="s">
        <v>2136</v>
      </c>
      <c r="F39" s="2459"/>
      <c r="G39" s="138"/>
      <c r="H39" s="138"/>
      <c r="I39" s="138"/>
    </row>
    <row r="40" spans="1:15" ht="14.25">
      <c r="A40" s="2465" t="s">
        <v>2137</v>
      </c>
      <c r="B40" s="158"/>
      <c r="C40" s="159"/>
      <c r="D40" s="159"/>
      <c r="E40" s="160"/>
      <c r="F40" s="2459"/>
      <c r="G40" s="138"/>
      <c r="H40" s="138"/>
      <c r="I40" s="138"/>
    </row>
    <row r="41" spans="1:15" ht="14.25">
      <c r="A41" s="2465" t="s">
        <v>2138</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2139</v>
      </c>
      <c r="B44" s="2470"/>
      <c r="C44" s="2470"/>
      <c r="D44" s="2471"/>
      <c r="E44" s="2471"/>
      <c r="F44" s="2472"/>
      <c r="G44" s="2472"/>
      <c r="H44" s="2472"/>
      <c r="I44" s="2472"/>
      <c r="J44" s="2473" t="s">
        <v>2140</v>
      </c>
      <c r="K44" s="2474"/>
      <c r="L44" s="2474"/>
      <c r="M44" s="2474"/>
      <c r="N44" s="2474"/>
      <c r="O44" s="2474"/>
    </row>
    <row r="45" spans="1:15" ht="14.25" customHeight="1" thickBot="1">
      <c r="A45" s="3488" t="s">
        <v>2141</v>
      </c>
      <c r="B45" s="3489"/>
      <c r="C45" s="3490"/>
      <c r="D45" s="164">
        <f ca="1">ROUND(H101*F45,0)</f>
        <v>330818</v>
      </c>
      <c r="E45" s="165" t="s">
        <v>2142</v>
      </c>
      <c r="F45" s="166">
        <v>1</v>
      </c>
      <c r="G45" s="167" t="s">
        <v>2143</v>
      </c>
      <c r="H45" s="138"/>
      <c r="I45" s="138"/>
      <c r="J45" s="3407" t="s">
        <v>2144</v>
      </c>
      <c r="K45" s="3407"/>
      <c r="L45" s="3407"/>
      <c r="M45" s="3407"/>
      <c r="N45" s="3407"/>
      <c r="O45" s="3407"/>
    </row>
    <row r="46" spans="1:15" ht="14.25" customHeight="1">
      <c r="A46" s="3485" t="s">
        <v>2145</v>
      </c>
      <c r="B46" s="3486"/>
      <c r="C46" s="3486"/>
      <c r="D46" s="3486"/>
      <c r="E46" s="3486"/>
      <c r="F46" s="3486"/>
      <c r="G46" s="3487"/>
      <c r="H46" s="2475"/>
      <c r="I46" s="168"/>
      <c r="J46" s="1811">
        <v>1</v>
      </c>
      <c r="K46" s="3407" t="s">
        <v>2146</v>
      </c>
      <c r="L46" s="3407"/>
      <c r="M46" s="3408"/>
      <c r="N46" s="3408"/>
      <c r="O46" s="3408"/>
    </row>
    <row r="47" spans="1:15" ht="12" customHeight="1">
      <c r="A47" s="169" t="s">
        <v>2147</v>
      </c>
      <c r="B47" s="170"/>
      <c r="C47" s="171"/>
      <c r="D47" s="172" t="s">
        <v>2148</v>
      </c>
      <c r="E47" s="24" t="s">
        <v>2149</v>
      </c>
      <c r="F47" s="173" t="s">
        <v>2150</v>
      </c>
      <c r="G47" s="174" t="s">
        <v>2151</v>
      </c>
      <c r="H47" s="2475"/>
      <c r="I47" s="168"/>
      <c r="J47" s="1811">
        <v>2</v>
      </c>
      <c r="K47" s="3407" t="s">
        <v>2152</v>
      </c>
      <c r="L47" s="3407"/>
      <c r="M47" s="3409">
        <f>'数据-取费表'!B2</f>
        <v>43109</v>
      </c>
      <c r="N47" s="3409"/>
      <c r="O47" s="3409"/>
    </row>
    <row r="48" spans="1:15" ht="25.5">
      <c r="A48" s="3475" t="s">
        <v>2153</v>
      </c>
      <c r="B48" s="3476"/>
      <c r="C48" s="3476"/>
      <c r="D48" s="140">
        <f>IF(H48="情况1",0,IF(H48="情况2",D52,IF(H48="情况3",D53,IF(H48="情况4",D54))))</f>
        <v>0</v>
      </c>
      <c r="E48" s="1800" t="str">
        <f>IF(H48="情况4","(销售额-原购置价)×税（费）率","销售额×税（费）率")</f>
        <v>销售额×税（费）率</v>
      </c>
      <c r="F48" s="175" t="str">
        <f>IF(H48="情况1","免征",'数据-取费表'!B41)</f>
        <v>免征</v>
      </c>
      <c r="G48" s="2476" t="s">
        <v>2154</v>
      </c>
      <c r="H48" s="2477" t="s">
        <v>2155</v>
      </c>
      <c r="I48" s="2475"/>
      <c r="J48" s="1811">
        <v>3</v>
      </c>
      <c r="K48" s="3407" t="s">
        <v>2156</v>
      </c>
      <c r="L48" s="3407"/>
      <c r="M48" s="3410">
        <f ca="1">H101</f>
        <v>330818</v>
      </c>
      <c r="N48" s="3410"/>
      <c r="O48" s="3410"/>
    </row>
    <row r="49" spans="1:35" ht="25.5" customHeight="1">
      <c r="A49" s="176" t="s">
        <v>2157</v>
      </c>
      <c r="B49" s="3455" t="s">
        <v>2158</v>
      </c>
      <c r="C49" s="3455"/>
      <c r="D49" s="177">
        <v>0</v>
      </c>
      <c r="E49" s="23" t="s">
        <v>2159</v>
      </c>
      <c r="F49" s="28" t="s">
        <v>33</v>
      </c>
      <c r="G49" s="3436"/>
      <c r="H49" s="138"/>
      <c r="I49" s="2478"/>
      <c r="J49" s="1811">
        <v>4</v>
      </c>
      <c r="K49" s="3407" t="str">
        <f>IF(项目基本情况!E8="房地产抵押价值","房地产抵押价值","抵押担保权已注销时的房地产抵押价值")</f>
        <v>房地产抵押价值</v>
      </c>
      <c r="L49" s="3407"/>
      <c r="M49" s="3410">
        <f ca="1">IF(项目基本情况!E8="房地产抵押价值",H107,H109)</f>
        <v>330818</v>
      </c>
      <c r="N49" s="3410"/>
      <c r="O49" s="3410"/>
    </row>
    <row r="50" spans="1:35" ht="25.5" customHeight="1">
      <c r="A50" s="178"/>
      <c r="B50" s="3455" t="s">
        <v>2160</v>
      </c>
      <c r="C50" s="3455"/>
      <c r="D50" s="179"/>
      <c r="E50" s="31"/>
      <c r="F50" s="180"/>
      <c r="G50" s="3437"/>
      <c r="H50" s="138"/>
      <c r="I50" s="2478"/>
      <c r="J50" s="3407" t="s">
        <v>2161</v>
      </c>
      <c r="K50" s="3407"/>
      <c r="L50" s="3407"/>
      <c r="M50" s="3407"/>
      <c r="N50" s="3407"/>
      <c r="O50" s="3407"/>
    </row>
    <row r="51" spans="1:35" ht="12" customHeight="1">
      <c r="A51" s="181"/>
      <c r="B51" s="3455" t="s">
        <v>2162</v>
      </c>
      <c r="C51" s="3455"/>
      <c r="D51" s="182"/>
      <c r="E51" s="30"/>
      <c r="F51" s="180"/>
      <c r="G51" s="3438"/>
      <c r="H51" s="138"/>
      <c r="I51" s="2478"/>
      <c r="J51" s="2479" t="s">
        <v>2163</v>
      </c>
      <c r="K51" s="3407" t="s">
        <v>2164</v>
      </c>
      <c r="L51" s="3407"/>
      <c r="M51" s="2479" t="s">
        <v>2165</v>
      </c>
      <c r="N51" s="2479" t="s">
        <v>2166</v>
      </c>
      <c r="O51" s="2479" t="s">
        <v>2167</v>
      </c>
    </row>
    <row r="52" spans="1:35" ht="24" customHeight="1">
      <c r="A52" s="183" t="s">
        <v>2168</v>
      </c>
      <c r="B52" s="3455" t="s">
        <v>2169</v>
      </c>
      <c r="C52" s="3455"/>
      <c r="D52" s="182">
        <f ca="1">ROUND(D45*'数据-取费表'!B41/(1+'数据-取费表'!C42),0)</f>
        <v>17644</v>
      </c>
      <c r="E52" s="11" t="s">
        <v>2170</v>
      </c>
      <c r="F52" s="184">
        <f>'数据-取费表'!B41</f>
        <v>5.6000000000000001E-2</v>
      </c>
      <c r="G52" s="2480"/>
      <c r="H52" s="138"/>
      <c r="I52" s="2478"/>
      <c r="J52" s="1811">
        <v>1</v>
      </c>
      <c r="K52" s="3430" t="s">
        <v>2171</v>
      </c>
      <c r="L52" s="3430"/>
      <c r="M52" s="1753">
        <f>D48</f>
        <v>0</v>
      </c>
      <c r="N52" s="1811" t="str">
        <f>E48</f>
        <v>销售额×税（费）率</v>
      </c>
      <c r="O52" s="1754" t="str">
        <f>F48</f>
        <v>免征</v>
      </c>
    </row>
    <row r="53" spans="1:35" ht="12" customHeight="1">
      <c r="A53" s="183" t="s">
        <v>2172</v>
      </c>
      <c r="B53" s="3456" t="s">
        <v>2173</v>
      </c>
      <c r="C53" s="3457"/>
      <c r="D53" s="182">
        <f ca="1">ROUND(D45*'数据-取费表'!B41/(1+'数据-取费表'!C42),0)</f>
        <v>17644</v>
      </c>
      <c r="E53" s="11" t="s">
        <v>2170</v>
      </c>
      <c r="F53" s="184">
        <f>'数据-取费表'!B41</f>
        <v>5.6000000000000001E-2</v>
      </c>
      <c r="G53" s="2480"/>
      <c r="H53" s="138"/>
      <c r="I53" s="2478"/>
      <c r="J53" s="1811">
        <v>2</v>
      </c>
      <c r="K53" s="3430" t="s">
        <v>2174</v>
      </c>
      <c r="L53" s="3430"/>
      <c r="M53" s="1753">
        <f t="shared" ref="M53:O54" ca="1" si="0">D55</f>
        <v>165</v>
      </c>
      <c r="N53" s="1811" t="str">
        <f t="shared" si="0"/>
        <v>销售额×税（费）率</v>
      </c>
      <c r="O53" s="1754">
        <f t="shared" si="0"/>
        <v>5.0000000000000001E-4</v>
      </c>
    </row>
    <row r="54" spans="1:35" ht="12" customHeight="1">
      <c r="A54" s="183" t="s">
        <v>2175</v>
      </c>
      <c r="B54" s="3456" t="s">
        <v>2176</v>
      </c>
      <c r="C54" s="3457"/>
      <c r="D54" s="182">
        <f ca="1">C68</f>
        <v>17644</v>
      </c>
      <c r="E54" s="30" t="s">
        <v>2177</v>
      </c>
      <c r="F54" s="184">
        <f>'数据-取费表'!B41</f>
        <v>5.6000000000000001E-2</v>
      </c>
      <c r="G54" s="2480"/>
      <c r="H54" s="2481"/>
      <c r="I54" s="2478"/>
      <c r="J54" s="1811">
        <v>3</v>
      </c>
      <c r="K54" s="3430" t="s">
        <v>2178</v>
      </c>
      <c r="L54" s="3430"/>
      <c r="M54" s="1753">
        <f t="shared" ca="1" si="0"/>
        <v>187244</v>
      </c>
      <c r="N54" s="1811" t="str">
        <f t="shared" si="0"/>
        <v>增值额×税（费）率</v>
      </c>
      <c r="O54" s="1755" t="str">
        <f t="shared" si="0"/>
        <v>——</v>
      </c>
    </row>
    <row r="55" spans="1:35" ht="24" customHeight="1">
      <c r="A55" s="3494" t="s">
        <v>2179</v>
      </c>
      <c r="B55" s="3476"/>
      <c r="C55" s="3476"/>
      <c r="D55" s="185">
        <f ca="1">IF(H55="个人住宅",0,ROUND(D45*I55,0))</f>
        <v>165</v>
      </c>
      <c r="E55" s="11" t="s">
        <v>2180</v>
      </c>
      <c r="F55" s="184">
        <f>IF(H55="正常",I55,"免征")</f>
        <v>5.0000000000000001E-4</v>
      </c>
      <c r="G55" s="2480"/>
      <c r="H55" s="2477" t="s">
        <v>2181</v>
      </c>
      <c r="I55" s="186">
        <f>'数据-取费表'!B49</f>
        <v>5.0000000000000001E-4</v>
      </c>
      <c r="J55" s="1811" t="str">
        <f>IF(H59="非个人房产","",4)</f>
        <v/>
      </c>
      <c r="K55" s="3430" t="str">
        <f>IF(H59="非个人房产","——","个人所得税")</f>
        <v>——</v>
      </c>
      <c r="L55" s="3430"/>
      <c r="M55" s="1756" t="str">
        <f>D59</f>
        <v>——</v>
      </c>
      <c r="N55" s="1809" t="str">
        <f>E59</f>
        <v>——</v>
      </c>
      <c r="O55" s="1757" t="str">
        <f>F59</f>
        <v>——</v>
      </c>
    </row>
    <row r="56" spans="1:35" ht="24.75">
      <c r="A56" s="3494" t="s">
        <v>2182</v>
      </c>
      <c r="B56" s="3476"/>
      <c r="C56" s="3476"/>
      <c r="D56" s="185">
        <f ca="1">IF(H56="个人住宅",D57,D58)</f>
        <v>187244</v>
      </c>
      <c r="E56" s="11" t="s">
        <v>2183</v>
      </c>
      <c r="F56" s="184" t="str">
        <f>IF(H56="正常",F58,"免征")</f>
        <v>——</v>
      </c>
      <c r="G56" s="2482" t="s">
        <v>2184</v>
      </c>
      <c r="H56" s="2483" t="s">
        <v>2181</v>
      </c>
      <c r="I56" s="2484"/>
      <c r="J56" s="1811" t="str">
        <f>IF(项目基本情况!K6="上海银行",IF(J55="",4,J55+1),"")</f>
        <v/>
      </c>
      <c r="K56" s="3413" t="str">
        <f>IF(项目基本情况!K6="上海银行","其他处置费用","")</f>
        <v/>
      </c>
      <c r="L56" s="3414"/>
      <c r="M56" s="1753" t="str">
        <f>IF(项目基本情况!K6="上海银行",M69,"")</f>
        <v/>
      </c>
      <c r="N56" s="3416" t="str">
        <f>IF(项目基本情况!K6="上海银行","包含处置中涉及的律师、诉讼、拍卖、评估等费用","")</f>
        <v/>
      </c>
      <c r="O56" s="3417"/>
    </row>
    <row r="57" spans="1:35" ht="12.75">
      <c r="A57" s="183" t="s">
        <v>2157</v>
      </c>
      <c r="B57" s="3461" t="s">
        <v>2185</v>
      </c>
      <c r="C57" s="3462"/>
      <c r="D57" s="187">
        <v>0</v>
      </c>
      <c r="E57" s="23" t="s">
        <v>2159</v>
      </c>
      <c r="F57" s="155"/>
      <c r="G57" s="2480"/>
      <c r="H57" s="2484"/>
      <c r="I57" s="2484"/>
      <c r="J57" s="3430">
        <f>IF(AND(J55="",J56=""),4,IF(项目基本情况!K6="上海银行",结果表!J56+1,结果表!J55+1))</f>
        <v>4</v>
      </c>
      <c r="K57" s="3430" t="s">
        <v>2186</v>
      </c>
      <c r="L57" s="2485" t="s">
        <v>2187</v>
      </c>
      <c r="M57" s="1758"/>
      <c r="N57" s="1759">
        <f ca="1">SUMIF(M52:M56,"&lt;9e307")</f>
        <v>187409</v>
      </c>
      <c r="O57" s="2486"/>
      <c r="P57" s="1752">
        <f ca="1">N57/M49</f>
        <v>0.56650182275450545</v>
      </c>
    </row>
    <row r="58" spans="1:35" ht="24.75">
      <c r="A58" s="183" t="s">
        <v>2168</v>
      </c>
      <c r="B58" s="3461" t="s">
        <v>2188</v>
      </c>
      <c r="C58" s="3474"/>
      <c r="D58" s="185">
        <f ca="1">IF(H58="转让取得",C81,C97)</f>
        <v>187244</v>
      </c>
      <c r="E58" s="11" t="s">
        <v>2183</v>
      </c>
      <c r="F58" s="24" t="s">
        <v>33</v>
      </c>
      <c r="G58" s="2480"/>
      <c r="H58" s="2483" t="s">
        <v>2189</v>
      </c>
      <c r="I58" s="2484"/>
      <c r="J58" s="3430"/>
      <c r="K58" s="3430"/>
      <c r="L58" s="2485" t="s">
        <v>2190</v>
      </c>
      <c r="M58" s="1760"/>
      <c r="N58" s="2487" t="str">
        <f ca="1">NUMBERSTRING(INT(N57*10000),2)&amp;"元整"</f>
        <v>壹拾捌亿柒仟肆佰零玖万元整</v>
      </c>
      <c r="O58" s="2488"/>
    </row>
    <row r="59" spans="1:35" ht="24.75" thickBot="1">
      <c r="A59" s="3434" t="s">
        <v>2191</v>
      </c>
      <c r="B59" s="3435"/>
      <c r="C59" s="3435"/>
      <c r="D59" s="188" t="str">
        <f>IF(H59="非个人房产","——",IF(H59="个人住宅",0,ROUND(D45*I59,0)))</f>
        <v>——</v>
      </c>
      <c r="E59" s="189" t="str">
        <f>IF(H59="非个人房产","——","销售额×税（费）率")</f>
        <v>——</v>
      </c>
      <c r="F59" s="190" t="str">
        <f>IF(H59="非个人房产","——",IF(H59="个人住宅","免征",I59))</f>
        <v>——</v>
      </c>
      <c r="G59" s="2489" t="s">
        <v>2184</v>
      </c>
      <c r="H59" s="2483" t="s">
        <v>2192</v>
      </c>
      <c r="I59" s="191">
        <v>0.01</v>
      </c>
      <c r="J59" s="3432">
        <f>J57+1</f>
        <v>5</v>
      </c>
      <c r="K59" s="3430" t="s">
        <v>2193</v>
      </c>
      <c r="L59" s="1811" t="s">
        <v>2187</v>
      </c>
      <c r="M59" s="1761"/>
      <c r="N59" s="1762">
        <f ca="1">M49-N57</f>
        <v>143409</v>
      </c>
      <c r="O59" s="2490"/>
    </row>
    <row r="60" spans="1:35" ht="12" customHeight="1">
      <c r="A60" s="2491"/>
      <c r="B60" s="2413"/>
      <c r="C60" s="2413"/>
      <c r="D60" s="2413"/>
      <c r="E60" s="2164"/>
      <c r="F60" s="2484"/>
      <c r="G60" s="2484"/>
      <c r="H60" s="2492"/>
      <c r="I60" s="138"/>
      <c r="J60" s="3433"/>
      <c r="K60" s="3430"/>
      <c r="L60" s="2485" t="s">
        <v>2190</v>
      </c>
      <c r="M60" s="1760"/>
      <c r="N60" s="2487" t="str">
        <f ca="1">NUMBERSTRING(INT(N59*10000),2)&amp;"元整"</f>
        <v>壹拾肆亿叁仟肆佰零玖万元整</v>
      </c>
      <c r="O60" s="2488"/>
    </row>
    <row r="61" spans="1:35" ht="13.5" thickBot="1">
      <c r="A61" s="3493" t="s">
        <v>2194</v>
      </c>
      <c r="B61" s="3493"/>
      <c r="C61" s="3493"/>
      <c r="D61" s="3493"/>
      <c r="E61" s="3493"/>
      <c r="F61" s="2484"/>
      <c r="G61" s="2484"/>
      <c r="H61" s="2492"/>
      <c r="I61" s="138"/>
      <c r="J61" s="1811">
        <f>J59+1</f>
        <v>6</v>
      </c>
      <c r="K61" s="3430" t="s">
        <v>2195</v>
      </c>
      <c r="L61" s="3430"/>
      <c r="M61" s="1763"/>
      <c r="N61" s="1764">
        <f ca="1">ROUND(N59*10000/'数据-汇总表'!E3,0)</f>
        <v>29568</v>
      </c>
      <c r="O61" s="2493"/>
    </row>
    <row r="62" spans="1:35" ht="12.75">
      <c r="A62" s="3450" t="s">
        <v>2196</v>
      </c>
      <c r="B62" s="3451"/>
      <c r="C62" s="1803"/>
      <c r="D62" s="1803" t="s">
        <v>2197</v>
      </c>
      <c r="E62" s="192" t="s">
        <v>2198</v>
      </c>
      <c r="F62" s="2484"/>
      <c r="G62" s="2484"/>
      <c r="H62" s="2492"/>
      <c r="I62" s="138"/>
    </row>
    <row r="63" spans="1:35" ht="12.75">
      <c r="A63" s="203" t="s">
        <v>773</v>
      </c>
      <c r="B63" s="193" t="s">
        <v>2199</v>
      </c>
      <c r="C63" s="194">
        <f ca="1">ROUND((C64+C65)/(1+'数据-取费表'!C42),0)</f>
        <v>315065</v>
      </c>
      <c r="D63" s="195"/>
      <c r="E63" s="196"/>
      <c r="F63" s="2484"/>
      <c r="G63" s="2484"/>
      <c r="H63" s="2492"/>
      <c r="I63" s="138"/>
      <c r="J63" s="3415" t="s">
        <v>2200</v>
      </c>
      <c r="K63" s="2494" t="s">
        <v>2201</v>
      </c>
      <c r="L63" s="1751">
        <f ca="1">IF(M49&gt;10000,M49*0.5%,IF(AND(M49&gt;1000,M49&lt;=10000),M49*1%,IF(AND(M49&gt;100,M49&lt;=1000),M49*3%,IF(AND(M49&gt;10,M49&lt;=100),M49*5%,M49*8%))))</f>
        <v>1654.0900000000001</v>
      </c>
      <c r="M63" s="24">
        <f ca="1">ROUND(L63,1)</f>
        <v>1654.1</v>
      </c>
      <c r="Z63" s="2418"/>
      <c r="AI63" s="2419"/>
    </row>
    <row r="64" spans="1:35" ht="14.25" customHeight="1">
      <c r="A64" s="197" t="s">
        <v>768</v>
      </c>
      <c r="B64" s="198" t="s">
        <v>2202</v>
      </c>
      <c r="C64" s="199">
        <f ca="1">D45</f>
        <v>330818</v>
      </c>
      <c r="D64" s="200" t="s">
        <v>31</v>
      </c>
      <c r="E64" s="201"/>
      <c r="F64" s="2484"/>
      <c r="G64" s="2484"/>
      <c r="H64" s="2492"/>
      <c r="I64" s="138"/>
      <c r="J64" s="3415"/>
      <c r="K64" s="2494" t="s">
        <v>2203</v>
      </c>
      <c r="L64" s="1751">
        <f ca="1">IF(M49&gt;2000,M49*0.5%,IF(AND(M49&gt;1000,M49&lt;=2000),M49*0.6%,IF(AND(M49&gt;500,M49&lt;=1000),M49*0.7%,IF(AND(M49&gt;200,M49&lt;=500),M49*0.8%,IF(AND(M49&gt;100,M49&lt;=200),M49*0.9%,IF(AND(M49&gt;50,M49&lt;=100),M49*1%,IF(AND(M49&gt;20,M49&lt;=50),M49*1.5%,IF(AND(M49&gt;10,M49&lt;=20),M49*2%,IF(AND(M49&gt;1,M49&lt;=10),M49*2.5%)))))))))</f>
        <v>1654.0900000000001</v>
      </c>
      <c r="M64" s="24">
        <f t="shared" ref="M64:M65" ca="1" si="1">ROUND(L64,1)</f>
        <v>1654.1</v>
      </c>
      <c r="N64" s="138" t="s">
        <v>2204</v>
      </c>
      <c r="Z64" s="2418"/>
      <c r="AI64" s="2419"/>
    </row>
    <row r="65" spans="1:35" ht="14.25" customHeight="1">
      <c r="A65" s="197" t="s">
        <v>769</v>
      </c>
      <c r="B65" s="198" t="s">
        <v>2205</v>
      </c>
      <c r="C65" s="202"/>
      <c r="D65" s="200"/>
      <c r="E65" s="201"/>
      <c r="F65" s="2484"/>
      <c r="G65" s="2484"/>
      <c r="H65" s="2492"/>
      <c r="I65" s="138"/>
      <c r="J65" s="3415"/>
      <c r="K65" s="2494" t="s">
        <v>2206</v>
      </c>
      <c r="L65" s="1751">
        <f ca="1">IF(M49&gt;1000,M49*0.1%,IF(AND(M49&gt;500,M49&lt;=1000),M49*0.5%,IF(AND(M49&gt;50,M49&lt;=500),M49*1%,IF(AND(M49&gt;1,M49&lt;=50),M49*1.5%))))</f>
        <v>330.81799999999998</v>
      </c>
      <c r="M65" s="24">
        <f t="shared" ca="1" si="1"/>
        <v>330.8</v>
      </c>
      <c r="N65" s="138" t="s">
        <v>2204</v>
      </c>
      <c r="Z65" s="2418"/>
      <c r="AI65" s="2419"/>
    </row>
    <row r="66" spans="1:35" ht="14.25" customHeight="1">
      <c r="A66" s="203" t="s">
        <v>770</v>
      </c>
      <c r="B66" s="204" t="s">
        <v>2207</v>
      </c>
      <c r="C66" s="205"/>
      <c r="D66" s="206" t="s">
        <v>31</v>
      </c>
      <c r="E66" s="1775" t="s">
        <v>1367</v>
      </c>
      <c r="F66" s="2484"/>
      <c r="G66" s="2484"/>
      <c r="H66" s="2492"/>
      <c r="I66" s="138"/>
      <c r="J66" s="3415"/>
      <c r="K66" s="2494" t="s">
        <v>2208</v>
      </c>
      <c r="L66" s="1751">
        <f ca="1">M49*0.5%</f>
        <v>1654.0900000000001</v>
      </c>
      <c r="M66" s="24">
        <f ca="1">IF(L66&gt;0.5,0.5,ROUND(L66,0))</f>
        <v>0.5</v>
      </c>
      <c r="N66" s="138" t="s">
        <v>2209</v>
      </c>
      <c r="Z66" s="2418"/>
      <c r="AI66" s="2419"/>
    </row>
    <row r="67" spans="1:35" ht="14.25" customHeight="1">
      <c r="A67" s="203" t="s">
        <v>771</v>
      </c>
      <c r="B67" s="204" t="s">
        <v>2210</v>
      </c>
      <c r="C67" s="207">
        <f ca="1">C63-C66</f>
        <v>315065</v>
      </c>
      <c r="D67" s="200" t="s">
        <v>31</v>
      </c>
      <c r="E67" s="201"/>
      <c r="F67" s="2484"/>
      <c r="G67" s="2484"/>
      <c r="H67" s="2492"/>
      <c r="I67" s="138"/>
      <c r="J67" s="3415"/>
      <c r="K67" s="2494" t="s">
        <v>2211</v>
      </c>
      <c r="L67" s="1751">
        <f ca="1">IF(M49&gt;=10000,(8.25+(M49-10000)*0.01%),IF(AND(M49&gt;=8000,M49&lt;10000),(7.85+(M49-8000)*0.02%),IF(AND(M49&gt;=5000,M49&lt;8000),(6.65+(M49-5000)*0.04%),IF(AND(M49&gt;=2000,M49&lt;5000),(4.25+(PM49-2000)*0.08%),IF(AND(M49&gt;=1000,M49&lt;2000),(2.75+(M49-1000)*0.15%),IF(AND(M49&gt;=100,M49&lt;1000),(0.5+(M49-100)*0.25%),IF(AND(M49&gt;0,M49&lt;100),M49*0.5%)))))))</f>
        <v>40.331800000000001</v>
      </c>
      <c r="M67" s="24">
        <f ca="1">ROUND(L67*0.9,1)</f>
        <v>36.299999999999997</v>
      </c>
      <c r="Z67" s="2418"/>
      <c r="AI67" s="2419"/>
    </row>
    <row r="68" spans="1:35" ht="14.25" customHeight="1" thickBot="1">
      <c r="A68" s="208" t="s">
        <v>772</v>
      </c>
      <c r="B68" s="209" t="s">
        <v>2212</v>
      </c>
      <c r="C68" s="210">
        <f ca="1">IF(C67&lt;=0,0,ROUND(C67*D68,0))</f>
        <v>17644</v>
      </c>
      <c r="D68" s="211">
        <f>'数据-取费表'!B41</f>
        <v>5.6000000000000001E-2</v>
      </c>
      <c r="E68" s="212"/>
      <c r="F68" s="2484"/>
      <c r="G68" s="2484"/>
      <c r="H68" s="2492"/>
      <c r="I68" s="138"/>
      <c r="J68" s="3415"/>
      <c r="K68" s="2494" t="s">
        <v>2213</v>
      </c>
      <c r="L68" s="1751">
        <f ca="1">IF(M49&gt;10000,M49*0.5%,IF(AND(M49&gt;5000,M49&lt;=10000),M49*1%,IF(AND(M49&gt;1000,M49&lt;=5000),M49*2%,IF(AND(M49&gt;200,M49&lt;=1000),M49*3%,M49*5%))))</f>
        <v>1654.0900000000001</v>
      </c>
      <c r="M68" s="24">
        <f ca="1">ROUND(L68,1)</f>
        <v>1654.1</v>
      </c>
      <c r="Z68" s="2418"/>
      <c r="AI68" s="2419"/>
    </row>
    <row r="69" spans="1:35" s="2441" customFormat="1" ht="16.5" customHeight="1">
      <c r="A69" s="2495"/>
      <c r="B69" s="2496"/>
      <c r="C69" s="2497"/>
      <c r="D69" s="2498"/>
      <c r="E69" s="2499"/>
      <c r="F69" s="2164"/>
      <c r="G69" s="2164"/>
      <c r="H69" s="2163"/>
      <c r="I69" s="2413"/>
      <c r="J69" s="3415"/>
      <c r="K69" s="2494" t="s">
        <v>2214</v>
      </c>
      <c r="L69" s="2500"/>
      <c r="M69" s="24">
        <f ca="1">ROUND(SUM(M63:M68),0)</f>
        <v>5330</v>
      </c>
      <c r="N69" s="1752">
        <f ca="1">M69/M49</f>
        <v>1.6111577967341559E-2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459" t="s">
        <v>2215</v>
      </c>
      <c r="B70" s="3460"/>
      <c r="C70" s="3460"/>
      <c r="D70" s="3460"/>
      <c r="E70" s="3460"/>
      <c r="F70" s="3460"/>
      <c r="G70" s="3460"/>
      <c r="H70" s="346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50" t="s">
        <v>2196</v>
      </c>
      <c r="B71" s="3451"/>
      <c r="C71" s="1803"/>
      <c r="D71" s="1803" t="s">
        <v>2197</v>
      </c>
      <c r="E71" s="213" t="s">
        <v>2198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773</v>
      </c>
      <c r="B72" s="204" t="s">
        <v>2216</v>
      </c>
      <c r="C72" s="207">
        <f ca="1">ROUND(D45/(1+'数据-取费表'!C42),0)</f>
        <v>315065</v>
      </c>
      <c r="D72" s="200" t="s">
        <v>31</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770</v>
      </c>
      <c r="B73" s="173" t="s">
        <v>2217</v>
      </c>
      <c r="C73" s="207">
        <f ca="1">C74+C78</f>
        <v>1890</v>
      </c>
      <c r="D73" s="200" t="s">
        <v>31</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768</v>
      </c>
      <c r="B74" s="198" t="s">
        <v>2218</v>
      </c>
      <c r="C74" s="200">
        <f>ROUND(IF(G77="2016年5月1日后购买",C75/(1+'数据-取费表'!C42)+C76+C77,C75+C76+C77),0)</f>
        <v>0</v>
      </c>
      <c r="D74" s="200" t="s">
        <v>31</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774</v>
      </c>
      <c r="B75" s="198" t="s">
        <v>2219</v>
      </c>
      <c r="C75" s="218"/>
      <c r="D75" s="200" t="s">
        <v>31</v>
      </c>
      <c r="E75" s="219" t="s">
        <v>2220</v>
      </c>
      <c r="F75" s="2506" t="s">
        <v>2221</v>
      </c>
      <c r="G75" s="219" t="s">
        <v>2222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775</v>
      </c>
      <c r="B76" s="221" t="s">
        <v>2223</v>
      </c>
      <c r="C76" s="200">
        <f>IF(F75="购房发票",ROUND(C75*H75*D76,0),0)</f>
        <v>0</v>
      </c>
      <c r="D76" s="222">
        <v>0.05</v>
      </c>
      <c r="E76" s="3456" t="s">
        <v>2224</v>
      </c>
      <c r="F76" s="3455"/>
      <c r="G76" s="3455"/>
      <c r="H76" s="345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776</v>
      </c>
      <c r="B77" s="198" t="s">
        <v>2225</v>
      </c>
      <c r="C77" s="200">
        <f>ROUND(IF(G77="个人住宅",0,IF(G77="2016年5月1日前购买",C75*D77,C75*D77/(1+'数据-取费表'!C42))),0)</f>
        <v>0</v>
      </c>
      <c r="D77" s="223">
        <f>'数据-取费表'!B48+'数据-取费表'!B49</f>
        <v>3.0499999999999999E-2</v>
      </c>
      <c r="E77" s="15" t="s">
        <v>2226</v>
      </c>
      <c r="F77" s="224"/>
      <c r="G77" s="2508" t="s">
        <v>2227</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769</v>
      </c>
      <c r="B78" s="198" t="s">
        <v>2228</v>
      </c>
      <c r="C78" s="225">
        <f ca="1">ROUND(D45*D78/(1+'数据-取费表'!C42),0)</f>
        <v>1890</v>
      </c>
      <c r="D78" s="226">
        <f>'数据-取费表'!B43</f>
        <v>6.000000000000001E-3</v>
      </c>
      <c r="E78" s="3447" t="s">
        <v>2229</v>
      </c>
      <c r="F78" s="3448"/>
      <c r="G78" s="3448"/>
      <c r="H78" s="344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777</v>
      </c>
      <c r="B79" s="204" t="s">
        <v>2230</v>
      </c>
      <c r="C79" s="207">
        <f ca="1">C72-C73</f>
        <v>313175</v>
      </c>
      <c r="D79" s="200" t="s">
        <v>31</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778</v>
      </c>
      <c r="B80" s="204" t="s">
        <v>2231</v>
      </c>
      <c r="C80" s="227">
        <f ca="1">IF(C79&lt;=0,0,C79/C73)</f>
        <v>165.7010582010582</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779</v>
      </c>
      <c r="B81" s="209" t="s">
        <v>2232</v>
      </c>
      <c r="C81" s="228">
        <f ca="1">ROUND(IF(C79&lt;=0,0,IF(C80&gt;=200%,C79*60%-C73*35%,IF(C80&gt;=100%,C79*50%-C73*15%,IF(C80&gt;=50%,C79*40%-C73*5%,IF(C80&lt;50%,C79*30%,0))))),0)</f>
        <v>187244</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59" t="s">
        <v>2233</v>
      </c>
      <c r="B83" s="3460"/>
      <c r="C83" s="3460"/>
      <c r="D83" s="3460"/>
      <c r="E83" s="3460"/>
      <c r="F83" s="3460"/>
      <c r="G83" s="3460"/>
      <c r="H83" s="346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50" t="s">
        <v>2196</v>
      </c>
      <c r="B84" s="3451"/>
      <c r="C84" s="1803"/>
      <c r="D84" s="1803" t="s">
        <v>2197</v>
      </c>
      <c r="E84" s="213" t="s">
        <v>2198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773</v>
      </c>
      <c r="B85" s="204" t="s">
        <v>2216</v>
      </c>
      <c r="C85" s="207">
        <f ca="1">ROUND(D45/(1+'数据-取费表'!C42),0)</f>
        <v>315065</v>
      </c>
      <c r="D85" s="200" t="s">
        <v>31</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770</v>
      </c>
      <c r="B86" s="173" t="s">
        <v>2217</v>
      </c>
      <c r="C86" s="207">
        <f ca="1">IF(H88="仅含出让金",C87+C90+C91+C92+C93+C94,C87+C91+C92+C93+C94)</f>
        <v>1890</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768</v>
      </c>
      <c r="B87" s="198" t="s">
        <v>2234</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774</v>
      </c>
      <c r="B88" s="198" t="s">
        <v>2235</v>
      </c>
      <c r="C88" s="236"/>
      <c r="D88" s="226"/>
      <c r="E88" s="237" t="s">
        <v>2236</v>
      </c>
      <c r="F88" s="1799"/>
      <c r="G88" s="238" t="s">
        <v>2237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775</v>
      </c>
      <c r="B89" s="198" t="s">
        <v>2225</v>
      </c>
      <c r="C89" s="225">
        <f>ROUND(C88*D89,0)</f>
        <v>0</v>
      </c>
      <c r="D89" s="226">
        <f>'数据-取费表'!B48+'数据-取费表'!B49</f>
        <v>3.0499999999999999E-2</v>
      </c>
      <c r="E89" s="237" t="s">
        <v>2238</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769</v>
      </c>
      <c r="B90" s="198" t="s">
        <v>2239</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2240</v>
      </c>
      <c r="B91" s="198" t="s">
        <v>2241</v>
      </c>
      <c r="C91" s="225">
        <f>IF(H91="——",成本法!C33,I91)</f>
        <v>0</v>
      </c>
      <c r="D91" s="226"/>
      <c r="E91" s="3447" t="s">
        <v>2242</v>
      </c>
      <c r="F91" s="3448"/>
      <c r="G91" s="3448"/>
      <c r="H91" s="2513" t="s">
        <v>2243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2244</v>
      </c>
      <c r="B92" s="198" t="s">
        <v>2245</v>
      </c>
      <c r="C92" s="225">
        <f>ROUND((C87+C90+C91)*D92,0)</f>
        <v>0</v>
      </c>
      <c r="D92" s="226">
        <v>0.1</v>
      </c>
      <c r="E92" s="3447" t="s">
        <v>2246</v>
      </c>
      <c r="F92" s="3448"/>
      <c r="G92" s="3448"/>
      <c r="H92" s="344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2247</v>
      </c>
      <c r="B93" s="198" t="s">
        <v>2228</v>
      </c>
      <c r="C93" s="225">
        <f ca="1">ROUND(D45*D93/(1+'数据-取费表'!C42),0)</f>
        <v>1890</v>
      </c>
      <c r="D93" s="226">
        <f>'数据-取费表'!B43</f>
        <v>6.000000000000001E-3</v>
      </c>
      <c r="E93" s="3447" t="s">
        <v>2229</v>
      </c>
      <c r="F93" s="3448"/>
      <c r="G93" s="3448"/>
      <c r="H93" s="344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2248</v>
      </c>
      <c r="B94" s="198" t="s">
        <v>2249</v>
      </c>
      <c r="C94" s="236">
        <f>ROUND((C87+C90+C91)*D94,0)</f>
        <v>0</v>
      </c>
      <c r="D94" s="226">
        <v>0.2</v>
      </c>
      <c r="E94" s="3495" t="s">
        <v>2250</v>
      </c>
      <c r="F94" s="3496"/>
      <c r="G94" s="3496"/>
      <c r="H94" s="349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777</v>
      </c>
      <c r="B95" s="204" t="s">
        <v>2230</v>
      </c>
      <c r="C95" s="207">
        <f ca="1">ROUND(C85-C86,0)</f>
        <v>313175</v>
      </c>
      <c r="D95" s="200" t="s">
        <v>31</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778</v>
      </c>
      <c r="B96" s="204" t="s">
        <v>2231</v>
      </c>
      <c r="C96" s="227">
        <f ca="1">IF(C95&lt;=0,0,C95/C86)</f>
        <v>165.7010582010582</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779</v>
      </c>
      <c r="B97" s="209" t="s">
        <v>2232</v>
      </c>
      <c r="C97" s="228">
        <f ca="1">ROUND(IF(C95&lt;=0,0,IF(C96&gt;=200%,C95*60%-C86*35%,IF(C96&gt;=100%,C95*50%-C86*15%,IF(C96&gt;=50%,C95*40%-C86*5%,IF(C96&lt;50%,C95*30%,0))))),0)</f>
        <v>187244</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2251</v>
      </c>
      <c r="B99" s="2413"/>
      <c r="C99" s="2413"/>
      <c r="D99" s="2413"/>
      <c r="E99" s="2164"/>
      <c r="F99" s="2164"/>
      <c r="G99" s="2164"/>
      <c r="H99" s="2163"/>
      <c r="I99" s="138"/>
    </row>
    <row r="100" spans="1:35" ht="18.75" customHeight="1">
      <c r="A100" s="3399" t="s">
        <v>2252</v>
      </c>
      <c r="B100" s="3400"/>
      <c r="C100" s="3400"/>
      <c r="D100" s="3431"/>
      <c r="E100" s="3400" t="s">
        <v>2253</v>
      </c>
      <c r="F100" s="3400"/>
      <c r="G100" s="3400"/>
      <c r="H100" s="3431"/>
      <c r="I100" s="138"/>
    </row>
    <row r="101" spans="1:35" ht="18.75" customHeight="1">
      <c r="A101" s="3439" t="s">
        <v>2254</v>
      </c>
      <c r="B101" s="3440"/>
      <c r="C101" s="736" t="str">
        <f>C4</f>
        <v>成本法</v>
      </c>
      <c r="D101" s="737" t="str">
        <f>D4</f>
        <v>假设开发法</v>
      </c>
      <c r="E101" s="3411" t="s">
        <v>2255</v>
      </c>
      <c r="F101" s="3412"/>
      <c r="G101" s="2515" t="s">
        <v>2256</v>
      </c>
      <c r="H101" s="1047">
        <f ca="1">H118</f>
        <v>330818</v>
      </c>
      <c r="I101" s="138"/>
    </row>
    <row r="102" spans="1:35" ht="18.75" customHeight="1">
      <c r="A102" s="3441" t="s">
        <v>2257</v>
      </c>
      <c r="B102" s="2515" t="s">
        <v>2256</v>
      </c>
      <c r="C102" s="736">
        <f ca="1">C19</f>
        <v>221817</v>
      </c>
      <c r="D102" s="737">
        <f ca="1">D19</f>
        <v>377532</v>
      </c>
      <c r="E102" s="3411"/>
      <c r="F102" s="3412"/>
      <c r="G102" s="2515" t="s">
        <v>2258</v>
      </c>
      <c r="H102" s="371">
        <f ca="1">I118</f>
        <v>68207</v>
      </c>
      <c r="I102" s="138"/>
    </row>
    <row r="103" spans="1:35" ht="42.75" customHeight="1">
      <c r="A103" s="3441"/>
      <c r="B103" s="2515" t="s">
        <v>2258</v>
      </c>
      <c r="C103" s="738">
        <f ca="1">C20</f>
        <v>45733</v>
      </c>
      <c r="D103" s="739">
        <f ca="1">D20</f>
        <v>77838</v>
      </c>
      <c r="E103" s="3405" t="s">
        <v>2259</v>
      </c>
      <c r="F103" s="3406"/>
      <c r="G103" s="2516" t="s">
        <v>2260</v>
      </c>
      <c r="H103" s="1047">
        <f>IF(D36="正常操作",H104+H105+H106,H105+H106)</f>
        <v>0</v>
      </c>
      <c r="I103" s="138"/>
    </row>
    <row r="104" spans="1:35" ht="18.75" customHeight="1">
      <c r="A104" s="3441" t="s">
        <v>2261</v>
      </c>
      <c r="B104" s="2517" t="s">
        <v>2256</v>
      </c>
      <c r="C104" s="740">
        <f ca="1">H118</f>
        <v>330818</v>
      </c>
      <c r="D104" s="741"/>
      <c r="E104" s="2263" t="s">
        <v>2262</v>
      </c>
      <c r="F104" s="2255"/>
      <c r="G104" s="2516" t="s">
        <v>2260</v>
      </c>
      <c r="H104" s="1048">
        <f>IF(D36="同一抵押权人同一抵押物续贷",C36&amp;"（未扣减，详见特别提示）",C36)</f>
        <v>0</v>
      </c>
      <c r="I104" s="138"/>
    </row>
    <row r="105" spans="1:35" ht="18.75" customHeight="1" thickBot="1">
      <c r="A105" s="3453"/>
      <c r="B105" s="2518" t="s">
        <v>2258</v>
      </c>
      <c r="C105" s="742">
        <f ca="1">I118</f>
        <v>68207</v>
      </c>
      <c r="D105" s="743"/>
      <c r="E105" s="2263" t="s">
        <v>2263</v>
      </c>
      <c r="F105" s="2255"/>
      <c r="G105" s="2516" t="s">
        <v>2260</v>
      </c>
      <c r="H105" s="1048">
        <f>C37</f>
        <v>0</v>
      </c>
      <c r="I105" s="138"/>
    </row>
    <row r="106" spans="1:35" ht="18.75" customHeight="1">
      <c r="A106" s="2413" t="s">
        <v>2264</v>
      </c>
      <c r="B106" s="2413"/>
      <c r="C106" s="2413"/>
      <c r="D106" s="2413"/>
      <c r="E106" s="2519" t="s">
        <v>2265</v>
      </c>
      <c r="F106" s="2255"/>
      <c r="G106" s="2516" t="s">
        <v>2260</v>
      </c>
      <c r="H106" s="1048">
        <f>C38</f>
        <v>0</v>
      </c>
      <c r="I106" s="138"/>
    </row>
    <row r="107" spans="1:35" ht="18.75" customHeight="1">
      <c r="A107" s="138"/>
      <c r="B107" s="138"/>
      <c r="C107" s="138"/>
      <c r="D107" s="138"/>
      <c r="E107" s="3442" t="str">
        <f>IF(项目基本情况!E8="已注销","——","3.房地产抵押价值")</f>
        <v>3.房地产抵押价值</v>
      </c>
      <c r="F107" s="3412"/>
      <c r="G107" s="2515" t="s">
        <v>2256</v>
      </c>
      <c r="H107" s="1047">
        <f ca="1">IF(E107="——","——",H101-H103)</f>
        <v>330818</v>
      </c>
      <c r="I107" s="138"/>
    </row>
    <row r="108" spans="1:35" ht="18.75" customHeight="1">
      <c r="A108" s="138"/>
      <c r="B108" s="138"/>
      <c r="C108" s="138"/>
      <c r="D108" s="138"/>
      <c r="E108" s="3442"/>
      <c r="F108" s="3412"/>
      <c r="G108" s="2515" t="s">
        <v>2258</v>
      </c>
      <c r="H108" s="371">
        <f ca="1">ROUND(H107*10000/'数据-汇总表'!E3,0)</f>
        <v>68207</v>
      </c>
      <c r="I108" s="138"/>
    </row>
    <row r="109" spans="1:35" ht="18.75" customHeight="1">
      <c r="A109" s="138"/>
      <c r="B109" s="138"/>
      <c r="C109" s="138"/>
      <c r="D109" s="138"/>
      <c r="E109" s="3442" t="str">
        <f>IF(项目基本情况!E8="已注销及未注销","4.抵押担保权已注销时的房地产抵押价值",IF(项目基本情况!E8="已注销","3.抵押担保权已注销时的房地产抵押价值","——"))</f>
        <v>——</v>
      </c>
      <c r="F109" s="3412"/>
      <c r="G109" s="2515" t="s">
        <v>2256</v>
      </c>
      <c r="H109" s="348" t="str">
        <f>IF(E109="——","——",H101-H105-H106)</f>
        <v>——</v>
      </c>
      <c r="I109" s="138"/>
    </row>
    <row r="110" spans="1:35" ht="18.75" customHeight="1">
      <c r="A110" s="138"/>
      <c r="B110" s="138"/>
      <c r="C110" s="138"/>
      <c r="D110" s="138"/>
      <c r="E110" s="3442"/>
      <c r="F110" s="3412"/>
      <c r="G110" s="2515" t="s">
        <v>2258</v>
      </c>
      <c r="H110" s="371" t="str">
        <f>IF(H109="——","——",ROUND(H109*10000/'数据-汇总表'!E3,0))</f>
        <v>——</v>
      </c>
      <c r="I110" s="138"/>
    </row>
    <row r="111" spans="1:35" ht="18.75" customHeight="1">
      <c r="A111" s="138"/>
      <c r="B111" s="138"/>
      <c r="C111" s="138"/>
      <c r="D111" s="138"/>
      <c r="E111" s="3443" t="str">
        <f>IF(项目基本情况!E9="抵押净值",IF(OR(项目基本情况!E8="已注销",项目基本情况!E8="房地产抵押价值"),"4.抵押净值","5.抵押净值"),"——")</f>
        <v>——</v>
      </c>
      <c r="F111" s="3444"/>
      <c r="G111" s="2515" t="s">
        <v>2256</v>
      </c>
      <c r="H111" s="1047" t="str">
        <f>IF(E111="——","——",N59)</f>
        <v>——</v>
      </c>
      <c r="I111" s="138"/>
    </row>
    <row r="112" spans="1:35" ht="18.75" customHeight="1" thickBot="1">
      <c r="A112" s="138"/>
      <c r="B112" s="138"/>
      <c r="C112" s="138"/>
      <c r="D112" s="138"/>
      <c r="E112" s="3445"/>
      <c r="F112" s="3446"/>
      <c r="G112" s="2520" t="s">
        <v>2258</v>
      </c>
      <c r="H112" s="790" t="str">
        <f>IF(E111="——","——",N61)</f>
        <v>——</v>
      </c>
      <c r="I112" s="138"/>
    </row>
    <row r="113" spans="1:11" ht="18.75" customHeight="1">
      <c r="A113" s="138"/>
      <c r="B113" s="138"/>
      <c r="C113" s="138"/>
      <c r="D113" s="138"/>
      <c r="E113" s="3454" t="s">
        <v>2264</v>
      </c>
      <c r="F113" s="3454"/>
      <c r="G113" s="3454"/>
      <c r="H113" s="3454"/>
      <c r="I113" s="138"/>
    </row>
    <row r="114" spans="1:11" ht="3.75" customHeight="1">
      <c r="A114" s="2413"/>
      <c r="B114" s="2413"/>
      <c r="C114" s="2413"/>
      <c r="D114" s="2413"/>
      <c r="E114" s="2491"/>
      <c r="F114" s="2491"/>
      <c r="G114" s="2491"/>
      <c r="H114" s="2491"/>
      <c r="I114" s="2413"/>
    </row>
    <row r="115" spans="1:11" ht="18.75" customHeight="1">
      <c r="A115" s="3467" t="s">
        <v>2266</v>
      </c>
      <c r="B115" s="3468"/>
      <c r="C115" s="3468"/>
      <c r="D115" s="3468"/>
      <c r="E115" s="3468"/>
      <c r="F115" s="3468"/>
      <c r="G115" s="3468"/>
      <c r="H115" s="3468"/>
      <c r="I115" s="3469"/>
    </row>
    <row r="116" spans="1:11" ht="27" customHeight="1">
      <c r="A116" s="3378" t="s">
        <v>2267</v>
      </c>
      <c r="B116" s="3421" t="s">
        <v>2268</v>
      </c>
      <c r="C116" s="3421" t="s">
        <v>2269</v>
      </c>
      <c r="D116" s="3427" t="s">
        <v>2270</v>
      </c>
      <c r="E116" s="3428"/>
      <c r="F116" s="3463" t="s">
        <v>2271</v>
      </c>
      <c r="G116" s="3463"/>
      <c r="H116" s="3378" t="s">
        <v>2272</v>
      </c>
      <c r="I116" s="3378"/>
    </row>
    <row r="117" spans="1:11" ht="18.75" customHeight="1">
      <c r="A117" s="3378"/>
      <c r="B117" s="3422"/>
      <c r="C117" s="3422"/>
      <c r="D117" s="1797" t="s">
        <v>2273</v>
      </c>
      <c r="E117" s="1797" t="s">
        <v>2274</v>
      </c>
      <c r="F117" s="1797" t="s">
        <v>2273</v>
      </c>
      <c r="G117" s="1797" t="s">
        <v>2275</v>
      </c>
      <c r="H117" s="1797" t="s">
        <v>2273</v>
      </c>
      <c r="I117" s="1797" t="s">
        <v>2275</v>
      </c>
    </row>
    <row r="118" spans="1:11" ht="24.75" customHeight="1">
      <c r="A118" s="2521" t="str">
        <f>项目基本情况!S2</f>
        <v>北京市北京朝阳区太阳宫乡0301-616地块出让国有建设用地使用权及在建建筑物房地产</v>
      </c>
      <c r="B118" s="1797">
        <f>M18</f>
        <v>48502.210000000006</v>
      </c>
      <c r="C118" s="1797">
        <f>M19</f>
        <v>7449.74</v>
      </c>
      <c r="D118" s="1797">
        <f ca="1">ROUND(IF(D32="总价",C34,E118*B118/10000),0)</f>
        <v>310307</v>
      </c>
      <c r="E118" s="1797">
        <f ca="1">ROUND(IF(C33="自定义",IF(D32="楼面单价",C34,D118*10000/B118),I118-G118),0)</f>
        <v>63978</v>
      </c>
      <c r="F118" s="1797">
        <f ca="1">ROUND(IF(D32="总价",C35,G118*B118/10000),0)</f>
        <v>20511</v>
      </c>
      <c r="G118" s="1797">
        <f ca="1">ROUND(IF(D32="楼面单价",C35,F118*10000/B118),0)</f>
        <v>4229</v>
      </c>
      <c r="H118" s="1797">
        <f ca="1">ROUND(IF(D32="总价",C32,I118*B118/10000),0)</f>
        <v>330818</v>
      </c>
      <c r="I118" s="1797">
        <f ca="1">ROUND(IF(D32="楼面单价",C32,H118*10000/B118),0)</f>
        <v>68207</v>
      </c>
    </row>
    <row r="119" spans="1:11" ht="18.75" customHeight="1">
      <c r="A119" s="3378" t="s">
        <v>2276</v>
      </c>
      <c r="B119" s="3378"/>
      <c r="C119" s="3378"/>
      <c r="D119" s="3423" t="str">
        <f ca="1">NUMBERSTRING(INT(D118*10000),2)&amp;"元整"</f>
        <v>叁拾壹亿零叁佰零柒万元整</v>
      </c>
      <c r="E119" s="3424"/>
      <c r="F119" s="3423" t="str">
        <f ca="1">NUMBERSTRING(INT(F118*10000),2)&amp;"元整"</f>
        <v>贰亿零伍佰壹拾壹万元整</v>
      </c>
      <c r="G119" s="3424"/>
      <c r="H119" s="3423" t="str">
        <f ca="1">NUMBERSTRING(INT(H118*10000),2)&amp;"元整"</f>
        <v>叁拾叁亿零捌佰壹拾捌万元整</v>
      </c>
      <c r="I119" s="3424"/>
    </row>
    <row r="120" spans="1:11" ht="18.75" customHeight="1">
      <c r="A120" s="3418" t="str">
        <f>IF(项目基本情况!B9="房地产市场价值","",MID(E103,3,LEN(E103)-2))</f>
        <v>估价师知悉的法定优先受偿款</v>
      </c>
      <c r="B120" s="3419"/>
      <c r="C120" s="3420"/>
      <c r="D120" s="3418">
        <f>H103</f>
        <v>0</v>
      </c>
      <c r="E120" s="3419"/>
      <c r="F120" s="3419"/>
      <c r="G120" s="3419"/>
      <c r="H120" s="3419"/>
      <c r="I120" s="3420"/>
      <c r="K120" s="2418" t="str">
        <f>IF(D120=0,"故，本次评估不存在"&amp;A120,"故，本次评估"&amp;A120&amp;"为人民币"&amp;D120&amp;"万元整。")</f>
        <v>故，本次评估不存在估价师知悉的法定优先受偿款</v>
      </c>
    </row>
    <row r="121" spans="1:11" ht="18.75" customHeight="1">
      <c r="A121" s="3464" t="s">
        <v>2276</v>
      </c>
      <c r="B121" s="3465"/>
      <c r="C121" s="3466"/>
      <c r="D121" s="3423" t="str">
        <f>IF(D120=0,"零元整",NUMBERSTRING(INT(D120*10000),2)&amp;"元整")</f>
        <v>零元整</v>
      </c>
      <c r="E121" s="3425"/>
      <c r="F121" s="3425"/>
      <c r="G121" s="3425"/>
      <c r="H121" s="3425"/>
      <c r="I121" s="3424"/>
    </row>
    <row r="122" spans="1:11" ht="18.75" customHeight="1">
      <c r="A122" s="3429" t="str">
        <f>IF(项目基本情况!B9="房地产市场价值","",MID(E107,3,LEN(E107)-2))</f>
        <v>房地产抵押价值</v>
      </c>
      <c r="B122" s="3429"/>
      <c r="C122" s="3429"/>
      <c r="D122" s="3418">
        <f ca="1">H107</f>
        <v>330818</v>
      </c>
      <c r="E122" s="3419"/>
      <c r="F122" s="3419"/>
      <c r="G122" s="3419"/>
      <c r="H122" s="3419"/>
      <c r="I122" s="3420"/>
    </row>
    <row r="123" spans="1:11" ht="18.75" customHeight="1">
      <c r="A123" s="3378" t="s">
        <v>2276</v>
      </c>
      <c r="B123" s="3378"/>
      <c r="C123" s="3378"/>
      <c r="D123" s="3423" t="str">
        <f ca="1">NUMBERSTRING(INT(D122*10000),2)&amp;"元整"</f>
        <v>叁拾叁亿零捌佰壹拾捌万元整</v>
      </c>
      <c r="E123" s="3425"/>
      <c r="F123" s="3425"/>
      <c r="G123" s="3425"/>
      <c r="H123" s="3425"/>
      <c r="I123" s="3424"/>
    </row>
    <row r="124" spans="1:11" ht="18.75" customHeight="1">
      <c r="A124" s="3429" t="str">
        <f>IF(项目基本情况!B9="房地产市场价值","",MID(E109,3,LEN(E109)-2))</f>
        <v/>
      </c>
      <c r="B124" s="3429"/>
      <c r="C124" s="3429"/>
      <c r="D124" s="3418" t="str">
        <f>H109</f>
        <v>——</v>
      </c>
      <c r="E124" s="3419"/>
      <c r="F124" s="3419"/>
      <c r="G124" s="3419"/>
      <c r="H124" s="3419"/>
      <c r="I124" s="3420"/>
    </row>
    <row r="125" spans="1:11" ht="18.75" customHeight="1">
      <c r="A125" s="3378" t="s">
        <v>2276</v>
      </c>
      <c r="B125" s="3378"/>
      <c r="C125" s="3378"/>
      <c r="D125" s="3423" t="e">
        <f>NUMBERSTRING(INT(D124*10000),2)&amp;"元整"</f>
        <v>#VALUE!</v>
      </c>
      <c r="E125" s="3425"/>
      <c r="F125" s="3425"/>
      <c r="G125" s="3425"/>
      <c r="H125" s="3425"/>
      <c r="I125" s="3424"/>
    </row>
    <row r="126" spans="1:11" ht="18.75" customHeight="1">
      <c r="A126" s="3429" t="str">
        <f>IF(项目基本情况!B9="房地产市场价值","",MID(E111,3,LEN(E111)-2))</f>
        <v/>
      </c>
      <c r="B126" s="3429"/>
      <c r="C126" s="3429"/>
      <c r="D126" s="3418" t="str">
        <f>H111</f>
        <v>——</v>
      </c>
      <c r="E126" s="3419"/>
      <c r="F126" s="3419"/>
      <c r="G126" s="3419"/>
      <c r="H126" s="3419"/>
      <c r="I126" s="3420"/>
    </row>
    <row r="127" spans="1:11" ht="18.75" customHeight="1">
      <c r="A127" s="3378" t="s">
        <v>2276</v>
      </c>
      <c r="B127" s="3378"/>
      <c r="C127" s="3378"/>
      <c r="D127" s="3423" t="e">
        <f>NUMBERSTRING(INT(D126*10000),2)&amp;"元整"</f>
        <v>#VALUE!</v>
      </c>
      <c r="E127" s="3425"/>
      <c r="F127" s="3425"/>
      <c r="G127" s="3425"/>
      <c r="H127" s="3425"/>
      <c r="I127" s="3424"/>
    </row>
    <row r="128" spans="1:11" ht="21.75" customHeight="1">
      <c r="A128" s="3426" t="s">
        <v>2277</v>
      </c>
      <c r="B128" s="3426"/>
      <c r="C128" s="3426"/>
      <c r="D128" s="3426"/>
      <c r="E128" s="3426"/>
      <c r="F128" s="3426"/>
      <c r="G128" s="3426"/>
      <c r="H128" s="3426"/>
      <c r="I128" s="3426"/>
    </row>
    <row r="129" spans="1:35" ht="21.75" customHeight="1">
      <c r="A129" s="2522" t="s">
        <v>2278</v>
      </c>
      <c r="B129" s="2523"/>
      <c r="C129" s="2524" t="s">
        <v>2279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2280</v>
      </c>
      <c r="G135" s="2539"/>
      <c r="H135" s="2539"/>
      <c r="I135" s="2540" t="s">
        <v>2281</v>
      </c>
    </row>
    <row r="136" spans="1:35" ht="21.75" customHeight="1">
      <c r="A136" s="795"/>
      <c r="B136" s="2541" t="s">
        <v>2282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2283</v>
      </c>
    </row>
    <row r="139" spans="1:35" ht="21.75" customHeight="1">
      <c r="A139" s="795"/>
      <c r="B139" s="2541" t="s">
        <v>2284</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2283</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M59" sqref="M5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2286</v>
      </c>
      <c r="B2" s="671">
        <f>F66</f>
        <v>157326</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2288</v>
      </c>
      <c r="B3" s="609">
        <f>ROUND(IF(D3="",B2*10000/'数据-汇总表'!E3,B2*10000/D3),0)</f>
        <v>32437</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2601</v>
      </c>
      <c r="B4" s="402"/>
      <c r="C4" s="3517" t="s">
        <v>2602</v>
      </c>
      <c r="D4" s="3518"/>
      <c r="E4" s="3519" t="s">
        <v>2603</v>
      </c>
      <c r="F4" s="3520"/>
      <c r="G4" s="3517" t="s">
        <v>2604</v>
      </c>
      <c r="H4" s="3518"/>
      <c r="I4" s="3517" t="s">
        <v>2605</v>
      </c>
      <c r="J4" s="3518"/>
      <c r="K4" s="610" t="s">
        <v>2606</v>
      </c>
      <c r="L4" s="1132"/>
      <c r="M4" s="1133"/>
      <c r="N4" s="1133"/>
      <c r="O4" s="1133"/>
      <c r="P4" s="3521" t="s">
        <v>2607</v>
      </c>
      <c r="Q4" s="3522"/>
      <c r="R4" s="3503" t="s">
        <v>2603</v>
      </c>
      <c r="S4" s="3504"/>
      <c r="T4" s="3503" t="s">
        <v>2604</v>
      </c>
      <c r="U4" s="3504"/>
      <c r="V4" s="3529" t="s">
        <v>2605</v>
      </c>
      <c r="W4" s="3529"/>
      <c r="X4" s="1815"/>
      <c r="Y4" s="3503" t="s">
        <v>2607</v>
      </c>
      <c r="Z4" s="3504"/>
      <c r="AA4" s="3498" t="s">
        <v>2603</v>
      </c>
      <c r="AB4" s="3499" t="s">
        <v>2604</v>
      </c>
      <c r="AC4" s="3498" t="s">
        <v>2605</v>
      </c>
    </row>
    <row r="5" spans="1:30" ht="27" customHeight="1">
      <c r="A5" s="404"/>
      <c r="B5" s="405"/>
      <c r="C5" s="3509" t="s">
        <v>2498</v>
      </c>
      <c r="D5" s="3510"/>
      <c r="E5" s="3507" t="s">
        <v>3090</v>
      </c>
      <c r="F5" s="3508"/>
      <c r="G5" s="3513" t="s">
        <v>3112</v>
      </c>
      <c r="H5" s="3510"/>
      <c r="I5" s="3513" t="s">
        <v>3123</v>
      </c>
      <c r="J5" s="3510"/>
      <c r="K5" s="610"/>
      <c r="L5" s="1132"/>
      <c r="M5" s="1133"/>
      <c r="N5" s="1133"/>
      <c r="O5" s="1133"/>
      <c r="P5" s="3523"/>
      <c r="Q5" s="3524"/>
      <c r="R5" s="3505"/>
      <c r="S5" s="3506"/>
      <c r="T5" s="3505"/>
      <c r="U5" s="3506"/>
      <c r="V5" s="3529"/>
      <c r="W5" s="3529"/>
      <c r="X5" s="1815"/>
      <c r="Y5" s="3505"/>
      <c r="Z5" s="3506"/>
      <c r="AA5" s="3499"/>
      <c r="AB5" s="3499"/>
      <c r="AC5" s="3499"/>
    </row>
    <row r="6" spans="1:30" ht="15.75" thickBot="1">
      <c r="A6" s="406"/>
      <c r="B6" s="407"/>
      <c r="C6" s="3511" t="s">
        <v>2502</v>
      </c>
      <c r="D6" s="3512"/>
      <c r="E6" s="3514" t="s">
        <v>2502</v>
      </c>
      <c r="F6" s="3515"/>
      <c r="G6" s="3511" t="s">
        <v>2502</v>
      </c>
      <c r="H6" s="3512"/>
      <c r="I6" s="3511" t="s">
        <v>2502</v>
      </c>
      <c r="J6" s="3512"/>
      <c r="K6" s="610" t="s">
        <v>2503</v>
      </c>
      <c r="L6" s="1132"/>
      <c r="M6" s="1133"/>
      <c r="N6" s="1133"/>
      <c r="O6" s="1133"/>
      <c r="P6" s="3525"/>
      <c r="Q6" s="3526"/>
      <c r="R6" s="3505"/>
      <c r="S6" s="3506"/>
      <c r="T6" s="3527"/>
      <c r="U6" s="3528"/>
      <c r="V6" s="3529"/>
      <c r="W6" s="3529"/>
      <c r="X6" s="1815"/>
      <c r="Y6" s="3527"/>
      <c r="Z6" s="3528"/>
      <c r="AA6" s="3500"/>
      <c r="AB6" s="3500"/>
      <c r="AC6" s="3500"/>
    </row>
    <row r="7" spans="1:30" s="117" customFormat="1" ht="15.75" thickBot="1">
      <c r="A7" s="408" t="s">
        <v>2504</v>
      </c>
      <c r="B7" s="409"/>
      <c r="C7" s="410">
        <f>'数据-取费表'!B2</f>
        <v>43109</v>
      </c>
      <c r="D7" s="411">
        <v>100</v>
      </c>
      <c r="E7" s="412">
        <v>42395</v>
      </c>
      <c r="F7" s="413">
        <f>SUMIF(70:70,YEAR(E7)&amp;"-"&amp;INT((MONTH(E7)+2)/3),71:71)</f>
        <v>92</v>
      </c>
      <c r="G7" s="2693">
        <v>42836</v>
      </c>
      <c r="H7" s="411">
        <f>SUMIF(70:70,YEAR(G7)&amp;"-"&amp;INT((MONTH(G7)+2)/3),71:71)</f>
        <v>97</v>
      </c>
      <c r="I7" s="2693">
        <v>42523</v>
      </c>
      <c r="J7" s="411">
        <f>SUMIF(70:70,YEAR(I7)&amp;"-"&amp;INT((MONTH(I7)+2)/3),71:71)</f>
        <v>93</v>
      </c>
      <c r="K7" s="611"/>
      <c r="L7" s="1134"/>
      <c r="M7" s="1135"/>
      <c r="N7" s="1135"/>
      <c r="O7" s="1135"/>
      <c r="P7" s="3501" t="s">
        <v>2505</v>
      </c>
      <c r="Q7" s="3530"/>
      <c r="R7" s="770" t="s">
        <v>17</v>
      </c>
      <c r="S7" s="771">
        <f t="shared" ref="S7:S15" si="0">F7</f>
        <v>92</v>
      </c>
      <c r="T7" s="770" t="s">
        <v>17</v>
      </c>
      <c r="U7" s="771">
        <f t="shared" ref="U7:U15" si="1">H7</f>
        <v>97</v>
      </c>
      <c r="V7" s="770" t="s">
        <v>17</v>
      </c>
      <c r="W7" s="771">
        <f t="shared" ref="W7:W15" si="2">J7</f>
        <v>93</v>
      </c>
      <c r="X7" s="772"/>
      <c r="Y7" s="3501" t="s">
        <v>2505</v>
      </c>
      <c r="Z7" s="3502"/>
      <c r="AA7" s="773">
        <f>D7/F7</f>
        <v>1.0869565217391304</v>
      </c>
      <c r="AB7" s="773">
        <f>D7/H7</f>
        <v>1.0309278350515463</v>
      </c>
      <c r="AC7" s="773">
        <f>D7/J7</f>
        <v>1.075268817204301</v>
      </c>
    </row>
    <row r="8" spans="1:30" s="117" customFormat="1" ht="15.75" thickBot="1">
      <c r="A8" s="408" t="s">
        <v>2506</v>
      </c>
      <c r="B8" s="409"/>
      <c r="C8" s="414" t="s">
        <v>2507</v>
      </c>
      <c r="D8" s="411">
        <v>100</v>
      </c>
      <c r="E8" s="414" t="s">
        <v>3003</v>
      </c>
      <c r="F8" s="413">
        <f>SUMIF(73:73,E8,74:74)-SUMIF(73:73,C8,74:74)+100</f>
        <v>100</v>
      </c>
      <c r="G8" s="414" t="s">
        <v>3003</v>
      </c>
      <c r="H8" s="411">
        <f>SUMIF(73:73,G8,74:74)-SUMIF(73:73,C8,74:74)+100</f>
        <v>100</v>
      </c>
      <c r="I8" s="414" t="s">
        <v>3003</v>
      </c>
      <c r="J8" s="411">
        <f>SUMIF(73:73,I8,74:74)-SUMIF(73:73,C8,74:74)+100</f>
        <v>100</v>
      </c>
      <c r="K8" s="611"/>
      <c r="L8" s="1134"/>
      <c r="M8" s="1135"/>
      <c r="N8" s="1135"/>
      <c r="O8" s="1135"/>
      <c r="P8" s="3501" t="s">
        <v>2508</v>
      </c>
      <c r="Q8" s="3502"/>
      <c r="R8" s="770" t="s">
        <v>17</v>
      </c>
      <c r="S8" s="771">
        <f t="shared" si="0"/>
        <v>100</v>
      </c>
      <c r="T8" s="770" t="s">
        <v>17</v>
      </c>
      <c r="U8" s="771">
        <f t="shared" si="1"/>
        <v>100</v>
      </c>
      <c r="V8" s="770" t="s">
        <v>17</v>
      </c>
      <c r="W8" s="771">
        <f t="shared" si="2"/>
        <v>100</v>
      </c>
      <c r="X8" s="772"/>
      <c r="Y8" s="3501" t="s">
        <v>2508</v>
      </c>
      <c r="Z8" s="3502"/>
      <c r="AA8" s="773">
        <f t="shared" ref="AA8:AA45" si="3">D8/F8</f>
        <v>1</v>
      </c>
      <c r="AB8" s="773">
        <f t="shared" ref="AB8:AB45" si="4">D8/H8</f>
        <v>1</v>
      </c>
      <c r="AC8" s="773">
        <f t="shared" ref="AC8:AC45" si="5">D8/J8</f>
        <v>1</v>
      </c>
    </row>
    <row r="9" spans="1:30" s="117" customFormat="1">
      <c r="A9" s="415" t="s">
        <v>2509</v>
      </c>
      <c r="B9" s="71" t="s">
        <v>2510</v>
      </c>
      <c r="C9" s="2696" t="s">
        <v>3091</v>
      </c>
      <c r="D9" s="135">
        <v>100</v>
      </c>
      <c r="E9" s="2696" t="s">
        <v>3091</v>
      </c>
      <c r="F9" s="135">
        <f>SUMIF(75:75,E9,76:76)-SUMIF(75:75,C9,76:76)+100</f>
        <v>100</v>
      </c>
      <c r="G9" s="2696" t="s">
        <v>3091</v>
      </c>
      <c r="H9" s="135">
        <f>SUMIF(75:75,G9,76:76)-SUMIF(75:75,C9,76:76)+100</f>
        <v>100</v>
      </c>
      <c r="I9" s="2696" t="s">
        <v>3091</v>
      </c>
      <c r="J9" s="135">
        <f>SUMIF(75:75,I9,76:76)-SUMIF(75:75,C9,76:76)+100</f>
        <v>100</v>
      </c>
      <c r="K9" s="611"/>
      <c r="L9" s="1134"/>
      <c r="M9" s="1135"/>
      <c r="N9" s="1135"/>
      <c r="O9" s="1136"/>
      <c r="P9" s="3516" t="s">
        <v>2511</v>
      </c>
      <c r="Q9" s="1797" t="str">
        <f t="shared" ref="Q9:Q15" si="6">B9</f>
        <v>用途</v>
      </c>
      <c r="R9" s="770" t="s">
        <v>17</v>
      </c>
      <c r="S9" s="771">
        <f t="shared" si="0"/>
        <v>100</v>
      </c>
      <c r="T9" s="770" t="s">
        <v>17</v>
      </c>
      <c r="U9" s="771">
        <f t="shared" si="1"/>
        <v>100</v>
      </c>
      <c r="V9" s="770" t="s">
        <v>17</v>
      </c>
      <c r="W9" s="771">
        <f t="shared" si="2"/>
        <v>100</v>
      </c>
      <c r="X9" s="772"/>
      <c r="Y9" s="3378" t="s">
        <v>2512</v>
      </c>
      <c r="Z9" s="55" t="str">
        <f t="shared" ref="Z9:Z15" si="7">Q9</f>
        <v>用途</v>
      </c>
      <c r="AA9" s="773">
        <f t="shared" si="3"/>
        <v>1</v>
      </c>
      <c r="AB9" s="773">
        <f t="shared" si="4"/>
        <v>1</v>
      </c>
      <c r="AC9" s="773">
        <f t="shared" si="5"/>
        <v>1</v>
      </c>
    </row>
    <row r="10" spans="1:30" s="427" customFormat="1" ht="27">
      <c r="A10" s="421"/>
      <c r="B10" s="422" t="s">
        <v>2513</v>
      </c>
      <c r="C10" s="432" t="s">
        <v>3093</v>
      </c>
      <c r="D10" s="136">
        <v>100</v>
      </c>
      <c r="E10" s="432" t="s">
        <v>3093</v>
      </c>
      <c r="F10" s="136">
        <f>ROUND(100/'数据-取费表'!G16,0)</f>
        <v>102</v>
      </c>
      <c r="G10" s="432" t="s">
        <v>3093</v>
      </c>
      <c r="H10" s="136">
        <f>ROUND(100/'数据-取费表'!G16,0)</f>
        <v>102</v>
      </c>
      <c r="I10" s="432" t="s">
        <v>3093</v>
      </c>
      <c r="J10" s="136">
        <f>ROUND(100/'数据-取费表'!G16,0)</f>
        <v>102</v>
      </c>
      <c r="K10" s="672"/>
      <c r="L10" s="1137"/>
      <c r="M10" s="1138"/>
      <c r="N10" s="1138"/>
      <c r="O10" s="1139"/>
      <c r="P10" s="3516"/>
      <c r="Q10" s="1797" t="str">
        <f t="shared" si="6"/>
        <v>土地使用年限（年）</v>
      </c>
      <c r="R10" s="770" t="s">
        <v>17</v>
      </c>
      <c r="S10" s="771">
        <f t="shared" si="0"/>
        <v>102</v>
      </c>
      <c r="T10" s="770" t="s">
        <v>17</v>
      </c>
      <c r="U10" s="771">
        <f t="shared" si="1"/>
        <v>102</v>
      </c>
      <c r="V10" s="770" t="s">
        <v>17</v>
      </c>
      <c r="W10" s="771">
        <f t="shared" si="2"/>
        <v>102</v>
      </c>
      <c r="X10" s="772"/>
      <c r="Y10" s="3378"/>
      <c r="Z10" s="55" t="str">
        <f t="shared" si="7"/>
        <v>土地使用年限（年）</v>
      </c>
      <c r="AA10" s="773">
        <f t="shared" si="3"/>
        <v>0.98039215686274506</v>
      </c>
      <c r="AB10" s="773">
        <f t="shared" si="4"/>
        <v>0.98039215686274506</v>
      </c>
      <c r="AC10" s="773">
        <f t="shared" si="5"/>
        <v>0.98039215686274506</v>
      </c>
    </row>
    <row r="11" spans="1:30" ht="15">
      <c r="A11" s="428"/>
      <c r="B11" s="422" t="s">
        <v>2514</v>
      </c>
      <c r="C11" s="429">
        <f>'数据-汇总表'!I4</f>
        <v>4.6900000000000004</v>
      </c>
      <c r="D11" s="136">
        <v>100</v>
      </c>
      <c r="E11" s="429">
        <v>6.52</v>
      </c>
      <c r="F11" s="136">
        <f>LOOKUP(E11,80:80,81:81)-LOOKUP(C11,80:80,81:81)+100</f>
        <v>98</v>
      </c>
      <c r="G11" s="430">
        <v>1</v>
      </c>
      <c r="H11" s="136">
        <f>LOOKUP(G11,80:80,81:81)-LOOKUP(C11,80:80,81:81)+100</f>
        <v>103</v>
      </c>
      <c r="I11" s="429">
        <v>3.5</v>
      </c>
      <c r="J11" s="136">
        <f>LOOKUP(I11,80:80,81:81)-LOOKUP(C11,80:80,81:81)+100</f>
        <v>101</v>
      </c>
      <c r="K11" s="673">
        <v>1</v>
      </c>
      <c r="L11" s="1140"/>
      <c r="M11" s="1133"/>
      <c r="N11" s="1133"/>
      <c r="O11" s="1141"/>
      <c r="P11" s="3516"/>
      <c r="Q11" s="1797" t="str">
        <f t="shared" si="6"/>
        <v>容积率</v>
      </c>
      <c r="R11" s="770" t="s">
        <v>17</v>
      </c>
      <c r="S11" s="771">
        <f t="shared" si="0"/>
        <v>98</v>
      </c>
      <c r="T11" s="770" t="s">
        <v>17</v>
      </c>
      <c r="U11" s="771">
        <f t="shared" si="1"/>
        <v>103</v>
      </c>
      <c r="V11" s="770" t="s">
        <v>17</v>
      </c>
      <c r="W11" s="771">
        <f t="shared" si="2"/>
        <v>101</v>
      </c>
      <c r="X11" s="772"/>
      <c r="Y11" s="3378"/>
      <c r="Z11" s="55" t="str">
        <f t="shared" si="7"/>
        <v>容积率</v>
      </c>
      <c r="AA11" s="773">
        <f t="shared" si="3"/>
        <v>1.0204081632653061</v>
      </c>
      <c r="AB11" s="773">
        <f t="shared" si="4"/>
        <v>0.970873786407767</v>
      </c>
      <c r="AC11" s="773">
        <f t="shared" si="5"/>
        <v>0.99009900990099009</v>
      </c>
    </row>
    <row r="12" spans="1:30" s="117" customFormat="1" ht="15" hidden="1">
      <c r="A12" s="431"/>
      <c r="B12" s="2597"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516"/>
      <c r="Q12" s="1797" t="str">
        <f t="shared" si="6"/>
        <v>配建</v>
      </c>
      <c r="R12" s="770" t="s">
        <v>17</v>
      </c>
      <c r="S12" s="771">
        <f t="shared" si="0"/>
        <v>100</v>
      </c>
      <c r="T12" s="770" t="s">
        <v>17</v>
      </c>
      <c r="U12" s="771">
        <f t="shared" si="1"/>
        <v>100</v>
      </c>
      <c r="V12" s="770" t="s">
        <v>17</v>
      </c>
      <c r="W12" s="771">
        <f t="shared" si="2"/>
        <v>100</v>
      </c>
      <c r="X12" s="772"/>
      <c r="Y12" s="3378"/>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516"/>
      <c r="Q13" s="1797">
        <f t="shared" si="6"/>
        <v>111</v>
      </c>
      <c r="R13" s="770" t="s">
        <v>17</v>
      </c>
      <c r="S13" s="771">
        <f t="shared" si="0"/>
        <v>100</v>
      </c>
      <c r="T13" s="770" t="s">
        <v>17</v>
      </c>
      <c r="U13" s="771">
        <f t="shared" si="1"/>
        <v>100</v>
      </c>
      <c r="V13" s="770" t="s">
        <v>17</v>
      </c>
      <c r="W13" s="771">
        <f t="shared" si="2"/>
        <v>100</v>
      </c>
      <c r="X13" s="772"/>
      <c r="Y13" s="3378"/>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516"/>
      <c r="Q14" s="1797">
        <f t="shared" si="6"/>
        <v>111</v>
      </c>
      <c r="R14" s="770" t="s">
        <v>17</v>
      </c>
      <c r="S14" s="771">
        <f t="shared" si="0"/>
        <v>100</v>
      </c>
      <c r="T14" s="770" t="s">
        <v>17</v>
      </c>
      <c r="U14" s="771">
        <f t="shared" si="1"/>
        <v>100</v>
      </c>
      <c r="V14" s="770" t="s">
        <v>17</v>
      </c>
      <c r="W14" s="771">
        <f t="shared" si="2"/>
        <v>100</v>
      </c>
      <c r="X14" s="772"/>
      <c r="Y14" s="3378"/>
      <c r="Z14" s="55">
        <f t="shared" si="7"/>
        <v>111</v>
      </c>
      <c r="AA14" s="773">
        <f>D14/F14</f>
        <v>1</v>
      </c>
      <c r="AB14" s="773">
        <f>D14/H14</f>
        <v>1</v>
      </c>
      <c r="AC14" s="773">
        <f>D14/J14</f>
        <v>1</v>
      </c>
    </row>
    <row r="15" spans="1:30" ht="15" hidden="1">
      <c r="A15" s="440" t="s">
        <v>2515</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531" t="s">
        <v>2516</v>
      </c>
      <c r="Q15" s="1812" t="str">
        <f t="shared" si="6"/>
        <v>居住社区成熟度</v>
      </c>
      <c r="R15" s="774" t="s">
        <v>17</v>
      </c>
      <c r="S15" s="775">
        <f t="shared" si="0"/>
        <v>100</v>
      </c>
      <c r="T15" s="774" t="s">
        <v>17</v>
      </c>
      <c r="U15" s="775">
        <f t="shared" si="1"/>
        <v>100</v>
      </c>
      <c r="V15" s="774" t="s">
        <v>17</v>
      </c>
      <c r="W15" s="775">
        <f t="shared" si="2"/>
        <v>100</v>
      </c>
      <c r="X15" s="1815"/>
      <c r="Y15" s="3531" t="s">
        <v>2516</v>
      </c>
      <c r="Z15" s="1816" t="str">
        <f t="shared" si="7"/>
        <v>居住社区成熟度</v>
      </c>
      <c r="AA15" s="1813">
        <f t="shared" si="3"/>
        <v>1</v>
      </c>
      <c r="AB15" s="1813">
        <f t="shared" si="4"/>
        <v>1</v>
      </c>
      <c r="AC15" s="1813">
        <f t="shared" si="5"/>
        <v>1</v>
      </c>
    </row>
    <row r="16" spans="1:30" ht="15" hidden="1">
      <c r="A16" s="428"/>
      <c r="B16" s="446"/>
      <c r="C16" s="447"/>
      <c r="D16" s="448"/>
      <c r="E16" s="2602"/>
      <c r="F16" s="448"/>
      <c r="G16" s="2602"/>
      <c r="H16" s="450"/>
      <c r="I16" s="2601"/>
      <c r="J16" s="448"/>
      <c r="K16" s="672"/>
      <c r="L16" s="1142"/>
      <c r="M16" s="1133"/>
      <c r="N16" s="1133"/>
      <c r="O16" s="1141"/>
      <c r="P16" s="3532"/>
      <c r="Q16" s="1812"/>
      <c r="R16" s="774"/>
      <c r="S16" s="775"/>
      <c r="T16" s="774"/>
      <c r="U16" s="775"/>
      <c r="V16" s="774"/>
      <c r="W16" s="775"/>
      <c r="X16" s="1815"/>
      <c r="Y16" s="3532"/>
      <c r="Z16" s="1816"/>
      <c r="AA16" s="1813">
        <v>1</v>
      </c>
      <c r="AB16" s="1813">
        <v>1</v>
      </c>
      <c r="AC16" s="1813">
        <v>1</v>
      </c>
    </row>
    <row r="17" spans="1:29" ht="85.5">
      <c r="A17" s="428"/>
      <c r="B17" s="451" t="s">
        <v>2609</v>
      </c>
      <c r="C17" s="2661" t="str">
        <f>估价对象房地状况!C16</f>
        <v>估价对象位于三元桥商圈，周边有凤凰汇购物中心等，人流量较大，商业繁华度较好</v>
      </c>
      <c r="D17" s="450">
        <v>100</v>
      </c>
      <c r="E17" s="452"/>
      <c r="F17" s="450">
        <f>SUMIF(90:90,E18,91:91)-SUMIF(90:90,C18,91:91)+100</f>
        <v>100</v>
      </c>
      <c r="G17" s="452"/>
      <c r="H17" s="455">
        <f>SUMIF(90:90,G18,91:91)-SUMIF(90:90,C18,91:91)+100</f>
        <v>92</v>
      </c>
      <c r="I17" s="454"/>
      <c r="J17" s="455">
        <f>SUMIF(90:90,I18,91:91)-SUMIF(90:90,C18,91:91)+100</f>
        <v>92</v>
      </c>
      <c r="K17" s="673">
        <v>4</v>
      </c>
      <c r="L17" s="1142"/>
      <c r="M17" s="1133"/>
      <c r="N17" s="1133"/>
      <c r="O17" s="1141"/>
      <c r="P17" s="3532"/>
      <c r="Q17" s="1812" t="str">
        <f>B17</f>
        <v>商业繁华度</v>
      </c>
      <c r="R17" s="774" t="s">
        <v>17</v>
      </c>
      <c r="S17" s="775">
        <f>F17</f>
        <v>100</v>
      </c>
      <c r="T17" s="774" t="s">
        <v>17</v>
      </c>
      <c r="U17" s="775">
        <f>H17</f>
        <v>92</v>
      </c>
      <c r="V17" s="774" t="s">
        <v>17</v>
      </c>
      <c r="W17" s="775">
        <f>J17</f>
        <v>92</v>
      </c>
      <c r="X17" s="1815"/>
      <c r="Y17" s="3532"/>
      <c r="Z17" s="1816" t="str">
        <f>Q17</f>
        <v>商业繁华度</v>
      </c>
      <c r="AA17" s="1813">
        <f t="shared" si="3"/>
        <v>1</v>
      </c>
      <c r="AB17" s="1813">
        <f t="shared" si="4"/>
        <v>1.0869565217391304</v>
      </c>
      <c r="AC17" s="1813">
        <f t="shared" si="5"/>
        <v>1.0869565217391304</v>
      </c>
    </row>
    <row r="18" spans="1:29" ht="15">
      <c r="A18" s="428"/>
      <c r="B18" s="456"/>
      <c r="C18" s="2605" t="s">
        <v>3094</v>
      </c>
      <c r="D18" s="450"/>
      <c r="E18" s="2607" t="s">
        <v>3094</v>
      </c>
      <c r="F18" s="450"/>
      <c r="G18" s="2607" t="s">
        <v>3113</v>
      </c>
      <c r="H18" s="448"/>
      <c r="I18" s="2607" t="s">
        <v>3113</v>
      </c>
      <c r="J18" s="448"/>
      <c r="K18" s="672"/>
      <c r="L18" s="1142"/>
      <c r="M18" s="1133"/>
      <c r="N18" s="1133"/>
      <c r="O18" s="1141"/>
      <c r="P18" s="3532"/>
      <c r="Q18" s="1812"/>
      <c r="R18" s="774"/>
      <c r="S18" s="775"/>
      <c r="T18" s="774"/>
      <c r="U18" s="775"/>
      <c r="V18" s="774"/>
      <c r="W18" s="775"/>
      <c r="X18" s="1815"/>
      <c r="Y18" s="3532"/>
      <c r="Z18" s="1816"/>
      <c r="AA18" s="1813">
        <v>1</v>
      </c>
      <c r="AB18" s="1813">
        <v>1</v>
      </c>
      <c r="AC18" s="1813">
        <v>1</v>
      </c>
    </row>
    <row r="19" spans="1:29" ht="85.5">
      <c r="A19" s="428"/>
      <c r="B19" s="451" t="s">
        <v>2643</v>
      </c>
      <c r="C19" s="2661" t="str">
        <f>估价对象房地状况!C17</f>
        <v>估价对象位于三元桥商圈，周边有佳程广场、南银大厦等，入驻率高，办公集聚程度较好</v>
      </c>
      <c r="D19" s="455">
        <v>100</v>
      </c>
      <c r="E19" s="457"/>
      <c r="F19" s="455">
        <f>SUMIF(92:92,E20,93:93)-SUMIF(92:92,C20,93:93)+100</f>
        <v>100</v>
      </c>
      <c r="G19" s="457"/>
      <c r="H19" s="450">
        <f>SUMIF(92:92,G20,93:93)-SUMIF(92:92,C20,93:93)+100</f>
        <v>90</v>
      </c>
      <c r="I19" s="459"/>
      <c r="J19" s="450">
        <f>SUMIF(92:92,I20,93:93)-SUMIF(92:92,C20,93:93)+100</f>
        <v>95</v>
      </c>
      <c r="K19" s="673">
        <v>5</v>
      </c>
      <c r="L19" s="1142"/>
      <c r="M19" s="1133"/>
      <c r="N19" s="1133"/>
      <c r="O19" s="1141"/>
      <c r="P19" s="3532"/>
      <c r="Q19" s="1812" t="str">
        <f>B19</f>
        <v>办公集聚程度</v>
      </c>
      <c r="R19" s="774" t="s">
        <v>17</v>
      </c>
      <c r="S19" s="775">
        <f>F19</f>
        <v>100</v>
      </c>
      <c r="T19" s="774" t="s">
        <v>17</v>
      </c>
      <c r="U19" s="775">
        <f>H19</f>
        <v>90</v>
      </c>
      <c r="V19" s="774" t="s">
        <v>17</v>
      </c>
      <c r="W19" s="775">
        <f>J19</f>
        <v>95</v>
      </c>
      <c r="X19" s="1815"/>
      <c r="Y19" s="3532"/>
      <c r="Z19" s="1816" t="str">
        <f>Q19</f>
        <v>办公集聚程度</v>
      </c>
      <c r="AA19" s="1813">
        <f t="shared" si="3"/>
        <v>1</v>
      </c>
      <c r="AB19" s="1813">
        <f t="shared" si="4"/>
        <v>1.1111111111111112</v>
      </c>
      <c r="AC19" s="1813">
        <f t="shared" si="5"/>
        <v>1.0526315789473684</v>
      </c>
    </row>
    <row r="20" spans="1:29" ht="15">
      <c r="A20" s="428"/>
      <c r="B20" s="456"/>
      <c r="C20" s="2607" t="s">
        <v>3094</v>
      </c>
      <c r="D20" s="448"/>
      <c r="E20" s="2607" t="s">
        <v>3094</v>
      </c>
      <c r="F20" s="448"/>
      <c r="G20" s="2602" t="s">
        <v>3113</v>
      </c>
      <c r="H20" s="448"/>
      <c r="I20" s="2607" t="s">
        <v>3106</v>
      </c>
      <c r="J20" s="448"/>
      <c r="K20" s="672"/>
      <c r="L20" s="1142"/>
      <c r="M20" s="1133"/>
      <c r="N20" s="1133"/>
      <c r="O20" s="1141"/>
      <c r="P20" s="3532"/>
      <c r="Q20" s="1812"/>
      <c r="R20" s="774"/>
      <c r="S20" s="775"/>
      <c r="T20" s="774"/>
      <c r="U20" s="775"/>
      <c r="V20" s="774"/>
      <c r="W20" s="775"/>
      <c r="X20" s="1815"/>
      <c r="Y20" s="3532"/>
      <c r="Z20" s="1816"/>
      <c r="AA20" s="1813">
        <v>1</v>
      </c>
      <c r="AB20" s="1813">
        <v>1</v>
      </c>
      <c r="AC20" s="1813">
        <v>1</v>
      </c>
    </row>
    <row r="21" spans="1:29" ht="85.5">
      <c r="A21" s="428"/>
      <c r="B21" s="451" t="s">
        <v>2665</v>
      </c>
      <c r="C21" s="2604" t="str">
        <f>估价对象房地状况!C18</f>
        <v>估价对象周边有405、641等公交线路及地铁10号线经过，综合评价交通便捷度较好</v>
      </c>
      <c r="D21" s="450">
        <v>100</v>
      </c>
      <c r="E21" s="452"/>
      <c r="F21" s="455">
        <f>SUMIF(94:94,E22,95:95)-SUMIF(94:94,C22,95:95)+100</f>
        <v>100</v>
      </c>
      <c r="G21" s="452"/>
      <c r="H21" s="450">
        <f>SUMIF(94:94,G22,95:95)-SUMIF(94:94,C22,95:95)+100</f>
        <v>95</v>
      </c>
      <c r="I21" s="454"/>
      <c r="J21" s="450">
        <f>SUMIF(94:94,I22,95:95)-SUMIF(94:94,C22,95:95)+100</f>
        <v>95</v>
      </c>
      <c r="K21" s="673">
        <v>5</v>
      </c>
      <c r="L21" s="1142"/>
      <c r="M21" s="1133"/>
      <c r="N21" s="1133"/>
      <c r="O21" s="1141"/>
      <c r="P21" s="3532"/>
      <c r="Q21" s="1812" t="str">
        <f>B21</f>
        <v>交通便捷度</v>
      </c>
      <c r="R21" s="774" t="s">
        <v>17</v>
      </c>
      <c r="S21" s="775">
        <f>F21</f>
        <v>100</v>
      </c>
      <c r="T21" s="774" t="s">
        <v>17</v>
      </c>
      <c r="U21" s="775">
        <f>H21</f>
        <v>95</v>
      </c>
      <c r="V21" s="774" t="s">
        <v>17</v>
      </c>
      <c r="W21" s="775">
        <f>J21</f>
        <v>95</v>
      </c>
      <c r="X21" s="1815"/>
      <c r="Y21" s="3532"/>
      <c r="Z21" s="1816" t="str">
        <f>Q21</f>
        <v>交通便捷度</v>
      </c>
      <c r="AA21" s="1813">
        <f t="shared" si="3"/>
        <v>1</v>
      </c>
      <c r="AB21" s="1813">
        <f t="shared" si="4"/>
        <v>1.0526315789473684</v>
      </c>
      <c r="AC21" s="1813">
        <f t="shared" si="5"/>
        <v>1.0526315789473684</v>
      </c>
    </row>
    <row r="22" spans="1:29" ht="15">
      <c r="A22" s="428"/>
      <c r="B22" s="1386"/>
      <c r="C22" s="2607" t="s">
        <v>3094</v>
      </c>
      <c r="D22" s="450"/>
      <c r="E22" s="2607" t="s">
        <v>3094</v>
      </c>
      <c r="F22" s="448"/>
      <c r="G22" s="2602" t="s">
        <v>3106</v>
      </c>
      <c r="H22" s="448"/>
      <c r="I22" s="2607" t="s">
        <v>3106</v>
      </c>
      <c r="J22" s="448"/>
      <c r="K22" s="672"/>
      <c r="L22" s="1142"/>
      <c r="M22" s="1133"/>
      <c r="N22" s="1133"/>
      <c r="O22" s="1141"/>
      <c r="P22" s="3532"/>
      <c r="Q22" s="1812"/>
      <c r="R22" s="774"/>
      <c r="S22" s="775"/>
      <c r="T22" s="774"/>
      <c r="U22" s="775"/>
      <c r="V22" s="774"/>
      <c r="W22" s="775"/>
      <c r="X22" s="1815"/>
      <c r="Y22" s="3532"/>
      <c r="Z22" s="1816"/>
      <c r="AA22" s="1813">
        <v>1</v>
      </c>
      <c r="AB22" s="1813">
        <v>1</v>
      </c>
      <c r="AC22" s="1813">
        <v>1</v>
      </c>
    </row>
    <row r="23" spans="1:29" ht="42.75">
      <c r="A23" s="404"/>
      <c r="B23" s="451" t="s">
        <v>2704</v>
      </c>
      <c r="C23" s="1391"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532"/>
      <c r="Q23" s="1812" t="str">
        <f t="shared" ref="Q23:Q37" si="8">B23</f>
        <v>区域土地利用方向</v>
      </c>
      <c r="R23" s="774" t="s">
        <v>17</v>
      </c>
      <c r="S23" s="775">
        <f>F23</f>
        <v>100</v>
      </c>
      <c r="T23" s="774" t="s">
        <v>17</v>
      </c>
      <c r="U23" s="775">
        <f>H23</f>
        <v>100</v>
      </c>
      <c r="V23" s="774" t="s">
        <v>17</v>
      </c>
      <c r="W23" s="775">
        <f>J23</f>
        <v>100</v>
      </c>
      <c r="X23" s="1815"/>
      <c r="Y23" s="3532"/>
      <c r="Z23" s="1816" t="str">
        <f>Q23</f>
        <v>区域土地利用方向</v>
      </c>
      <c r="AA23" s="1813">
        <f t="shared" si="3"/>
        <v>1</v>
      </c>
      <c r="AB23" s="1813">
        <f t="shared" si="4"/>
        <v>1</v>
      </c>
      <c r="AC23" s="1813">
        <f t="shared" si="5"/>
        <v>1</v>
      </c>
    </row>
    <row r="24" spans="1:29" ht="15">
      <c r="A24" s="404"/>
      <c r="B24" s="456"/>
      <c r="C24" s="2602" t="s">
        <v>3094</v>
      </c>
      <c r="D24" s="448"/>
      <c r="E24" s="2602" t="s">
        <v>3094</v>
      </c>
      <c r="F24" s="448"/>
      <c r="G24" s="2601" t="s">
        <v>3094</v>
      </c>
      <c r="H24" s="448"/>
      <c r="I24" s="2602" t="s">
        <v>3094</v>
      </c>
      <c r="J24" s="448"/>
      <c r="K24" s="811"/>
      <c r="L24" s="1142"/>
      <c r="M24" s="1133"/>
      <c r="N24" s="1133"/>
      <c r="O24" s="1141"/>
      <c r="P24" s="3532"/>
      <c r="Q24" s="1812"/>
      <c r="R24" s="774"/>
      <c r="S24" s="775"/>
      <c r="T24" s="774"/>
      <c r="U24" s="775"/>
      <c r="V24" s="774"/>
      <c r="W24" s="775"/>
      <c r="X24" s="1815"/>
      <c r="Y24" s="3532"/>
      <c r="Z24" s="1816"/>
      <c r="AA24" s="1813"/>
      <c r="AB24" s="1813"/>
      <c r="AC24" s="1813"/>
    </row>
    <row r="25" spans="1:29" ht="57">
      <c r="A25" s="404"/>
      <c r="B25" s="1386" t="s">
        <v>2705</v>
      </c>
      <c r="C25" s="2661"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98</v>
      </c>
      <c r="K25" s="673">
        <v>2</v>
      </c>
      <c r="L25" s="1142"/>
      <c r="M25" s="1133"/>
      <c r="N25" s="1133"/>
      <c r="O25" s="1141"/>
      <c r="P25" s="3532"/>
      <c r="Q25" s="1812" t="str">
        <f t="shared" si="8"/>
        <v>自然及人文环境状况</v>
      </c>
      <c r="R25" s="774" t="s">
        <v>17</v>
      </c>
      <c r="S25" s="775">
        <f>F25</f>
        <v>100</v>
      </c>
      <c r="T25" s="774" t="s">
        <v>17</v>
      </c>
      <c r="U25" s="775">
        <f>H25</f>
        <v>100</v>
      </c>
      <c r="V25" s="774" t="s">
        <v>17</v>
      </c>
      <c r="W25" s="775">
        <f>J25</f>
        <v>98</v>
      </c>
      <c r="X25" s="1815"/>
      <c r="Y25" s="3532"/>
      <c r="Z25" s="1816" t="str">
        <f>Q25</f>
        <v>自然及人文环境状况</v>
      </c>
      <c r="AA25" s="1813">
        <f t="shared" si="3"/>
        <v>1</v>
      </c>
      <c r="AB25" s="1813">
        <f t="shared" si="4"/>
        <v>1</v>
      </c>
      <c r="AC25" s="1813">
        <f t="shared" si="5"/>
        <v>1.0204081632653061</v>
      </c>
    </row>
    <row r="26" spans="1:29" ht="15">
      <c r="A26" s="404"/>
      <c r="B26" s="456"/>
      <c r="C26" s="2608" t="s">
        <v>3094</v>
      </c>
      <c r="D26" s="448"/>
      <c r="E26" s="2608" t="s">
        <v>3094</v>
      </c>
      <c r="F26" s="448"/>
      <c r="G26" s="2608" t="s">
        <v>3094</v>
      </c>
      <c r="H26" s="448"/>
      <c r="I26" s="2608" t="s">
        <v>3106</v>
      </c>
      <c r="J26" s="448"/>
      <c r="K26" s="672"/>
      <c r="L26" s="1142"/>
      <c r="M26" s="1133"/>
      <c r="N26" s="1133"/>
      <c r="O26" s="1141"/>
      <c r="P26" s="3532"/>
      <c r="Q26" s="1812"/>
      <c r="R26" s="774"/>
      <c r="S26" s="775"/>
      <c r="T26" s="774"/>
      <c r="U26" s="775"/>
      <c r="V26" s="774"/>
      <c r="W26" s="775"/>
      <c r="X26" s="1815"/>
      <c r="Y26" s="3532"/>
      <c r="Z26" s="1816"/>
      <c r="AA26" s="1813">
        <v>1</v>
      </c>
      <c r="AB26" s="1813">
        <v>1</v>
      </c>
      <c r="AC26" s="1813">
        <v>1</v>
      </c>
    </row>
    <row r="27" spans="1:29" s="117" customFormat="1" ht="42.75">
      <c r="A27" s="649"/>
      <c r="B27" s="1386" t="s">
        <v>2610</v>
      </c>
      <c r="C27" s="2604" t="str">
        <f>估价对象房地状况!C21</f>
        <v>估价对象所在区域公共配套设施齐备情况较好</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4"/>
      <c r="M27" s="1135"/>
      <c r="N27" s="1135"/>
      <c r="O27" s="1136"/>
      <c r="P27" s="3532"/>
      <c r="Q27" s="1797" t="str">
        <f t="shared" si="8"/>
        <v>公共配套设施</v>
      </c>
      <c r="R27" s="770" t="s">
        <v>17</v>
      </c>
      <c r="S27" s="771">
        <f>F27</f>
        <v>100</v>
      </c>
      <c r="T27" s="770" t="s">
        <v>17</v>
      </c>
      <c r="U27" s="771">
        <f>H27</f>
        <v>98</v>
      </c>
      <c r="V27" s="770" t="s">
        <v>17</v>
      </c>
      <c r="W27" s="771">
        <f>J27</f>
        <v>98</v>
      </c>
      <c r="X27" s="772"/>
      <c r="Y27" s="3532"/>
      <c r="Z27" s="55" t="str">
        <f>Q27</f>
        <v>公共配套设施</v>
      </c>
      <c r="AA27" s="1813">
        <f>D27/F27</f>
        <v>1</v>
      </c>
      <c r="AB27" s="1813">
        <f>D27/H27</f>
        <v>1.0204081632653061</v>
      </c>
      <c r="AC27" s="1813">
        <f>D27/J27</f>
        <v>1.0204081632653061</v>
      </c>
    </row>
    <row r="28" spans="1:29" s="117" customFormat="1" ht="15">
      <c r="A28" s="649"/>
      <c r="B28" s="456"/>
      <c r="C28" s="2608" t="s">
        <v>3094</v>
      </c>
      <c r="D28" s="448"/>
      <c r="E28" s="2608" t="s">
        <v>3094</v>
      </c>
      <c r="F28" s="448"/>
      <c r="G28" s="2608" t="s">
        <v>3106</v>
      </c>
      <c r="H28" s="448"/>
      <c r="I28" s="2608" t="s">
        <v>3106</v>
      </c>
      <c r="J28" s="448"/>
      <c r="K28" s="672"/>
      <c r="L28" s="1134"/>
      <c r="M28" s="1135"/>
      <c r="N28" s="1135"/>
      <c r="O28" s="1136"/>
      <c r="P28" s="3532"/>
      <c r="Q28" s="1797"/>
      <c r="R28" s="770"/>
      <c r="S28" s="771"/>
      <c r="T28" s="770"/>
      <c r="U28" s="771"/>
      <c r="V28" s="770"/>
      <c r="W28" s="771"/>
      <c r="X28" s="772"/>
      <c r="Y28" s="3532"/>
      <c r="Z28" s="55"/>
      <c r="AA28" s="1813">
        <v>1</v>
      </c>
      <c r="AB28" s="1813">
        <v>1</v>
      </c>
      <c r="AC28" s="1813">
        <v>1</v>
      </c>
    </row>
    <row r="29" spans="1:29" s="117" customFormat="1" ht="42.75">
      <c r="A29" s="649"/>
      <c r="B29" s="1386" t="s">
        <v>2611</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4"/>
      <c r="M29" s="1135"/>
      <c r="N29" s="1135"/>
      <c r="O29" s="1136"/>
      <c r="P29" s="3532"/>
      <c r="Q29" s="1797" t="str">
        <f t="shared" ref="Q29" si="9">B29</f>
        <v>基础设施水平</v>
      </c>
      <c r="R29" s="770" t="s">
        <v>17</v>
      </c>
      <c r="S29" s="771">
        <f>F29</f>
        <v>100</v>
      </c>
      <c r="T29" s="770" t="s">
        <v>17</v>
      </c>
      <c r="U29" s="771">
        <f>H29</f>
        <v>100</v>
      </c>
      <c r="V29" s="770" t="s">
        <v>17</v>
      </c>
      <c r="W29" s="771">
        <f>J29</f>
        <v>100</v>
      </c>
      <c r="X29" s="772"/>
      <c r="Y29" s="3532"/>
      <c r="Z29" s="55" t="str">
        <f>Q29</f>
        <v>基础设施水平</v>
      </c>
      <c r="AA29" s="1813">
        <f>D29/F29</f>
        <v>1</v>
      </c>
      <c r="AB29" s="1813">
        <f>D29/H29</f>
        <v>1</v>
      </c>
      <c r="AC29" s="1813">
        <f>D29/J29</f>
        <v>1</v>
      </c>
    </row>
    <row r="30" spans="1:29" s="117" customFormat="1" ht="15">
      <c r="A30" s="649"/>
      <c r="B30" s="456"/>
      <c r="C30" s="2697" t="s">
        <v>3095</v>
      </c>
      <c r="D30" s="448"/>
      <c r="E30" s="2698" t="s">
        <v>3095</v>
      </c>
      <c r="F30" s="448"/>
      <c r="G30" s="2698" t="s">
        <v>3095</v>
      </c>
      <c r="H30" s="448"/>
      <c r="I30" s="2698" t="s">
        <v>3095</v>
      </c>
      <c r="J30" s="448"/>
      <c r="K30" s="672"/>
      <c r="L30" s="1134"/>
      <c r="M30" s="1135"/>
      <c r="N30" s="1135"/>
      <c r="O30" s="1136"/>
      <c r="P30" s="3532"/>
      <c r="Q30" s="1797"/>
      <c r="R30" s="770"/>
      <c r="S30" s="771"/>
      <c r="T30" s="770"/>
      <c r="U30" s="771"/>
      <c r="V30" s="770"/>
      <c r="W30" s="771"/>
      <c r="X30" s="772"/>
      <c r="Y30" s="3532"/>
      <c r="Z30" s="55"/>
      <c r="AA30" s="1813">
        <v>1</v>
      </c>
      <c r="AB30" s="1813">
        <v>1</v>
      </c>
      <c r="AC30" s="1813">
        <v>1</v>
      </c>
    </row>
    <row r="31" spans="1:29" ht="15">
      <c r="A31" s="428"/>
      <c r="B31" s="456" t="s">
        <v>2612</v>
      </c>
      <c r="C31" s="616" t="s">
        <v>3114</v>
      </c>
      <c r="D31" s="435">
        <v>100</v>
      </c>
      <c r="E31" s="634" t="s">
        <v>3096</v>
      </c>
      <c r="F31" s="435">
        <f>SUMIF(104:104,E31,105:105)-SUMIF(104:104,C31,105:105)+100</f>
        <v>102</v>
      </c>
      <c r="G31" s="634" t="s">
        <v>3096</v>
      </c>
      <c r="H31" s="435">
        <f>SUMIF(104:104,G31,105:105)-SUMIF(104:104,C31,105:105)+100</f>
        <v>102</v>
      </c>
      <c r="I31" s="634" t="s">
        <v>3114</v>
      </c>
      <c r="J31" s="435">
        <f>SUMIF(104:104,I31,105:105)-SUMIF(104:104,C31,105:105)+100</f>
        <v>100</v>
      </c>
      <c r="K31" s="673">
        <v>2</v>
      </c>
      <c r="L31" s="1142"/>
      <c r="M31" s="1133"/>
      <c r="N31" s="1133"/>
      <c r="O31" s="1141"/>
      <c r="P31" s="3532"/>
      <c r="Q31" s="1812" t="str">
        <f t="shared" si="8"/>
        <v>临街状况</v>
      </c>
      <c r="R31" s="774" t="s">
        <v>17</v>
      </c>
      <c r="S31" s="775">
        <f t="shared" ref="S31:S45" si="10">F31</f>
        <v>102</v>
      </c>
      <c r="T31" s="774" t="s">
        <v>17</v>
      </c>
      <c r="U31" s="775">
        <f t="shared" ref="U31:U45" si="11">H31</f>
        <v>102</v>
      </c>
      <c r="V31" s="774" t="s">
        <v>17</v>
      </c>
      <c r="W31" s="775">
        <f t="shared" ref="W31:W45" si="12">J31</f>
        <v>100</v>
      </c>
      <c r="X31" s="1815"/>
      <c r="Y31" s="3532"/>
      <c r="Z31" s="1816" t="str">
        <f t="shared" ref="Z31:Z45" si="13">Q31</f>
        <v>临街状况</v>
      </c>
      <c r="AA31" s="1813">
        <f t="shared" si="3"/>
        <v>0.98039215686274506</v>
      </c>
      <c r="AB31" s="1813">
        <f t="shared" si="4"/>
        <v>0.98039215686274506</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2"/>
      <c r="M32" s="1133"/>
      <c r="N32" s="1133"/>
      <c r="O32" s="1141"/>
      <c r="P32" s="3532"/>
      <c r="Q32" s="1812" t="str">
        <f t="shared" si="8"/>
        <v>毗邻道路的类型与等级</v>
      </c>
      <c r="R32" s="774" t="s">
        <v>17</v>
      </c>
      <c r="S32" s="775">
        <f t="shared" si="10"/>
        <v>100</v>
      </c>
      <c r="T32" s="774" t="s">
        <v>17</v>
      </c>
      <c r="U32" s="775">
        <f t="shared" si="11"/>
        <v>100</v>
      </c>
      <c r="V32" s="774" t="s">
        <v>17</v>
      </c>
      <c r="W32" s="775">
        <f t="shared" si="12"/>
        <v>100</v>
      </c>
      <c r="X32" s="1815"/>
      <c r="Y32" s="3532"/>
      <c r="Z32" s="1816" t="str">
        <f t="shared" si="13"/>
        <v>毗邻道路的类型与等级</v>
      </c>
      <c r="AA32" s="1813">
        <f t="shared" si="3"/>
        <v>1</v>
      </c>
      <c r="AB32" s="1813">
        <f t="shared" si="4"/>
        <v>1</v>
      </c>
      <c r="AC32" s="1813">
        <f t="shared" si="5"/>
        <v>1</v>
      </c>
    </row>
    <row r="33" spans="1:29" ht="15.75" thickBot="1">
      <c r="A33" s="428"/>
      <c r="B33" s="456"/>
      <c r="C33" s="2608" t="s">
        <v>3101</v>
      </c>
      <c r="D33" s="448"/>
      <c r="E33" s="2608" t="s">
        <v>3101</v>
      </c>
      <c r="F33" s="448"/>
      <c r="G33" s="2608" t="s">
        <v>3101</v>
      </c>
      <c r="H33" s="448"/>
      <c r="I33" s="2608" t="s">
        <v>3101</v>
      </c>
      <c r="J33" s="448"/>
      <c r="K33" s="613"/>
      <c r="L33" s="1142"/>
      <c r="M33" s="1133"/>
      <c r="N33" s="1133"/>
      <c r="O33" s="1141"/>
      <c r="P33" s="3532"/>
      <c r="Q33" s="1812"/>
      <c r="R33" s="774"/>
      <c r="S33" s="775"/>
      <c r="T33" s="774"/>
      <c r="U33" s="775"/>
      <c r="V33" s="774"/>
      <c r="W33" s="775"/>
      <c r="X33" s="1815"/>
      <c r="Y33" s="3532"/>
      <c r="Z33" s="1816"/>
      <c r="AA33" s="1813">
        <v>1</v>
      </c>
      <c r="AB33" s="1813">
        <v>1</v>
      </c>
      <c r="AC33" s="1813">
        <v>1</v>
      </c>
    </row>
    <row r="34" spans="1:29" ht="15" hidden="1">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32"/>
      <c r="Q34" s="1812" t="str">
        <f t="shared" si="8"/>
        <v>土地级别</v>
      </c>
      <c r="R34" s="774" t="s">
        <v>17</v>
      </c>
      <c r="S34" s="775">
        <f t="shared" si="10"/>
        <v>100</v>
      </c>
      <c r="T34" s="774" t="s">
        <v>17</v>
      </c>
      <c r="U34" s="775">
        <f t="shared" si="11"/>
        <v>100</v>
      </c>
      <c r="V34" s="774" t="s">
        <v>17</v>
      </c>
      <c r="W34" s="775">
        <f t="shared" si="12"/>
        <v>100</v>
      </c>
      <c r="X34" s="1815"/>
      <c r="Y34" s="3532"/>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32"/>
      <c r="Q35" s="1812">
        <f t="shared" si="8"/>
        <v>111</v>
      </c>
      <c r="R35" s="774" t="s">
        <v>17</v>
      </c>
      <c r="S35" s="775">
        <f t="shared" si="10"/>
        <v>100</v>
      </c>
      <c r="T35" s="774" t="s">
        <v>17</v>
      </c>
      <c r="U35" s="775">
        <f t="shared" si="11"/>
        <v>100</v>
      </c>
      <c r="V35" s="774" t="s">
        <v>17</v>
      </c>
      <c r="W35" s="775">
        <f t="shared" si="12"/>
        <v>100</v>
      </c>
      <c r="X35" s="1815"/>
      <c r="Y35" s="3532"/>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33" t="s">
        <v>2521</v>
      </c>
      <c r="Q36" s="1812">
        <f t="shared" si="8"/>
        <v>111</v>
      </c>
      <c r="R36" s="774" t="s">
        <v>17</v>
      </c>
      <c r="S36" s="775">
        <f t="shared" si="10"/>
        <v>100</v>
      </c>
      <c r="T36" s="774" t="s">
        <v>17</v>
      </c>
      <c r="U36" s="775">
        <f t="shared" si="11"/>
        <v>100</v>
      </c>
      <c r="V36" s="774" t="s">
        <v>17</v>
      </c>
      <c r="W36" s="775">
        <f t="shared" si="12"/>
        <v>100</v>
      </c>
      <c r="X36" s="1815"/>
      <c r="Y36" s="3534" t="s">
        <v>2521</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34"/>
      <c r="Q37" s="1812">
        <f t="shared" si="8"/>
        <v>111</v>
      </c>
      <c r="R37" s="777" t="s">
        <v>17</v>
      </c>
      <c r="S37" s="778">
        <f t="shared" si="10"/>
        <v>100</v>
      </c>
      <c r="T37" s="777" t="s">
        <v>17</v>
      </c>
      <c r="U37" s="778">
        <f t="shared" si="11"/>
        <v>100</v>
      </c>
      <c r="V37" s="777" t="s">
        <v>17</v>
      </c>
      <c r="W37" s="778">
        <f t="shared" si="12"/>
        <v>100</v>
      </c>
      <c r="X37" s="779"/>
      <c r="Y37" s="3534"/>
      <c r="Z37" s="780">
        <f t="shared" si="13"/>
        <v>111</v>
      </c>
      <c r="AA37" s="1813">
        <f t="shared" si="3"/>
        <v>1</v>
      </c>
      <c r="AB37" s="1813">
        <f t="shared" si="4"/>
        <v>1</v>
      </c>
      <c r="AC37" s="1813">
        <f t="shared" si="5"/>
        <v>1</v>
      </c>
    </row>
    <row r="38" spans="1:29" ht="15">
      <c r="A38" s="472" t="s">
        <v>2519</v>
      </c>
      <c r="B38" s="456" t="s">
        <v>2707</v>
      </c>
      <c r="C38" s="679">
        <f>'数据-汇总表'!D3</f>
        <v>7449.74</v>
      </c>
      <c r="D38" s="467">
        <v>100</v>
      </c>
      <c r="E38" s="679">
        <v>18313.7</v>
      </c>
      <c r="F38" s="467">
        <f>LOOKUP(E38,117:117,118:118)-LOOKUP(C38,117:117,118:118)+100</f>
        <v>101</v>
      </c>
      <c r="G38" s="679">
        <v>92055.95</v>
      </c>
      <c r="H38" s="467">
        <f>LOOKUP(G38,117:117,118:118)-LOOKUP(C38,117:117,118:118)+100</f>
        <v>102</v>
      </c>
      <c r="I38" s="530">
        <v>13326.99</v>
      </c>
      <c r="J38" s="467">
        <f>LOOKUP(I38,117:117,118:118)-LOOKUP(C38,117:117,118:118)+100</f>
        <v>101</v>
      </c>
      <c r="K38" s="613"/>
      <c r="L38" s="1142"/>
      <c r="M38" s="1133"/>
      <c r="N38" s="1133"/>
      <c r="O38" s="1141"/>
      <c r="P38" s="3534"/>
      <c r="Q38" s="1812" t="str">
        <f>B38</f>
        <v>宗地面积</v>
      </c>
      <c r="R38" s="774" t="s">
        <v>17</v>
      </c>
      <c r="S38" s="775">
        <f t="shared" si="10"/>
        <v>101</v>
      </c>
      <c r="T38" s="774" t="s">
        <v>17</v>
      </c>
      <c r="U38" s="775">
        <f t="shared" si="11"/>
        <v>102</v>
      </c>
      <c r="V38" s="774" t="s">
        <v>17</v>
      </c>
      <c r="W38" s="775">
        <f t="shared" si="12"/>
        <v>101</v>
      </c>
      <c r="X38" s="1815"/>
      <c r="Y38" s="3534"/>
      <c r="Z38" s="1816" t="str">
        <f t="shared" si="13"/>
        <v>宗地面积</v>
      </c>
      <c r="AA38" s="1813">
        <f t="shared" si="3"/>
        <v>0.99009900990099009</v>
      </c>
      <c r="AB38" s="1813">
        <f t="shared" si="4"/>
        <v>0.98039215686274506</v>
      </c>
      <c r="AC38" s="1813">
        <f t="shared" si="5"/>
        <v>0.99009900990099009</v>
      </c>
    </row>
    <row r="39" spans="1:29" ht="15">
      <c r="A39" s="472"/>
      <c r="B39" s="422" t="s">
        <v>2708</v>
      </c>
      <c r="C39" s="2610" t="s">
        <v>3104</v>
      </c>
      <c r="D39" s="435">
        <v>100</v>
      </c>
      <c r="E39" s="2610" t="s">
        <v>3243</v>
      </c>
      <c r="F39" s="435">
        <f>SUMIF(119:119,E39,120:120)-SUMIF(119:119,C39,120:120)+100</f>
        <v>85</v>
      </c>
      <c r="G39" s="2610" t="s">
        <v>3104</v>
      </c>
      <c r="H39" s="435">
        <f>SUMIF(119:119,G39,120:120)-SUMIF(119:119,C39,120:120)+100</f>
        <v>100</v>
      </c>
      <c r="I39" s="2610" t="s">
        <v>3104</v>
      </c>
      <c r="J39" s="435">
        <f>SUMIF(119:119,I39,120:120)-SUMIF(119:119,C39,120:120)+100</f>
        <v>100</v>
      </c>
      <c r="K39" s="612">
        <v>5</v>
      </c>
      <c r="L39" s="1142"/>
      <c r="M39" s="1133"/>
      <c r="N39" s="1133"/>
      <c r="O39" s="1141"/>
      <c r="P39" s="3534"/>
      <c r="Q39" s="1812" t="str">
        <f t="shared" ref="Q39:Q45" si="14">B39</f>
        <v>宗地形状</v>
      </c>
      <c r="R39" s="774" t="s">
        <v>17</v>
      </c>
      <c r="S39" s="775">
        <f t="shared" si="10"/>
        <v>85</v>
      </c>
      <c r="T39" s="774" t="s">
        <v>17</v>
      </c>
      <c r="U39" s="775">
        <f t="shared" si="11"/>
        <v>100</v>
      </c>
      <c r="V39" s="774" t="s">
        <v>17</v>
      </c>
      <c r="W39" s="775">
        <f t="shared" si="12"/>
        <v>100</v>
      </c>
      <c r="X39" s="1815"/>
      <c r="Y39" s="3534"/>
      <c r="Z39" s="1816" t="str">
        <f t="shared" si="13"/>
        <v>宗地形状</v>
      </c>
      <c r="AA39" s="1813">
        <f t="shared" si="3"/>
        <v>1.1764705882352942</v>
      </c>
      <c r="AB39" s="1813">
        <f t="shared" si="4"/>
        <v>1</v>
      </c>
      <c r="AC39" s="1813">
        <f t="shared" si="5"/>
        <v>1</v>
      </c>
    </row>
    <row r="40" spans="1:29" ht="15">
      <c r="A40" s="472"/>
      <c r="B40" s="422" t="s">
        <v>2709</v>
      </c>
      <c r="C40" s="2610" t="s">
        <v>3108</v>
      </c>
      <c r="D40" s="435">
        <v>100</v>
      </c>
      <c r="E40" s="2610" t="s">
        <v>3108</v>
      </c>
      <c r="F40" s="435">
        <f>SUMIF(121:121,E40,122:122)-SUMIF(121:121,C40,122:122)+100</f>
        <v>100</v>
      </c>
      <c r="G40" s="2610" t="s">
        <v>3108</v>
      </c>
      <c r="H40" s="435">
        <f>SUMIF(121:121,G40,122:122)-SUMIF(121:121,C40,122:122)+100</f>
        <v>100</v>
      </c>
      <c r="I40" s="2610" t="s">
        <v>3108</v>
      </c>
      <c r="J40" s="435">
        <f>SUMIF(121:121,I40,122:122)-SUMIF(121:121,C40,122:122)+100</f>
        <v>100</v>
      </c>
      <c r="K40" s="612">
        <v>2</v>
      </c>
      <c r="L40" s="1142"/>
      <c r="M40" s="1133"/>
      <c r="N40" s="1133"/>
      <c r="O40" s="1141"/>
      <c r="P40" s="3534"/>
      <c r="Q40" s="1812" t="str">
        <f t="shared" si="14"/>
        <v>临街宽度及深度</v>
      </c>
      <c r="R40" s="774" t="s">
        <v>17</v>
      </c>
      <c r="S40" s="775">
        <f t="shared" si="10"/>
        <v>100</v>
      </c>
      <c r="T40" s="774" t="s">
        <v>17</v>
      </c>
      <c r="U40" s="775">
        <f t="shared" si="11"/>
        <v>100</v>
      </c>
      <c r="V40" s="774" t="s">
        <v>17</v>
      </c>
      <c r="W40" s="775">
        <f t="shared" si="12"/>
        <v>100</v>
      </c>
      <c r="X40" s="1815"/>
      <c r="Y40" s="3534"/>
      <c r="Z40" s="1816" t="str">
        <f t="shared" si="13"/>
        <v>临街宽度及深度</v>
      </c>
      <c r="AA40" s="1813">
        <f t="shared" si="3"/>
        <v>1</v>
      </c>
      <c r="AB40" s="1813">
        <f t="shared" si="4"/>
        <v>1</v>
      </c>
      <c r="AC40" s="1813">
        <f t="shared" si="5"/>
        <v>1</v>
      </c>
    </row>
    <row r="41" spans="1:29" s="117" customFormat="1" ht="15">
      <c r="A41" s="473"/>
      <c r="B41" s="422" t="s">
        <v>2710</v>
      </c>
      <c r="C41" s="2699" t="s">
        <v>3111</v>
      </c>
      <c r="D41" s="136">
        <v>100</v>
      </c>
      <c r="E41" s="2699" t="s">
        <v>3111</v>
      </c>
      <c r="F41" s="435">
        <f>SUMIF(123:123,E41,124:124)-SUMIF(123:123,C41,124:124)+100</f>
        <v>100</v>
      </c>
      <c r="G41" s="2699" t="s">
        <v>3111</v>
      </c>
      <c r="H41" s="435">
        <f>SUMIF(123:123,G41,124:124)-SUMIF(123:123,C41,124:124)+100</f>
        <v>100</v>
      </c>
      <c r="I41" s="2699" t="s">
        <v>3111</v>
      </c>
      <c r="J41" s="435">
        <f>SUMIF(123:123,I41,124:124)-SUMIF(123:123,C41,124:124)+100</f>
        <v>100</v>
      </c>
      <c r="K41" s="612">
        <v>1</v>
      </c>
      <c r="L41" s="1134"/>
      <c r="M41" s="1135"/>
      <c r="N41" s="1135"/>
      <c r="O41" s="1136"/>
      <c r="P41" s="3534"/>
      <c r="Q41" s="1812" t="str">
        <f t="shared" si="14"/>
        <v>宗地开发程度</v>
      </c>
      <c r="R41" s="770" t="s">
        <v>17</v>
      </c>
      <c r="S41" s="771">
        <f t="shared" si="10"/>
        <v>100</v>
      </c>
      <c r="T41" s="770" t="s">
        <v>17</v>
      </c>
      <c r="U41" s="771">
        <f t="shared" si="11"/>
        <v>100</v>
      </c>
      <c r="V41" s="770" t="s">
        <v>17</v>
      </c>
      <c r="W41" s="771">
        <f t="shared" si="12"/>
        <v>100</v>
      </c>
      <c r="X41" s="772"/>
      <c r="Y41" s="3534"/>
      <c r="Z41" s="55" t="str">
        <f t="shared" si="13"/>
        <v>宗地开发程度</v>
      </c>
      <c r="AA41" s="773">
        <f t="shared" si="3"/>
        <v>1</v>
      </c>
      <c r="AB41" s="773">
        <f t="shared" si="4"/>
        <v>1</v>
      </c>
      <c r="AC41" s="773">
        <f t="shared" si="5"/>
        <v>1</v>
      </c>
    </row>
    <row r="42" spans="1:29" ht="15.75" thickBot="1">
      <c r="A42" s="472"/>
      <c r="B42" s="422" t="s">
        <v>2711</v>
      </c>
      <c r="C42" s="2610" t="s">
        <v>3094</v>
      </c>
      <c r="D42" s="435">
        <v>100</v>
      </c>
      <c r="E42" s="2610" t="s">
        <v>3094</v>
      </c>
      <c r="F42" s="435">
        <f>SUMIF(125:125,E42,126:126)-SUMIF(125:125,C42,126:126)+100</f>
        <v>100</v>
      </c>
      <c r="G42" s="2610" t="s">
        <v>3094</v>
      </c>
      <c r="H42" s="435">
        <f>SUMIF(125:125,G42,126:126)-SUMIF(125:125,C42,126:126)+100</f>
        <v>100</v>
      </c>
      <c r="I42" s="2610" t="s">
        <v>3094</v>
      </c>
      <c r="J42" s="435">
        <f>SUMIF(125:125,I42,126:126)-SUMIF(125:125,C42,126:126)+100</f>
        <v>100</v>
      </c>
      <c r="K42" s="612">
        <v>2</v>
      </c>
      <c r="L42" s="1142"/>
      <c r="M42" s="1133"/>
      <c r="N42" s="1133"/>
      <c r="O42" s="1141"/>
      <c r="P42" s="3534" t="s">
        <v>2521</v>
      </c>
      <c r="Q42" s="1812" t="str">
        <f t="shared" si="14"/>
        <v>工程地质条件</v>
      </c>
      <c r="R42" s="774" t="s">
        <v>17</v>
      </c>
      <c r="S42" s="775">
        <f t="shared" si="10"/>
        <v>100</v>
      </c>
      <c r="T42" s="774" t="s">
        <v>17</v>
      </c>
      <c r="U42" s="775">
        <f t="shared" si="11"/>
        <v>100</v>
      </c>
      <c r="V42" s="774" t="s">
        <v>17</v>
      </c>
      <c r="W42" s="775">
        <f t="shared" si="12"/>
        <v>100</v>
      </c>
      <c r="X42" s="1815"/>
      <c r="Y42" s="3534" t="s">
        <v>2521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34"/>
      <c r="Q43" s="1812">
        <f t="shared" si="14"/>
        <v>111</v>
      </c>
      <c r="R43" s="774" t="s">
        <v>17</v>
      </c>
      <c r="S43" s="775">
        <f t="shared" si="10"/>
        <v>100</v>
      </c>
      <c r="T43" s="774" t="s">
        <v>17</v>
      </c>
      <c r="U43" s="775">
        <f t="shared" si="11"/>
        <v>100</v>
      </c>
      <c r="V43" s="774" t="s">
        <v>17</v>
      </c>
      <c r="W43" s="775">
        <f t="shared" si="12"/>
        <v>100</v>
      </c>
      <c r="X43" s="1815"/>
      <c r="Y43" s="3534"/>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34"/>
      <c r="Q44" s="1812">
        <f t="shared" si="14"/>
        <v>111</v>
      </c>
      <c r="R44" s="774" t="s">
        <v>17</v>
      </c>
      <c r="S44" s="775">
        <f t="shared" si="10"/>
        <v>100</v>
      </c>
      <c r="T44" s="774" t="s">
        <v>17</v>
      </c>
      <c r="U44" s="775">
        <f t="shared" si="11"/>
        <v>100</v>
      </c>
      <c r="V44" s="774" t="s">
        <v>17</v>
      </c>
      <c r="W44" s="775">
        <f t="shared" si="12"/>
        <v>100</v>
      </c>
      <c r="X44" s="1815"/>
      <c r="Y44" s="3534"/>
      <c r="Z44" s="1816">
        <f t="shared" si="13"/>
        <v>111</v>
      </c>
      <c r="AA44" s="1813">
        <f t="shared" si="3"/>
        <v>1</v>
      </c>
      <c r="AB44" s="1813">
        <f t="shared" si="4"/>
        <v>1</v>
      </c>
      <c r="AC44" s="1813">
        <f t="shared" si="5"/>
        <v>1</v>
      </c>
    </row>
    <row r="45" spans="1:29" s="471" customFormat="1" ht="15.75" hidden="1"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34"/>
      <c r="Q45" s="1812">
        <f t="shared" si="14"/>
        <v>111</v>
      </c>
      <c r="R45" s="777" t="s">
        <v>17</v>
      </c>
      <c r="S45" s="778">
        <f t="shared" si="10"/>
        <v>100</v>
      </c>
      <c r="T45" s="777" t="s">
        <v>17</v>
      </c>
      <c r="U45" s="778">
        <f t="shared" si="11"/>
        <v>100</v>
      </c>
      <c r="V45" s="777" t="s">
        <v>17</v>
      </c>
      <c r="W45" s="778">
        <f t="shared" si="12"/>
        <v>100</v>
      </c>
      <c r="X45" s="779"/>
      <c r="Y45" s="3534"/>
      <c r="Z45" s="780">
        <f t="shared" si="13"/>
        <v>111</v>
      </c>
      <c r="AA45" s="1813">
        <f t="shared" si="3"/>
        <v>1</v>
      </c>
      <c r="AB45" s="1813">
        <f t="shared" si="4"/>
        <v>1</v>
      </c>
      <c r="AC45" s="1813">
        <f t="shared" si="5"/>
        <v>1</v>
      </c>
    </row>
    <row r="46" spans="1:29" ht="15">
      <c r="A46" s="479" t="s">
        <v>2676</v>
      </c>
      <c r="B46" s="2701" t="s">
        <v>2712</v>
      </c>
      <c r="C46" s="682" t="s">
        <v>1</v>
      </c>
      <c r="D46" s="481"/>
      <c r="E46" s="482">
        <v>34757</v>
      </c>
      <c r="F46" s="483"/>
      <c r="G46" s="484">
        <v>31000</v>
      </c>
      <c r="H46" s="485"/>
      <c r="I46" s="482">
        <v>30228</v>
      </c>
      <c r="J46" s="485"/>
      <c r="K46" s="783"/>
      <c r="L46" s="1145"/>
      <c r="M46" s="1146"/>
      <c r="N46" s="1133"/>
      <c r="O46" s="1146"/>
      <c r="P46" s="3516" t="str">
        <f>A46</f>
        <v>成交单价</v>
      </c>
      <c r="Q46" s="3516"/>
      <c r="R46" s="3529">
        <f>E46</f>
        <v>34757</v>
      </c>
      <c r="S46" s="3529"/>
      <c r="T46" s="3529">
        <f>G46</f>
        <v>31000</v>
      </c>
      <c r="U46" s="3529"/>
      <c r="V46" s="3529">
        <f>I46</f>
        <v>30228</v>
      </c>
      <c r="W46" s="3529"/>
      <c r="X46" s="759"/>
      <c r="Y46" s="781"/>
      <c r="Z46" s="759"/>
      <c r="AA46" s="759"/>
      <c r="AB46" s="759"/>
      <c r="AC46" s="759"/>
    </row>
    <row r="47" spans="1:29" ht="15.75" thickBot="1">
      <c r="A47" s="486" t="s">
        <v>2625</v>
      </c>
      <c r="B47" s="683"/>
      <c r="C47" s="490">
        <f>R48</f>
        <v>40088</v>
      </c>
      <c r="D47" s="489"/>
      <c r="E47" s="490">
        <f>R47</f>
        <v>43161</v>
      </c>
      <c r="F47" s="491"/>
      <c r="G47" s="488">
        <f>T47</f>
        <v>37929</v>
      </c>
      <c r="H47" s="489"/>
      <c r="I47" s="490">
        <f>V47</f>
        <v>39174</v>
      </c>
      <c r="J47" s="489"/>
      <c r="K47" s="784"/>
      <c r="L47" s="1145"/>
      <c r="M47" s="1146"/>
      <c r="N47" s="1146"/>
      <c r="O47" s="1146"/>
      <c r="P47" s="3516" t="str">
        <f>A47</f>
        <v>比较价值（元/平方米）</v>
      </c>
      <c r="Q47" s="3516"/>
      <c r="R47" s="3535">
        <f>ROUND(PRODUCT(R46,AA7:AA45),0)</f>
        <v>43161</v>
      </c>
      <c r="S47" s="3535"/>
      <c r="T47" s="3535">
        <f>ROUND(PRODUCT(T46,AB7:AB45),0)</f>
        <v>37929</v>
      </c>
      <c r="U47" s="3535"/>
      <c r="V47" s="3535">
        <f>ROUND(PRODUCT(V46,AC7:AC45),0)</f>
        <v>39174</v>
      </c>
      <c r="W47" s="3535"/>
      <c r="X47" s="759"/>
      <c r="Y47" s="759"/>
      <c r="Z47" s="759"/>
      <c r="AA47" s="759"/>
      <c r="AB47" s="759"/>
      <c r="AC47" s="759"/>
    </row>
    <row r="48" spans="1:29" ht="15.75" thickBot="1">
      <c r="A48" s="492" t="s">
        <v>2713</v>
      </c>
      <c r="B48" s="493"/>
      <c r="C48" s="494">
        <f>R48</f>
        <v>40088</v>
      </c>
      <c r="D48" s="494"/>
      <c r="E48" s="494"/>
      <c r="F48" s="494"/>
      <c r="G48" s="494"/>
      <c r="H48" s="494"/>
      <c r="I48" s="494"/>
      <c r="J48" s="494"/>
      <c r="K48" s="785"/>
      <c r="L48" s="1145"/>
      <c r="M48" s="1146"/>
      <c r="N48" s="1146"/>
      <c r="O48" s="1146"/>
      <c r="P48" s="3536" t="str">
        <f>A48</f>
        <v>估价对象XX用房的比较价值（楼面单价，元/平方米）</v>
      </c>
      <c r="Q48" s="3537"/>
      <c r="R48" s="3538">
        <f>ROUND(AVERAGE(R47:V47),0)</f>
        <v>40088</v>
      </c>
      <c r="S48" s="3538"/>
      <c r="T48" s="3538"/>
      <c r="U48" s="3538"/>
      <c r="V48" s="3538"/>
      <c r="W48" s="3538"/>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f>IF(E46&lt;E47,E47/E46-1,E46/E47-1)</f>
        <v>0.24179302011105674</v>
      </c>
      <c r="F51" s="500" t="str">
        <f>IF(OR(E51&gt;=0.3,E51&lt;=-0.3),"超过30%","")</f>
        <v/>
      </c>
      <c r="G51" s="499">
        <f>IF(G46&lt;G47,G47/G46-1,G46/G47-1)</f>
        <v>0.22351612903225804</v>
      </c>
      <c r="H51" s="500" t="str">
        <f>IF(OR(G51&gt;=0.3,G51&lt;=-0.3),"超过30%","")</f>
        <v/>
      </c>
      <c r="I51" s="499">
        <f>IF(I46&lt;I47,I47/I46-1,I46/I47-1)</f>
        <v>0.29595077411671289</v>
      </c>
      <c r="J51" s="500" t="str">
        <f>IF(OR(I51&gt;=0.3,I51&lt;=-0.3),"超过30%","")</f>
        <v/>
      </c>
      <c r="K51" s="1107"/>
      <c r="L51" s="1108"/>
      <c r="M51" s="1146"/>
      <c r="N51" s="1146"/>
      <c r="O51" s="1146"/>
    </row>
    <row r="52" spans="1:15" ht="13.5" customHeight="1">
      <c r="A52" s="1146"/>
      <c r="B52" s="1146"/>
      <c r="C52" s="497" t="s">
        <v>2628</v>
      </c>
      <c r="D52" s="501"/>
      <c r="E52" s="499">
        <f>IF(E47&lt;G47,G47/E47-1,E47/G47-1)</f>
        <v>0.13794194415882299</v>
      </c>
      <c r="F52" s="500" t="str">
        <f>IF(OR(E52&gt;=0.2,E52&lt;=-0.2),"超过20%","")</f>
        <v/>
      </c>
      <c r="G52" s="499">
        <f>IF(G47&lt;I47,I47/G47-1,G47/I47-1)</f>
        <v>3.2824487858894358E-2</v>
      </c>
      <c r="H52" s="500" t="str">
        <f>IF(OR(G52&gt;=0.2,G52&lt;=-0.2),"超过20%","")</f>
        <v/>
      </c>
      <c r="I52" s="499">
        <f>IF(I47&lt;E47,E47/I47-1,I47/E47-1)</f>
        <v>0.10177668862000311</v>
      </c>
      <c r="J52" s="500" t="str">
        <f>IF(OR(I52&gt;=0.2,I52&lt;=-0.2),"超过20%","")</f>
        <v/>
      </c>
      <c r="K52" s="1107"/>
      <c r="L52" s="1108"/>
      <c r="M52" s="1146"/>
      <c r="N52" s="1146"/>
      <c r="O52" s="1146"/>
    </row>
    <row r="53" spans="1:15" s="502" customFormat="1" ht="13.5" customHeight="1">
      <c r="A53" s="1147"/>
      <c r="B53" s="1147"/>
      <c r="C53" s="497" t="s">
        <v>2629</v>
      </c>
      <c r="D53" s="501"/>
      <c r="E53" s="499">
        <f>IF(E46&lt;G46,G46/E46-1,E46/G46-1)</f>
        <v>0.12119354838709673</v>
      </c>
      <c r="F53" s="500" t="str">
        <f>IF(OR(E53&gt;=0.3,E53&lt;=-0.3),"超过30%","")</f>
        <v/>
      </c>
      <c r="G53" s="499">
        <f>IF(G46&lt;I46,I46/G46-1,G46/I46-1)</f>
        <v>2.5539235146222028E-2</v>
      </c>
      <c r="H53" s="500" t="str">
        <f>IF(OR(G53&gt;=0.3,G53&lt;=-0.3),"超过30%","")</f>
        <v/>
      </c>
      <c r="I53" s="499">
        <f>IF(I46&lt;E46,E46/I46-1,I46/E46-1)</f>
        <v>0.14982797406378201</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2714</v>
      </c>
      <c r="B55" s="685" t="s">
        <v>2715</v>
      </c>
      <c r="C55" s="2702" t="s">
        <v>2716</v>
      </c>
      <c r="D55" s="2703" t="s">
        <v>2717</v>
      </c>
      <c r="E55" s="686" t="s">
        <v>2718</v>
      </c>
      <c r="F55" s="1109" t="s">
        <v>2719</v>
      </c>
      <c r="G55" s="3517" t="s">
        <v>2720</v>
      </c>
      <c r="H55" s="3539"/>
      <c r="I55" s="144" t="s">
        <v>2721</v>
      </c>
      <c r="J55" s="2704">
        <f>项目基本情况!F35</f>
        <v>0</v>
      </c>
      <c r="K55" s="2705" t="s">
        <v>2722</v>
      </c>
      <c r="L55" s="1108"/>
      <c r="M55" s="1146"/>
      <c r="N55" s="1146"/>
      <c r="O55" s="1146"/>
    </row>
    <row r="56" spans="1:15" s="692" customFormat="1">
      <c r="A56" s="688" t="s">
        <v>2723</v>
      </c>
      <c r="B56" s="689">
        <f>C48</f>
        <v>40088</v>
      </c>
      <c r="C56" s="690">
        <v>1</v>
      </c>
      <c r="D56" s="1165">
        <v>1</v>
      </c>
      <c r="E56" s="690">
        <f>'数据-汇总表'!E8+'数据-汇总表'!E9</f>
        <v>38115.5</v>
      </c>
      <c r="F56" s="1105">
        <f t="shared" ref="F56:F65" si="15">ROUND(B56*E56/10000,0)</f>
        <v>152797</v>
      </c>
      <c r="G56" s="3540"/>
      <c r="H56" s="3516"/>
      <c r="I56" s="1110">
        <v>1</v>
      </c>
      <c r="J56" s="1113">
        <v>1</v>
      </c>
      <c r="K56" s="1147"/>
      <c r="L56" s="943"/>
      <c r="M56" s="943"/>
      <c r="N56" s="943"/>
      <c r="O56" s="943"/>
    </row>
    <row r="57" spans="1:15" s="692" customFormat="1">
      <c r="A57" s="693" t="s">
        <v>2724</v>
      </c>
      <c r="B57" s="262">
        <f>ROUND($C$48*C57*D57,0)</f>
        <v>8018</v>
      </c>
      <c r="C57" s="200">
        <f t="shared" ref="C57:C65" si="16">IF($C$55="北京市系数",I57,J57)</f>
        <v>0.8</v>
      </c>
      <c r="D57" s="1166">
        <v>0.25</v>
      </c>
      <c r="E57" s="694">
        <f>'数据-汇总表'!G22</f>
        <v>4028.04</v>
      </c>
      <c r="F57" s="1105">
        <f t="shared" si="15"/>
        <v>3230</v>
      </c>
      <c r="G57" s="3541" t="s">
        <v>2725</v>
      </c>
      <c r="H57" s="1106" t="str">
        <f>项目基本情况!B37</f>
        <v>二级</v>
      </c>
      <c r="I57" s="1110">
        <f>SUMIF(修正!A45:A56,H57,修正!B45:B56)</f>
        <v>0.8</v>
      </c>
      <c r="J57" s="1114"/>
      <c r="K57" s="1146"/>
      <c r="L57" s="943"/>
      <c r="M57" s="943"/>
      <c r="N57" s="943"/>
      <c r="O57" s="943"/>
    </row>
    <row r="58" spans="1:15" s="692" customFormat="1">
      <c r="A58" s="693" t="s">
        <v>2726</v>
      </c>
      <c r="B58" s="262">
        <f t="shared" ref="B58:B65" si="17">ROUND($C$48*C58*D58,0)</f>
        <v>5011</v>
      </c>
      <c r="C58" s="200">
        <f t="shared" si="16"/>
        <v>0.5</v>
      </c>
      <c r="D58" s="1166">
        <v>0.25</v>
      </c>
      <c r="E58" s="694"/>
      <c r="F58" s="1105">
        <f t="shared" si="15"/>
        <v>0</v>
      </c>
      <c r="G58" s="3541"/>
      <c r="H58" s="1106" t="str">
        <f>项目基本情况!B37</f>
        <v>二级</v>
      </c>
      <c r="I58" s="1110">
        <f>SUMIF(修正!A45:A56,H58,修正!C45:C56)</f>
        <v>0.5</v>
      </c>
      <c r="J58" s="1114"/>
      <c r="K58" s="1147"/>
      <c r="L58" s="943"/>
      <c r="M58" s="943"/>
      <c r="N58" s="943"/>
      <c r="O58" s="943"/>
    </row>
    <row r="59" spans="1:15" s="692" customFormat="1">
      <c r="A59" s="693" t="s">
        <v>2727</v>
      </c>
      <c r="B59" s="262">
        <f t="shared" si="17"/>
        <v>3608</v>
      </c>
      <c r="C59" s="200">
        <f t="shared" si="16"/>
        <v>0.36</v>
      </c>
      <c r="D59" s="1166">
        <v>0.25</v>
      </c>
      <c r="E59" s="694"/>
      <c r="F59" s="1105">
        <f t="shared" si="15"/>
        <v>0</v>
      </c>
      <c r="G59" s="3541"/>
      <c r="H59" s="1106" t="str">
        <f>项目基本情况!B37</f>
        <v>二级</v>
      </c>
      <c r="I59" s="1110">
        <f>SUMIF(修正!A45:A56,H59,修正!D45:D56)</f>
        <v>0.36</v>
      </c>
      <c r="J59" s="1114"/>
      <c r="K59" s="1146"/>
      <c r="L59" s="943"/>
      <c r="M59" s="943"/>
      <c r="N59" s="943"/>
      <c r="O59" s="943"/>
    </row>
    <row r="60" spans="1:15" s="692" customFormat="1">
      <c r="A60" s="693" t="s">
        <v>2728</v>
      </c>
      <c r="B60" s="262">
        <f t="shared" si="17"/>
        <v>3007</v>
      </c>
      <c r="C60" s="200">
        <f t="shared" si="16"/>
        <v>0.3</v>
      </c>
      <c r="D60" s="1166">
        <v>0.25</v>
      </c>
      <c r="E60" s="694"/>
      <c r="F60" s="1105">
        <f t="shared" si="15"/>
        <v>0</v>
      </c>
      <c r="G60" s="3541"/>
      <c r="H60" s="1106" t="str">
        <f>项目基本情况!B37</f>
        <v>二级</v>
      </c>
      <c r="I60" s="1110">
        <f>SUMIF(修正!A45:A56,H60,修正!E45:E56)</f>
        <v>0.3</v>
      </c>
      <c r="J60" s="1114"/>
      <c r="K60" s="1147"/>
      <c r="L60" s="943"/>
      <c r="M60" s="943"/>
      <c r="N60" s="943"/>
      <c r="O60" s="943"/>
    </row>
    <row r="61" spans="1:15" s="692" customFormat="1">
      <c r="A61" s="693" t="s">
        <v>2729</v>
      </c>
      <c r="B61" s="262">
        <f t="shared" si="17"/>
        <v>3007</v>
      </c>
      <c r="C61" s="200">
        <f t="shared" si="16"/>
        <v>0.3</v>
      </c>
      <c r="D61" s="1166">
        <v>0.25</v>
      </c>
      <c r="E61" s="261">
        <f>'数据-汇总表'!E11</f>
        <v>0</v>
      </c>
      <c r="F61" s="1105">
        <f t="shared" si="15"/>
        <v>0</v>
      </c>
      <c r="G61" s="2706" t="s">
        <v>2730</v>
      </c>
      <c r="H61" s="1106" t="str">
        <f>项目基本情况!C37</f>
        <v>二级</v>
      </c>
      <c r="I61" s="1110">
        <f>SUMIF(修正!A45:A56,H61,修正!F45:F56)</f>
        <v>0.3</v>
      </c>
      <c r="J61" s="1114"/>
      <c r="K61" s="1146"/>
      <c r="L61" s="943"/>
      <c r="M61" s="943"/>
      <c r="N61" s="943"/>
      <c r="O61" s="943"/>
    </row>
    <row r="62" spans="1:15" s="692" customFormat="1">
      <c r="A62" s="693" t="s">
        <v>2731</v>
      </c>
      <c r="B62" s="262">
        <f t="shared" si="17"/>
        <v>3007</v>
      </c>
      <c r="C62" s="200">
        <f t="shared" si="16"/>
        <v>0.3</v>
      </c>
      <c r="D62" s="1166">
        <v>0.25</v>
      </c>
      <c r="E62" s="261">
        <f>'数据-汇总表'!E12</f>
        <v>0</v>
      </c>
      <c r="F62" s="1105">
        <f t="shared" si="15"/>
        <v>0</v>
      </c>
      <c r="G62" s="1111" t="s">
        <v>2732</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2733</v>
      </c>
      <c r="B63" s="262">
        <f t="shared" si="17"/>
        <v>0</v>
      </c>
      <c r="C63" s="200">
        <f t="shared" si="16"/>
        <v>0</v>
      </c>
      <c r="D63" s="1166">
        <v>0.25</v>
      </c>
      <c r="E63" s="261">
        <f>'数据-汇总表'!E13</f>
        <v>0</v>
      </c>
      <c r="F63" s="1105">
        <f t="shared" si="15"/>
        <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f t="shared" si="17"/>
        <v>2506</v>
      </c>
      <c r="C64" s="200">
        <f t="shared" si="16"/>
        <v>0.25</v>
      </c>
      <c r="D64" s="1166">
        <v>0.25</v>
      </c>
      <c r="E64" s="261">
        <f>'数据-汇总表'!E14</f>
        <v>0</v>
      </c>
      <c r="F64" s="1105">
        <f t="shared" si="15"/>
        <v>0</v>
      </c>
      <c r="G64" s="2706" t="s">
        <v>2725</v>
      </c>
      <c r="H64" s="1106" t="str">
        <f>项目基本情况!B37</f>
        <v>二级</v>
      </c>
      <c r="I64" s="1110">
        <f>SUMIF(修正!A45:A56,H64,修正!H45:H56)</f>
        <v>0.25</v>
      </c>
      <c r="J64" s="1114"/>
      <c r="K64" s="1147"/>
      <c r="L64" s="943"/>
      <c r="M64" s="943"/>
      <c r="N64" s="943"/>
      <c r="O64" s="943"/>
    </row>
    <row r="65" spans="1:17" s="692" customFormat="1" ht="15" thickBot="1">
      <c r="A65" s="693" t="s">
        <v>2736</v>
      </c>
      <c r="B65" s="262">
        <f t="shared" si="17"/>
        <v>2506</v>
      </c>
      <c r="C65" s="200">
        <f t="shared" si="16"/>
        <v>0.25</v>
      </c>
      <c r="D65" s="1166">
        <v>0.25</v>
      </c>
      <c r="E65" s="261">
        <f>'数据-汇总表'!E15</f>
        <v>5184.72</v>
      </c>
      <c r="F65" s="1105">
        <f t="shared" si="15"/>
        <v>1299</v>
      </c>
      <c r="G65" s="2707" t="s">
        <v>2730</v>
      </c>
      <c r="H65" s="1116" t="str">
        <f>项目基本情况!C37</f>
        <v>二级</v>
      </c>
      <c r="I65" s="1112">
        <f>SUMIF(修正!A45:A56,H65,修正!H45:H56)</f>
        <v>0.25</v>
      </c>
      <c r="J65" s="1115"/>
      <c r="K65" s="1146"/>
      <c r="L65" s="943"/>
      <c r="M65" s="943"/>
      <c r="N65" s="943"/>
      <c r="O65" s="943"/>
    </row>
    <row r="66" spans="1:17" s="692" customFormat="1" ht="13.5" thickBot="1">
      <c r="A66" s="695" t="s">
        <v>2737</v>
      </c>
      <c r="B66" s="696" t="s">
        <v>27</v>
      </c>
      <c r="C66" s="696" t="s">
        <v>28</v>
      </c>
      <c r="D66" s="696" t="s">
        <v>1027</v>
      </c>
      <c r="E66" s="696">
        <f>IF(B46="楼面地价",SUM(E56:E65),'数据-汇总表'!D3)</f>
        <v>47328.26</v>
      </c>
      <c r="F66" s="697">
        <f>IF(B46="楼面地价",SUM(F56:F65),ROUND(C48*E66/10000,0))</f>
        <v>157326</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2630</v>
      </c>
      <c r="B69" s="759"/>
      <c r="C69" s="764"/>
      <c r="D69" s="764"/>
      <c r="E69" s="764"/>
      <c r="F69" s="765"/>
      <c r="G69" s="765"/>
      <c r="H69" s="764"/>
      <c r="I69" s="764"/>
      <c r="J69" s="1161"/>
      <c r="K69" s="1162"/>
      <c r="L69" s="1163"/>
      <c r="M69" s="1161"/>
      <c r="N69" s="1161"/>
      <c r="O69" s="1161"/>
      <c r="P69" s="503"/>
      <c r="Q69" s="504"/>
    </row>
    <row r="70" spans="1:17" s="508" customFormat="1" ht="15">
      <c r="A70" s="2708"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9" t="s">
        <v>2739</v>
      </c>
      <c r="B71" s="332" t="str">
        <f>"北京市平均增长率"&amp;TEXT(SUMIF(基准地价修正!N21:N25,A71,基准地价修正!P21:P25),"0.00%")</f>
        <v>北京市平均增长率0.00%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2983" t="s">
        <v>3092</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5"/>
      <c r="O79" s="1155"/>
      <c r="P79" s="45"/>
      <c r="Q79" s="504"/>
    </row>
    <row r="80" spans="1:17" ht="15">
      <c r="A80" s="534"/>
      <c r="B80" s="548"/>
      <c r="C80" s="549">
        <v>0</v>
      </c>
      <c r="D80" s="549">
        <f>C80+1</f>
        <v>1</v>
      </c>
      <c r="E80" s="549">
        <f t="shared" ref="E80:M80" si="22">D80+1</f>
        <v>2</v>
      </c>
      <c r="F80" s="549">
        <f t="shared" si="22"/>
        <v>3</v>
      </c>
      <c r="G80" s="549">
        <f t="shared" si="22"/>
        <v>4</v>
      </c>
      <c r="H80" s="549">
        <f t="shared" si="22"/>
        <v>5</v>
      </c>
      <c r="I80" s="549">
        <f t="shared" si="22"/>
        <v>6</v>
      </c>
      <c r="J80" s="549">
        <f t="shared" si="22"/>
        <v>7</v>
      </c>
      <c r="K80" s="549">
        <f t="shared" si="22"/>
        <v>8</v>
      </c>
      <c r="L80" s="549">
        <f t="shared" si="22"/>
        <v>9</v>
      </c>
      <c r="M80" s="549">
        <f t="shared" si="22"/>
        <v>10</v>
      </c>
      <c r="N80" s="1154"/>
      <c r="O80" s="1154"/>
      <c r="P80" s="45"/>
      <c r="Q80" s="504"/>
    </row>
    <row r="81" spans="1:17" ht="15.75" thickBot="1">
      <c r="A81" s="534"/>
      <c r="B81" s="535"/>
      <c r="C81" s="544">
        <v>100</v>
      </c>
      <c r="D81" s="544">
        <f t="shared" ref="D81:M81" si="23">IF($B$46="单位面积地价",C81+$K11,C81-$K11)</f>
        <v>99</v>
      </c>
      <c r="E81" s="544">
        <f t="shared" si="23"/>
        <v>98</v>
      </c>
      <c r="F81" s="544">
        <f t="shared" si="23"/>
        <v>97</v>
      </c>
      <c r="G81" s="544">
        <f t="shared" si="23"/>
        <v>96</v>
      </c>
      <c r="H81" s="544">
        <f t="shared" si="23"/>
        <v>95</v>
      </c>
      <c r="I81" s="544">
        <f t="shared" si="23"/>
        <v>94</v>
      </c>
      <c r="J81" s="544">
        <f t="shared" si="23"/>
        <v>93</v>
      </c>
      <c r="K81" s="544">
        <f t="shared" si="23"/>
        <v>92</v>
      </c>
      <c r="L81" s="544">
        <f t="shared" si="23"/>
        <v>91</v>
      </c>
      <c r="M81" s="544">
        <f t="shared" si="23"/>
        <v>90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4">D105-$K31</f>
        <v>96</v>
      </c>
      <c r="F105" s="544">
        <f t="shared" si="24"/>
        <v>94</v>
      </c>
      <c r="G105" s="544">
        <f t="shared" si="24"/>
        <v>92</v>
      </c>
      <c r="H105" s="544">
        <f t="shared" si="24"/>
        <v>90</v>
      </c>
      <c r="I105" s="544">
        <f t="shared" si="24"/>
        <v>88</v>
      </c>
      <c r="J105" s="544">
        <f t="shared" si="24"/>
        <v>86</v>
      </c>
      <c r="K105" s="544">
        <f t="shared" si="24"/>
        <v>84</v>
      </c>
      <c r="L105" s="544">
        <f t="shared" si="24"/>
        <v>82</v>
      </c>
      <c r="M105" s="544">
        <f t="shared" si="24"/>
        <v>80</v>
      </c>
      <c r="N105" s="1155"/>
      <c r="O105" s="1155"/>
      <c r="P105" s="45"/>
      <c r="Q105" s="504"/>
    </row>
    <row r="106" spans="1:17" ht="27.75" thickTop="1">
      <c r="A106" s="534"/>
      <c r="B106" s="538" t="s">
        <v>2647</v>
      </c>
      <c r="C106" s="2984" t="s">
        <v>3097</v>
      </c>
      <c r="D106" s="2984" t="s">
        <v>3098</v>
      </c>
      <c r="E106" s="2984" t="s">
        <v>3099</v>
      </c>
      <c r="F106" s="2984" t="s">
        <v>3100</v>
      </c>
      <c r="G106" s="2984" t="s">
        <v>3102</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2519</v>
      </c>
      <c r="B116" s="528" t="s">
        <v>2747</v>
      </c>
      <c r="C116" s="529" t="str">
        <f>C117&amp;"(含)"&amp;"-"&amp;D117</f>
        <v>0(含)-10000</v>
      </c>
      <c r="D116" s="529" t="str">
        <f t="shared" ref="D116:M116" si="27">D117&amp;"(含)"&amp;"-"&amp;E117</f>
        <v>10000(含)-50000</v>
      </c>
      <c r="E116" s="529" t="str">
        <f t="shared" si="27"/>
        <v>50000(含)-100000</v>
      </c>
      <c r="F116" s="529" t="str">
        <f t="shared" si="27"/>
        <v>100000(含)-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54"/>
      <c r="O116" s="1154"/>
      <c r="P116" s="45"/>
      <c r="Q116" s="504"/>
    </row>
    <row r="117" spans="1:17" ht="15">
      <c r="A117" s="534"/>
      <c r="B117" s="546"/>
      <c r="C117" s="595">
        <v>0</v>
      </c>
      <c r="D117" s="595">
        <v>10000</v>
      </c>
      <c r="E117" s="595">
        <v>50000</v>
      </c>
      <c r="F117" s="595">
        <v>100000</v>
      </c>
      <c r="G117" s="595"/>
      <c r="H117" s="595"/>
      <c r="I117" s="595"/>
      <c r="J117" s="596"/>
      <c r="K117" s="596"/>
      <c r="L117" s="597"/>
      <c r="M117" s="598"/>
      <c r="N117" s="1154"/>
      <c r="O117" s="1154"/>
      <c r="P117" s="45"/>
      <c r="Q117" s="504"/>
    </row>
    <row r="118" spans="1:17" ht="15.75" thickBot="1">
      <c r="A118" s="534"/>
      <c r="B118" s="543"/>
      <c r="C118" s="570">
        <v>100</v>
      </c>
      <c r="D118" s="591">
        <f>C118+1</f>
        <v>101</v>
      </c>
      <c r="E118" s="591">
        <f t="shared" ref="E118:F118" si="28">D118+1</f>
        <v>102</v>
      </c>
      <c r="F118" s="591">
        <f t="shared" si="28"/>
        <v>103</v>
      </c>
      <c r="G118" s="591"/>
      <c r="H118" s="591"/>
      <c r="I118" s="591"/>
      <c r="J118" s="591"/>
      <c r="K118" s="591"/>
      <c r="L118" s="591"/>
      <c r="M118" s="592"/>
      <c r="N118" s="1155"/>
      <c r="O118" s="1155"/>
      <c r="P118" s="45"/>
      <c r="Q118" s="504"/>
    </row>
    <row r="119" spans="1:17" ht="15" thickTop="1">
      <c r="A119" s="599"/>
      <c r="B119" s="538" t="s">
        <v>2748</v>
      </c>
      <c r="C119" s="2985" t="s">
        <v>3103</v>
      </c>
      <c r="D119" s="2985" t="s">
        <v>3105</v>
      </c>
      <c r="E119" s="2985" t="s">
        <v>3107</v>
      </c>
      <c r="F119" s="2985" t="s">
        <v>3242</v>
      </c>
      <c r="G119" s="2985" t="s">
        <v>3244</v>
      </c>
      <c r="H119" s="583"/>
      <c r="I119" s="583"/>
      <c r="J119" s="583"/>
      <c r="K119" s="584"/>
      <c r="L119" s="585"/>
      <c r="M119" s="586"/>
      <c r="N119" s="1154"/>
      <c r="O119" s="1154"/>
      <c r="P119" s="45"/>
      <c r="Q119" s="504"/>
    </row>
    <row r="120" spans="1:17" ht="15.75" thickBot="1">
      <c r="A120" s="534"/>
      <c r="B120" s="543"/>
      <c r="C120" s="544">
        <v>100</v>
      </c>
      <c r="D120" s="544">
        <f t="shared" ref="D120:M120" si="29">C120-$K39</f>
        <v>95</v>
      </c>
      <c r="E120" s="544">
        <f t="shared" si="29"/>
        <v>90</v>
      </c>
      <c r="F120" s="544">
        <f t="shared" si="29"/>
        <v>85</v>
      </c>
      <c r="G120" s="544">
        <f t="shared" si="29"/>
        <v>80</v>
      </c>
      <c r="H120" s="544">
        <f t="shared" si="29"/>
        <v>75</v>
      </c>
      <c r="I120" s="544">
        <f t="shared" si="29"/>
        <v>70</v>
      </c>
      <c r="J120" s="544">
        <f t="shared" si="29"/>
        <v>65</v>
      </c>
      <c r="K120" s="544">
        <f t="shared" si="29"/>
        <v>60</v>
      </c>
      <c r="L120" s="544">
        <f t="shared" si="29"/>
        <v>55</v>
      </c>
      <c r="M120" s="545">
        <f t="shared" si="29"/>
        <v>50</v>
      </c>
      <c r="N120" s="1155"/>
      <c r="O120" s="1155"/>
      <c r="P120" s="45"/>
      <c r="Q120" s="504"/>
    </row>
    <row r="121" spans="1:17" ht="15" thickTop="1">
      <c r="A121" s="599"/>
      <c r="B121" s="538" t="s">
        <v>2749</v>
      </c>
      <c r="C121" s="2984" t="s">
        <v>3109</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30">C122-$K40</f>
        <v>98</v>
      </c>
      <c r="E122" s="544">
        <f t="shared" si="30"/>
        <v>96</v>
      </c>
      <c r="F122" s="544">
        <f t="shared" si="30"/>
        <v>94</v>
      </c>
      <c r="G122" s="544">
        <f t="shared" si="30"/>
        <v>92</v>
      </c>
      <c r="H122" s="544">
        <f t="shared" si="30"/>
        <v>90</v>
      </c>
      <c r="I122" s="544">
        <f t="shared" si="30"/>
        <v>88</v>
      </c>
      <c r="J122" s="544">
        <f t="shared" si="30"/>
        <v>86</v>
      </c>
      <c r="K122" s="544">
        <f t="shared" si="30"/>
        <v>84</v>
      </c>
      <c r="L122" s="544">
        <f t="shared" si="30"/>
        <v>82</v>
      </c>
      <c r="M122" s="545">
        <f t="shared" si="30"/>
        <v>80</v>
      </c>
      <c r="N122" s="1155"/>
      <c r="O122" s="1155"/>
      <c r="P122" s="45"/>
      <c r="Q122" s="504"/>
    </row>
    <row r="123" spans="1:17" s="471" customFormat="1" ht="15" thickTop="1">
      <c r="A123" s="593"/>
      <c r="B123" s="538" t="s">
        <v>2750</v>
      </c>
      <c r="C123" s="554" t="str">
        <f>C102</f>
        <v>七通</v>
      </c>
      <c r="D123" s="554" t="str">
        <f t="shared" ref="D123:G123" si="31">D102</f>
        <v>六通</v>
      </c>
      <c r="E123" s="554" t="str">
        <f t="shared" si="31"/>
        <v>五通</v>
      </c>
      <c r="F123" s="554" t="str">
        <f t="shared" si="31"/>
        <v>四通</v>
      </c>
      <c r="G123" s="554" t="str">
        <f t="shared" si="31"/>
        <v>三通</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32">D124-$K41</f>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6"/>
      <c r="O124" s="1156"/>
      <c r="P124" s="558"/>
      <c r="Q124" s="559"/>
    </row>
    <row r="125" spans="1:17" ht="15" thickTop="1">
      <c r="A125" s="599"/>
      <c r="B125" s="538" t="s">
        <v>2751</v>
      </c>
      <c r="C125" s="2984" t="s">
        <v>3110</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33">C126-$K42</f>
        <v>98</v>
      </c>
      <c r="E126" s="544">
        <f t="shared" si="33"/>
        <v>96</v>
      </c>
      <c r="F126" s="544">
        <f t="shared" si="33"/>
        <v>94</v>
      </c>
      <c r="G126" s="544">
        <f t="shared" si="33"/>
        <v>92</v>
      </c>
      <c r="H126" s="544">
        <f t="shared" si="33"/>
        <v>90</v>
      </c>
      <c r="I126" s="544">
        <f t="shared" si="33"/>
        <v>88</v>
      </c>
      <c r="J126" s="544">
        <f t="shared" si="33"/>
        <v>86</v>
      </c>
      <c r="K126" s="544">
        <f t="shared" si="33"/>
        <v>84</v>
      </c>
      <c r="L126" s="544">
        <f t="shared" si="33"/>
        <v>82</v>
      </c>
      <c r="M126" s="545">
        <f t="shared" si="33"/>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4" stopIfTrue="1" operator="containsText" text="超过">
      <formula>NOT(ISERROR(SEARCH("超过",F51)))</formula>
    </cfRule>
  </conditionalFormatting>
  <conditionalFormatting sqref="J53">
    <cfRule type="containsText" dxfId="184" priority="13" stopIfTrue="1" operator="containsText" text="超过">
      <formula>NOT(ISERROR(SEARCH("超过",J53)))</formula>
    </cfRule>
  </conditionalFormatting>
  <conditionalFormatting sqref="H53">
    <cfRule type="containsText" dxfId="183" priority="12" stopIfTrue="1" operator="containsText" text="超过">
      <formula>NOT(ISERROR(SEARCH("超过",H53)))</formula>
    </cfRule>
  </conditionalFormatting>
  <conditionalFormatting sqref="F53">
    <cfRule type="containsText" dxfId="182" priority="11" stopIfTrue="1" operator="containsText" text="超过">
      <formula>NOT(ISERROR(SEARCH("超过",F53)))</formula>
    </cfRule>
  </conditionalFormatting>
  <conditionalFormatting sqref="F52 H52 J52">
    <cfRule type="containsText" dxfId="181" priority="10" stopIfTrue="1" operator="containsText" text="超过">
      <formula>NOT(ISERROR(SEARCH("超过",F52)))</formula>
    </cfRule>
  </conditionalFormatting>
  <conditionalFormatting sqref="E51">
    <cfRule type="expression" dxfId="180" priority="9" stopIfTrue="1">
      <formula>$F$51="超过30%"</formula>
    </cfRule>
  </conditionalFormatting>
  <conditionalFormatting sqref="G53">
    <cfRule type="expression" dxfId="179" priority="8" stopIfTrue="1">
      <formula>$H$53="超过30%"</formula>
    </cfRule>
  </conditionalFormatting>
  <conditionalFormatting sqref="E52">
    <cfRule type="expression" dxfId="178" priority="7" stopIfTrue="1">
      <formula>$F$52="超过20%"</formula>
    </cfRule>
  </conditionalFormatting>
  <conditionalFormatting sqref="E53">
    <cfRule type="expression" dxfId="177" priority="6" stopIfTrue="1">
      <formula>$F$53="超过30%"</formula>
    </cfRule>
  </conditionalFormatting>
  <conditionalFormatting sqref="G51">
    <cfRule type="expression" dxfId="176" priority="5" stopIfTrue="1">
      <formula>$H$53+$H$51="超过30%"</formula>
    </cfRule>
  </conditionalFormatting>
  <conditionalFormatting sqref="G52">
    <cfRule type="expression" dxfId="175" priority="4" stopIfTrue="1">
      <formula>$H$52="超过20%"</formula>
    </cfRule>
  </conditionalFormatting>
  <conditionalFormatting sqref="I51">
    <cfRule type="expression" dxfId="174" priority="3" stopIfTrue="1">
      <formula>$J$51="超过30%"</formula>
    </cfRule>
  </conditionalFormatting>
  <conditionalFormatting sqref="I52">
    <cfRule type="expression" dxfId="173" priority="2" stopIfTrue="1">
      <formula>$J$52="超过20%"</formula>
    </cfRule>
  </conditionalFormatting>
  <conditionalFormatting sqref="I53">
    <cfRule type="expression" dxfId="1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3312" t="str">
        <f>项目基本情况!B1</f>
        <v>北京市北京朝阳区太阳宫乡0301-616地块出让国有建设用地使用权及在建建筑物房地产抵押价值预评估</v>
      </c>
      <c r="C37" s="3312"/>
      <c r="D37" s="3312"/>
      <c r="E37" s="3312"/>
      <c r="F37" s="3312"/>
      <c r="G37" s="3312"/>
      <c r="H37" s="3312"/>
      <c r="I37" s="3312"/>
    </row>
    <row r="38" spans="1:9">
      <c r="A38" s="1018"/>
      <c r="B38" s="1018"/>
    </row>
    <row r="39" spans="1:9">
      <c r="A39" s="1016" t="s">
        <v>816</v>
      </c>
      <c r="B39" s="1016" t="s">
        <v>818</v>
      </c>
    </row>
    <row r="40" spans="1:9">
      <c r="A40" s="1016"/>
      <c r="B40" s="1944" t="str">
        <f>项目基本情况!B5</f>
        <v>上海尚地投资发展有限公司</v>
      </c>
    </row>
    <row r="41" spans="1:9">
      <c r="A41" s="1016"/>
      <c r="B41" s="1016"/>
    </row>
    <row r="42" spans="1:9">
      <c r="A42" s="1016" t="s">
        <v>816</v>
      </c>
      <c r="B42" s="1016" t="s">
        <v>819</v>
      </c>
    </row>
    <row r="43" spans="1:9">
      <c r="A43" s="1016"/>
      <c r="B43" s="1944" t="s">
        <v>820</v>
      </c>
    </row>
    <row r="44" spans="1:9">
      <c r="A44" s="1016"/>
      <c r="B44" s="1016"/>
    </row>
    <row r="45" spans="1:9">
      <c r="A45" s="1016" t="s">
        <v>816</v>
      </c>
      <c r="B45" s="1016" t="s">
        <v>821</v>
      </c>
    </row>
    <row r="46" spans="1:9" s="1016" customFormat="1" ht="12.75">
      <c r="B46" s="1944" t="str">
        <f ca="1">项目基本情况!K4</f>
        <v>欧红伟（注册号：1120000080)、崔锴（注册号：1120100036)</v>
      </c>
    </row>
    <row r="47" spans="1:9">
      <c r="A47" s="1016"/>
      <c r="B47" s="1016" t="str">
        <f>项目基本情况!K5</f>
        <v/>
      </c>
    </row>
    <row r="48" spans="1:9">
      <c r="A48" s="1016" t="s">
        <v>816</v>
      </c>
      <c r="B48" s="1016" t="s">
        <v>822</v>
      </c>
    </row>
    <row r="49" spans="2:2">
      <c r="B49" s="1944" t="str">
        <f>"康正预评字"&amp;项目基本情况!B2&amp;"号"</f>
        <v>康正预评字2018-1-E000012号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2285</v>
      </c>
      <c r="B1" s="1939"/>
      <c r="C1" s="242"/>
      <c r="D1" s="242"/>
      <c r="E1" s="242"/>
      <c r="F1" s="242"/>
      <c r="G1" s="1381">
        <f>MATCH(B1,'数据-取费表'!A6:A16,0)+5</f>
        <v>10</v>
      </c>
    </row>
    <row r="2" spans="1:9" s="244" customFormat="1" ht="18" customHeight="1">
      <c r="A2" s="245" t="s">
        <v>2286</v>
      </c>
      <c r="B2" s="246">
        <f ca="1">IF(D2="——",C52,C52-E2)</f>
        <v>221817</v>
      </c>
      <c r="C2" s="243" t="s">
        <v>2287</v>
      </c>
      <c r="D2" s="2544" t="s">
        <v>69</v>
      </c>
      <c r="E2" s="1442" t="e">
        <f ca="1">SUMIF(INDIRECT("'"&amp;G2&amp;"'"&amp;"!A:A"),"承租人权益价值",INDIRECT("'"&amp;G2&amp;"'"&amp;"!c:c"))</f>
        <v>#REF!</v>
      </c>
      <c r="F2" s="2545" t="s">
        <v>2287</v>
      </c>
      <c r="G2" s="2546"/>
    </row>
    <row r="3" spans="1:9" s="244" customFormat="1" ht="18" customHeight="1" thickBot="1">
      <c r="A3" s="247" t="s">
        <v>2288</v>
      </c>
      <c r="B3" s="248">
        <f ca="1">ROUND(B2*10000/(IF(B1="",'数据-汇总表'!E3,INDIRECT("'数据-取费表'!k"&amp;$G$1))),0)</f>
        <v>45733</v>
      </c>
      <c r="C3" s="243" t="s">
        <v>2289</v>
      </c>
      <c r="D3" s="243"/>
      <c r="E3" s="243"/>
      <c r="F3" s="243"/>
      <c r="G3" s="243"/>
    </row>
    <row r="4" spans="1:9" s="252" customFormat="1" ht="15.75">
      <c r="A4" s="249" t="s">
        <v>2290</v>
      </c>
      <c r="B4" s="250"/>
      <c r="C4" s="250"/>
      <c r="D4" s="250"/>
      <c r="E4" s="250"/>
      <c r="F4" s="250"/>
      <c r="G4" s="251"/>
    </row>
    <row r="5" spans="1:9" s="258" customFormat="1" ht="13.5" customHeight="1">
      <c r="A5" s="299" t="s">
        <v>2291</v>
      </c>
      <c r="B5" s="254" t="s">
        <v>2292</v>
      </c>
      <c r="C5" s="255">
        <f>C6+C7+C8</f>
        <v>163094</v>
      </c>
      <c r="D5" s="255" t="s">
        <v>2293</v>
      </c>
      <c r="E5" s="256" t="s">
        <v>2294</v>
      </c>
      <c r="F5" s="256" t="s">
        <v>2295</v>
      </c>
      <c r="G5" s="257"/>
    </row>
    <row r="6" spans="1:9" s="258" customFormat="1" ht="13.5" customHeight="1">
      <c r="A6" s="951" t="s">
        <v>2296</v>
      </c>
      <c r="B6" s="259" t="s">
        <v>2297</v>
      </c>
      <c r="C6" s="260">
        <f>'土地比较法-住宅、综合'!B2</f>
        <v>157326</v>
      </c>
      <c r="D6" s="261"/>
      <c r="E6" s="262"/>
      <c r="F6" s="262"/>
      <c r="G6" s="263"/>
    </row>
    <row r="7" spans="1:9" s="258" customFormat="1" ht="13.5" customHeight="1">
      <c r="A7" s="951" t="s">
        <v>2298</v>
      </c>
      <c r="B7" s="259" t="s">
        <v>2299</v>
      </c>
      <c r="C7" s="264">
        <f>ROUND(C6*F7,0)</f>
        <v>4798</v>
      </c>
      <c r="D7" s="264"/>
      <c r="E7" s="262"/>
      <c r="F7" s="265">
        <f>'数据-取费表'!B48+'数据-取费表'!B49</f>
        <v>3.0499999999999999E-2</v>
      </c>
      <c r="G7" s="263"/>
    </row>
    <row r="8" spans="1:9" s="267" customFormat="1">
      <c r="A8" s="951" t="s">
        <v>2300</v>
      </c>
      <c r="B8" s="259" t="s">
        <v>2301</v>
      </c>
      <c r="C8" s="264">
        <f>IF(G8="已包含在土地购买价格中","0",IF(B1="",'数据-取费表'!B29,IF(G9="全部缴纳",C9+C10,H9)))</f>
        <v>970</v>
      </c>
      <c r="D8" s="266"/>
      <c r="E8" s="264"/>
      <c r="F8" s="265"/>
      <c r="G8" s="2547" t="s">
        <v>3252</v>
      </c>
    </row>
    <row r="9" spans="1:9" s="258" customFormat="1" ht="13.5" customHeight="1">
      <c r="A9" s="952" t="s">
        <v>798</v>
      </c>
      <c r="B9" s="268" t="s">
        <v>2302</v>
      </c>
      <c r="C9" s="269">
        <f ca="1">ROUND(D9*E9/10000,0)</f>
        <v>0</v>
      </c>
      <c r="D9" s="1034">
        <f ca="1">IF(B1="",'数据-汇总表'!E5,IF(INDIRECT("'数据-取费表'!c"&amp;$G$1)="住宅",INDIRECT("'数据-取费表'!k"&amp;$G$1),0))</f>
        <v>0</v>
      </c>
      <c r="E9" s="269">
        <f>'数据-取费表'!B27</f>
        <v>0</v>
      </c>
      <c r="F9" s="265"/>
      <c r="G9" s="2548" t="s">
        <v>3125</v>
      </c>
      <c r="H9" s="1392"/>
      <c r="I9" s="2549" t="s">
        <v>2303</v>
      </c>
    </row>
    <row r="10" spans="1:9" s="258" customFormat="1" ht="13.5" customHeight="1">
      <c r="A10" s="952" t="s">
        <v>799</v>
      </c>
      <c r="B10" s="268" t="s">
        <v>2304</v>
      </c>
      <c r="C10" s="269">
        <f ca="1">ROUND(D10*E10/10000,0)</f>
        <v>970</v>
      </c>
      <c r="D10" s="1034">
        <f ca="1">IF(B1="",'数据-汇总表'!E6,IF(INDIRECT("'数据-取费表'!c"&amp;$G$1)="住宅",INDIRECT("'数据-取费表'!s"&amp;$G$1),INDIRECT("'数据-取费表'!k"&amp;$G$1)+INDIRECT("'数据-取费表'!s"&amp;$G$1)))</f>
        <v>48502.210000000006</v>
      </c>
      <c r="E10" s="269">
        <f>'数据-取费表'!B28</f>
        <v>200</v>
      </c>
      <c r="F10" s="265"/>
      <c r="G10" s="270"/>
    </row>
    <row r="11" spans="1:9" s="258" customFormat="1" ht="13.5" hidden="1" customHeight="1">
      <c r="A11" s="271" t="s">
        <v>7</v>
      </c>
      <c r="B11" s="259" t="s">
        <v>2305</v>
      </c>
      <c r="C11" s="255"/>
      <c r="D11" s="1036"/>
      <c r="E11" s="262"/>
      <c r="F11" s="262"/>
      <c r="G11" s="263"/>
    </row>
    <row r="12" spans="1:9" s="258" customFormat="1" ht="13.5" hidden="1" customHeight="1">
      <c r="A12" s="271" t="s">
        <v>8</v>
      </c>
      <c r="B12" s="259" t="s">
        <v>2306</v>
      </c>
      <c r="C12" s="255">
        <v>0</v>
      </c>
      <c r="D12" s="1036"/>
      <c r="E12" s="272"/>
      <c r="F12" s="265">
        <v>3.0499999999999999E-2</v>
      </c>
      <c r="G12" s="263"/>
    </row>
    <row r="13" spans="1:9" s="258" customFormat="1" ht="13.5" hidden="1" customHeight="1">
      <c r="A13" s="271" t="s">
        <v>9</v>
      </c>
      <c r="B13" s="259" t="s">
        <v>2307</v>
      </c>
      <c r="C13" s="255"/>
      <c r="D13" s="1036"/>
      <c r="E13" s="262"/>
      <c r="F13" s="262"/>
      <c r="G13" s="263"/>
    </row>
    <row r="14" spans="1:9" s="258" customFormat="1" ht="13.5" hidden="1" customHeight="1">
      <c r="A14" s="271" t="s">
        <v>10</v>
      </c>
      <c r="B14" s="259" t="s">
        <v>2308</v>
      </c>
      <c r="C14" s="255"/>
      <c r="D14" s="1036"/>
      <c r="E14" s="262"/>
      <c r="F14" s="262"/>
      <c r="G14" s="263" t="s">
        <v>2309</v>
      </c>
    </row>
    <row r="15" spans="1:9" s="258" customFormat="1" ht="13.5" hidden="1" customHeight="1">
      <c r="A15" s="271" t="s">
        <v>11</v>
      </c>
      <c r="B15" s="259" t="s">
        <v>2310</v>
      </c>
      <c r="C15" s="264"/>
      <c r="D15" s="1036"/>
      <c r="E15" s="262"/>
      <c r="F15" s="262"/>
      <c r="G15" s="263" t="s">
        <v>2311</v>
      </c>
    </row>
    <row r="16" spans="1:9" s="258" customFormat="1" ht="13.5" hidden="1" customHeight="1">
      <c r="A16" s="271" t="s">
        <v>12</v>
      </c>
      <c r="B16" s="259" t="s">
        <v>2308</v>
      </c>
      <c r="C16" s="264"/>
      <c r="D16" s="1036"/>
      <c r="E16" s="262"/>
      <c r="F16" s="262"/>
      <c r="G16" s="263"/>
    </row>
    <row r="17" spans="1:7" s="258" customFormat="1" ht="13.5" hidden="1" customHeight="1">
      <c r="A17" s="271" t="s">
        <v>13</v>
      </c>
      <c r="B17" s="259" t="s">
        <v>2312</v>
      </c>
      <c r="C17" s="273"/>
      <c r="D17" s="1037"/>
      <c r="E17" s="273"/>
      <c r="F17" s="273"/>
      <c r="G17" s="263" t="s">
        <v>2311</v>
      </c>
    </row>
    <row r="18" spans="1:7" s="258" customFormat="1" ht="13.5" hidden="1" customHeight="1">
      <c r="A18" s="271" t="s">
        <v>14</v>
      </c>
      <c r="B18" s="259" t="s">
        <v>2313</v>
      </c>
      <c r="C18" s="264">
        <v>0</v>
      </c>
      <c r="D18" s="1036"/>
      <c r="E18" s="262"/>
      <c r="F18" s="265">
        <v>3.0499999999999999E-2</v>
      </c>
      <c r="G18" s="263" t="s">
        <v>2314</v>
      </c>
    </row>
    <row r="19" spans="1:7" s="267" customFormat="1" ht="13.5" customHeight="1">
      <c r="A19" s="299" t="s">
        <v>2315</v>
      </c>
      <c r="B19" s="254" t="s">
        <v>2316</v>
      </c>
      <c r="C19" s="255" t="str">
        <f>IF(G19="已包含在土地取得成本中","0",ROUND(D19*E19/10000,0))</f>
        <v>0</v>
      </c>
      <c r="D19" s="1038">
        <f ca="1">D9+D10</f>
        <v>48502.210000000006</v>
      </c>
      <c r="E19" s="255">
        <f>'数据-取费表'!B31</f>
        <v>200</v>
      </c>
      <c r="F19" s="275"/>
      <c r="G19" s="2547" t="s">
        <v>3124</v>
      </c>
    </row>
    <row r="20" spans="1:7" s="258" customFormat="1" ht="13.5" customHeight="1">
      <c r="A20" s="299" t="s">
        <v>2317</v>
      </c>
      <c r="B20" s="254" t="s">
        <v>2318</v>
      </c>
      <c r="C20" s="276">
        <f>ROUND((C5+C19)*F20,0)</f>
        <v>2446</v>
      </c>
      <c r="D20" s="276"/>
      <c r="E20" s="276"/>
      <c r="F20" s="277">
        <f>'数据-取费表'!B37</f>
        <v>1.4999999999999999E-2</v>
      </c>
      <c r="G20" s="278" t="s">
        <v>2319</v>
      </c>
    </row>
    <row r="21" spans="1:7" s="258" customFormat="1" ht="13.5" customHeight="1">
      <c r="A21" s="299" t="s">
        <v>2320</v>
      </c>
      <c r="B21" s="254" t="s">
        <v>2321</v>
      </c>
      <c r="C21" s="279">
        <f>F21</f>
        <v>0.02</v>
      </c>
      <c r="D21" s="280" t="s">
        <v>2322</v>
      </c>
      <c r="E21" s="276"/>
      <c r="F21" s="277">
        <f>'数据-取费表'!B38</f>
        <v>0.02</v>
      </c>
      <c r="G21" s="278" t="s">
        <v>2323</v>
      </c>
    </row>
    <row r="22" spans="1:7" s="258" customFormat="1" ht="13.5" customHeight="1">
      <c r="A22" s="299" t="s">
        <v>2324</v>
      </c>
      <c r="B22" s="254" t="s">
        <v>2325</v>
      </c>
      <c r="C22" s="1356">
        <f ca="1">ROUND(SUM(C23:C25),0)</f>
        <v>11844</v>
      </c>
      <c r="D22" s="279">
        <f ca="1">C26</f>
        <v>6.9999999999999999E-4</v>
      </c>
      <c r="E22" s="280" t="s">
        <v>2322</v>
      </c>
      <c r="F22" s="281">
        <f ca="1">'数据-取费表'!B40</f>
        <v>4.7500000000000001E-2</v>
      </c>
      <c r="G22" s="278" t="str">
        <f>IF('数据-取费表'!B22&lt;=1,"单利计息","复利计息")</f>
        <v>复利计息</v>
      </c>
    </row>
    <row r="23" spans="1:7" s="258" customFormat="1" ht="13.5" customHeight="1">
      <c r="A23" s="953" t="s">
        <v>2326</v>
      </c>
      <c r="B23" s="259" t="s">
        <v>2327</v>
      </c>
      <c r="C23" s="1357">
        <f ca="1">ROUND(IF('数据-取费表'!B22&lt;=1,C5*F22*'数据-取费表'!B23,C5*(POWER((1+F22),'数据-取费表'!B23)-1)),0)</f>
        <v>11757</v>
      </c>
      <c r="D23" s="282"/>
      <c r="E23" s="282"/>
      <c r="F23" s="283"/>
      <c r="G23" s="284" t="s">
        <v>2328</v>
      </c>
    </row>
    <row r="24" spans="1:7" s="258" customFormat="1" ht="13.5" customHeight="1">
      <c r="A24" s="953" t="s">
        <v>2329</v>
      </c>
      <c r="B24" s="259" t="s">
        <v>2330</v>
      </c>
      <c r="C24" s="1357">
        <f ca="1">ROUND(IF('数据-取费表'!B22&lt;=1,C19*F22*('数据-取费表'!B19/2+'数据-取费表'!B21),C19*(POWER((1+F22),('数据-取费表'!B19/2+'数据-取费表'!B21))-1)),0)</f>
        <v>0</v>
      </c>
      <c r="D24" s="282"/>
      <c r="E24" s="282"/>
      <c r="F24" s="283"/>
      <c r="G24" s="284" t="s">
        <v>2331</v>
      </c>
    </row>
    <row r="25" spans="1:7" s="258" customFormat="1" ht="24">
      <c r="A25" s="953" t="s">
        <v>2332</v>
      </c>
      <c r="B25" s="259" t="s">
        <v>2333</v>
      </c>
      <c r="C25" s="1357">
        <f ca="1">ROUND(IF('数据-取费表'!B22&lt;=1,C20*F22*'数据-取费表'!B23/2,C20*(POWER((1+F22),'数据-取费表'!B23/2)-1)),0)</f>
        <v>87</v>
      </c>
      <c r="D25" s="282"/>
      <c r="E25" s="285"/>
      <c r="F25" s="283"/>
      <c r="G25" s="286" t="s">
        <v>2334</v>
      </c>
    </row>
    <row r="26" spans="1:7" s="258" customFormat="1">
      <c r="A26" s="953" t="s">
        <v>793</v>
      </c>
      <c r="B26" s="259" t="s">
        <v>2335</v>
      </c>
      <c r="C26" s="282">
        <f ca="1">ROUND(IF('数据-取费表'!B22&lt;=1,F21*F22*'数据-取费表'!B23/2,F21*(POWER((1+F22),'数据-取费表'!B23/2)-1)),4)</f>
        <v>6.9999999999999999E-4</v>
      </c>
      <c r="D26" s="282"/>
      <c r="E26" s="285"/>
      <c r="F26" s="283"/>
      <c r="G26" s="287"/>
    </row>
    <row r="27" spans="1:7" s="258" customFormat="1" ht="24.75">
      <c r="A27" s="299" t="s">
        <v>2336</v>
      </c>
      <c r="B27" s="288" t="s">
        <v>2337</v>
      </c>
      <c r="C27" s="289">
        <f ca="1">C28</f>
        <v>14899</v>
      </c>
      <c r="D27" s="279">
        <f ca="1">C29</f>
        <v>1.8E-3</v>
      </c>
      <c r="E27" s="280" t="s">
        <v>2338</v>
      </c>
      <c r="F27" s="290">
        <f ca="1">IF(B1="",'数据-取费表'!Q16,INDIRECT("'数据-取费表'!q"&amp;$G$1))</f>
        <v>0.18</v>
      </c>
      <c r="G27" s="291" t="s">
        <v>2339</v>
      </c>
    </row>
    <row r="28" spans="1:7" s="258" customFormat="1" ht="13.5" customHeight="1">
      <c r="A28" s="953" t="s">
        <v>789</v>
      </c>
      <c r="B28" s="292" t="s">
        <v>2340</v>
      </c>
      <c r="C28" s="293">
        <f ca="1">ROUND((C5+C19+C20)*F27*'数据-取费表'!B21/'数据-取费表'!B20,0)</f>
        <v>14899</v>
      </c>
      <c r="D28" s="279"/>
      <c r="E28" s="280"/>
      <c r="F28" s="290"/>
      <c r="G28" s="291"/>
    </row>
    <row r="29" spans="1:7" s="258" customFormat="1" ht="13.5" customHeight="1">
      <c r="A29" s="953" t="s">
        <v>790</v>
      </c>
      <c r="B29" s="292" t="s">
        <v>2341</v>
      </c>
      <c r="C29" s="282">
        <f ca="1">ROUND(C21*F27*'数据-取费表'!B21/'数据-取费表'!B20,4)</f>
        <v>1.8E-3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208053</v>
      </c>
      <c r="D31" s="274"/>
      <c r="E31" s="255"/>
      <c r="F31" s="294"/>
      <c r="G31" s="278" t="s">
        <v>2346</v>
      </c>
    </row>
    <row r="32" spans="1:7" s="252" customFormat="1" ht="15.75">
      <c r="A32" s="296" t="s">
        <v>2347</v>
      </c>
      <c r="B32" s="297"/>
      <c r="C32" s="297"/>
      <c r="D32" s="297"/>
      <c r="E32" s="297"/>
      <c r="F32" s="297"/>
      <c r="G32" s="298"/>
    </row>
    <row r="33" spans="1:7" s="258" customFormat="1" ht="13.5" customHeight="1">
      <c r="A33" s="299" t="s">
        <v>780</v>
      </c>
      <c r="B33" s="254" t="s">
        <v>2348</v>
      </c>
      <c r="C33" s="300">
        <f ca="1">SUM(C34:C38)</f>
        <v>10292</v>
      </c>
      <c r="D33" s="276"/>
      <c r="E33" s="256"/>
      <c r="F33" s="285"/>
      <c r="G33" s="278"/>
    </row>
    <row r="34" spans="1:7" s="302" customFormat="1" ht="13.5" customHeight="1">
      <c r="A34" s="953" t="s">
        <v>789</v>
      </c>
      <c r="B34" s="259" t="s">
        <v>2349</v>
      </c>
      <c r="C34" s="264">
        <f ca="1">IF(B1="",IF(F34=100%,'数据-取费表'!M16,'数据-取费表'!O16),IF(F34=100%,INDIRECT("'数据-取费表'!m"&amp;$G$1)+INDIRECT("'数据-取费表'!t"&amp;$G$1),INDIRECT("'数据-取费表'!o"&amp;$G$1)+INDIRECT("'数据-取费表'!aq"&amp;$G$1)))</f>
        <v>9384</v>
      </c>
      <c r="D34" s="261"/>
      <c r="E34" s="264"/>
      <c r="F34" s="301">
        <f ca="1">IF('数据-取费表'!B24=0,1,IF(B1="",'数据-取费表'!N16,INDIRECT("'数据-取费表'!n"&amp;$G$1)))</f>
        <v>0.5</v>
      </c>
      <c r="G34" s="263" t="s">
        <v>2350</v>
      </c>
    </row>
    <row r="35" spans="1:7" ht="13.5" customHeight="1">
      <c r="A35" s="953" t="s">
        <v>794</v>
      </c>
      <c r="B35" s="259" t="s">
        <v>2351</v>
      </c>
      <c r="C35" s="264">
        <f ca="1">ROUND(C34*F35,0)</f>
        <v>282</v>
      </c>
      <c r="D35" s="264"/>
      <c r="E35" s="264"/>
      <c r="F35" s="303">
        <f>'数据-取费表'!B33</f>
        <v>0.03</v>
      </c>
      <c r="G35" s="263" t="s">
        <v>2352</v>
      </c>
    </row>
    <row r="36" spans="1:7" ht="24">
      <c r="A36" s="953" t="s">
        <v>795</v>
      </c>
      <c r="B36" s="259" t="s">
        <v>2353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2354</v>
      </c>
    </row>
    <row r="37" spans="1:7" s="302" customFormat="1" ht="13.5" customHeight="1">
      <c r="A37" s="953" t="s">
        <v>796</v>
      </c>
      <c r="B37" s="259" t="s">
        <v>2355</v>
      </c>
      <c r="C37" s="293">
        <f ca="1">ROUND(E37*D37*F34/10000,0)</f>
        <v>485</v>
      </c>
      <c r="D37" s="261">
        <f ca="1">D19</f>
        <v>48502.210000000006</v>
      </c>
      <c r="E37" s="293">
        <f>'数据-取费表'!B35</f>
        <v>200</v>
      </c>
      <c r="F37" s="303"/>
      <c r="G37" s="305" t="s">
        <v>2356</v>
      </c>
    </row>
    <row r="38" spans="1:7" ht="13.5" customHeight="1">
      <c r="A38" s="953" t="s">
        <v>797</v>
      </c>
      <c r="B38" s="259" t="s">
        <v>2357</v>
      </c>
      <c r="C38" s="264">
        <f ca="1">ROUND(C34*F38,0)</f>
        <v>141</v>
      </c>
      <c r="D38" s="264"/>
      <c r="E38" s="264"/>
      <c r="F38" s="303">
        <f>'数据-取费表'!B36</f>
        <v>1.4999999999999999E-2</v>
      </c>
      <c r="G38" s="263" t="s">
        <v>2352</v>
      </c>
    </row>
    <row r="39" spans="1:7" s="258" customFormat="1" ht="13.5" customHeight="1">
      <c r="A39" s="299" t="s">
        <v>2358</v>
      </c>
      <c r="B39" s="254" t="s">
        <v>2359</v>
      </c>
      <c r="C39" s="276">
        <f ca="1">ROUND(C33*F20,0)</f>
        <v>154</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370</v>
      </c>
      <c r="D41" s="279">
        <f ca="1">C44</f>
        <v>6.9999999999999999E-4</v>
      </c>
      <c r="E41" s="280" t="s">
        <v>2363</v>
      </c>
      <c r="F41" s="281"/>
      <c r="G41" s="278" t="str">
        <f>IF('数据-取费表'!B22&lt;=1,"单利计息","复利计息")</f>
        <v>复利计息</v>
      </c>
    </row>
    <row r="42" spans="1:7" ht="13.5" customHeight="1">
      <c r="A42" s="953" t="s">
        <v>789</v>
      </c>
      <c r="B42" s="259" t="s">
        <v>2367</v>
      </c>
      <c r="C42" s="282">
        <f ca="1">ROUND(IF('数据-取费表'!B22&lt;=1,C33*F22*'数据-取费表'!B21/2,C33*(POWER((1+F22),'数据-取费表'!B21/2)-1)),0)</f>
        <v>365</v>
      </c>
      <c r="D42" s="282"/>
      <c r="E42" s="282"/>
      <c r="F42" s="283"/>
      <c r="G42" s="3542" t="s">
        <v>2368</v>
      </c>
    </row>
    <row r="43" spans="1:7" ht="13.5" customHeight="1">
      <c r="A43" s="953" t="s">
        <v>790</v>
      </c>
      <c r="B43" s="259" t="s">
        <v>2369</v>
      </c>
      <c r="C43" s="282">
        <f ca="1">ROUND(IF('数据-取费表'!B22&lt;=1,C39*F22*'数据-取费表'!B21/2,C39*(POWER((1+F22),'数据-取费表'!B21/2)-1)),0)</f>
        <v>5</v>
      </c>
      <c r="D43" s="282"/>
      <c r="E43" s="282"/>
      <c r="F43" s="283"/>
      <c r="G43" s="3543"/>
    </row>
    <row r="44" spans="1:7" ht="13.5" customHeight="1">
      <c r="A44" s="953" t="s">
        <v>791</v>
      </c>
      <c r="B44" s="259" t="s">
        <v>2370</v>
      </c>
      <c r="C44" s="282">
        <f ca="1">ROUND(IF('数据-取费表'!B22&lt;=1,C40*F22*'数据-取费表'!B21/2,C40*(POWER((1+F22),'数据-取费表'!B21/2)-1)),4)</f>
        <v>6.9999999999999999E-4</v>
      </c>
      <c r="D44" s="282"/>
      <c r="E44" s="282"/>
      <c r="F44" s="283"/>
      <c r="G44" s="3544"/>
    </row>
    <row r="45" spans="1:7" s="258" customFormat="1" ht="13.5" customHeight="1">
      <c r="A45" s="299" t="s">
        <v>2371</v>
      </c>
      <c r="B45" s="288" t="s">
        <v>2337</v>
      </c>
      <c r="C45" s="289">
        <f ca="1">C46</f>
        <v>1880</v>
      </c>
      <c r="D45" s="279">
        <f ca="1">C47</f>
        <v>3.5999999999999999E-3</v>
      </c>
      <c r="E45" s="280" t="s">
        <v>2363</v>
      </c>
      <c r="F45" s="290"/>
      <c r="G45" s="291" t="s">
        <v>2372</v>
      </c>
    </row>
    <row r="46" spans="1:7" s="258" customFormat="1" ht="13.5" customHeight="1">
      <c r="A46" s="953" t="s">
        <v>789</v>
      </c>
      <c r="B46" s="292" t="s">
        <v>2373</v>
      </c>
      <c r="C46" s="293">
        <f ca="1">ROUND((C33+C39)*F27,0)</f>
        <v>1880</v>
      </c>
      <c r="D46" s="307"/>
      <c r="E46" s="280"/>
      <c r="F46" s="290"/>
      <c r="G46" s="291"/>
    </row>
    <row r="47" spans="1:7" s="258" customFormat="1" ht="13.5" customHeight="1">
      <c r="A47" s="953" t="s">
        <v>790</v>
      </c>
      <c r="B47" s="292" t="s">
        <v>2374</v>
      </c>
      <c r="C47" s="282">
        <f ca="1">ROUND(C40*F27,4)</f>
        <v>3.5999999999999999E-3</v>
      </c>
      <c r="D47" s="307"/>
      <c r="E47" s="280"/>
      <c r="F47" s="290"/>
      <c r="G47" s="291"/>
    </row>
    <row r="48" spans="1:7" s="258" customFormat="1" ht="13.5" customHeight="1">
      <c r="A48" s="299" t="s">
        <v>2336</v>
      </c>
      <c r="B48" s="254" t="s">
        <v>2375</v>
      </c>
      <c r="C48" s="1730">
        <f>ROUND(F30/(1+'数据-取费表'!C42),4)</f>
        <v>5.33E-2</v>
      </c>
      <c r="D48" s="280" t="s">
        <v>2363</v>
      </c>
      <c r="E48" s="276"/>
      <c r="F48" s="281"/>
      <c r="G48" s="278" t="s">
        <v>2376</v>
      </c>
    </row>
    <row r="49" spans="1:7" ht="16.5" customHeight="1">
      <c r="A49" s="299" t="s">
        <v>2342</v>
      </c>
      <c r="B49" s="254" t="s">
        <v>2377</v>
      </c>
      <c r="C49" s="276">
        <f ca="1">ROUND((C33+C39+C41+C45)/(1-C40-D41-D45-C48),0)</f>
        <v>13764</v>
      </c>
      <c r="D49" s="276"/>
      <c r="E49" s="276"/>
      <c r="F49" s="308"/>
      <c r="G49" s="278" t="s">
        <v>2378</v>
      </c>
    </row>
    <row r="50" spans="1:7" s="302" customFormat="1" ht="24">
      <c r="A50" s="299" t="s">
        <v>2379</v>
      </c>
      <c r="B50" s="254" t="s">
        <v>2380</v>
      </c>
      <c r="C50" s="276"/>
      <c r="D50" s="276"/>
      <c r="E50" s="276"/>
      <c r="F50" s="308">
        <f>IF('数据-取费表'!B24=0,'数据-取费表'!N16,1)</f>
        <v>1</v>
      </c>
      <c r="G50" s="291" t="s">
        <v>2381</v>
      </c>
    </row>
    <row r="51" spans="1:7" ht="16.5" customHeight="1">
      <c r="A51" s="299" t="s">
        <v>2382</v>
      </c>
      <c r="B51" s="254" t="s">
        <v>2383</v>
      </c>
      <c r="C51" s="276">
        <f ca="1">ROUND(C49*F50,0)</f>
        <v>13764</v>
      </c>
      <c r="D51" s="276"/>
      <c r="E51" s="276"/>
      <c r="F51" s="308"/>
      <c r="G51" s="278" t="s">
        <v>2384</v>
      </c>
    </row>
    <row r="52" spans="1:7" s="252" customFormat="1" ht="16.5" thickBot="1">
      <c r="A52" s="309" t="s">
        <v>2385</v>
      </c>
      <c r="B52" s="310"/>
      <c r="C52" s="311">
        <f ca="1">C31+C51</f>
        <v>221817</v>
      </c>
      <c r="D52" s="310"/>
      <c r="E52" s="310"/>
      <c r="F52" s="310"/>
      <c r="G52" s="312"/>
    </row>
    <row r="55" spans="1:7" ht="15">
      <c r="B55" s="314" t="s">
        <v>2386</v>
      </c>
      <c r="C55" s="315"/>
    </row>
    <row r="56" spans="1:7">
      <c r="B56" s="317" t="s">
        <v>1510</v>
      </c>
      <c r="C56" s="319">
        <f ca="1">1-C57</f>
        <v>0.93799999999999994</v>
      </c>
    </row>
    <row r="57" spans="1:7">
      <c r="B57" s="317" t="s">
        <v>1511</v>
      </c>
      <c r="C57" s="318">
        <f ca="1">ROUND(C51/C52,3)</f>
        <v>6.2E-2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2285</v>
      </c>
      <c r="B1" s="1939"/>
      <c r="C1" s="2550" t="s">
        <v>2387</v>
      </c>
      <c r="D1" s="242"/>
      <c r="E1" s="242"/>
      <c r="F1" s="242"/>
      <c r="G1" s="1381">
        <f>MATCH(B1,'数据-取费表'!A6:A16,0)+5</f>
        <v>10</v>
      </c>
      <c r="H1" s="1284" t="str">
        <f>IF(ISERROR(FIND("住宅",B1)),"非住宅","住宅")</f>
        <v>非住宅</v>
      </c>
    </row>
    <row r="2" spans="1:8" s="244" customFormat="1" ht="18" customHeight="1">
      <c r="A2" s="245" t="s">
        <v>2286</v>
      </c>
      <c r="B2" s="246">
        <f ca="1">ROUND(IF(D2="——",C52/10000,C52/10000-E2),0)</f>
        <v>31213</v>
      </c>
      <c r="C2" s="243" t="s">
        <v>2287</v>
      </c>
      <c r="D2" s="2544" t="s">
        <v>69</v>
      </c>
      <c r="E2" s="1442" t="e">
        <f ca="1">SUMIF(INDIRECT("'"&amp;G2&amp;"'"&amp;"!A:A"),"承租人权益价值",INDIRECT("'"&amp;G2&amp;"'"&amp;"!c:c"))</f>
        <v>#REF!</v>
      </c>
      <c r="F2" s="2545" t="s">
        <v>2287</v>
      </c>
      <c r="G2" s="2546"/>
    </row>
    <row r="3" spans="1:8" s="244" customFormat="1" ht="18" customHeight="1" thickBot="1">
      <c r="A3" s="247" t="s">
        <v>2288</v>
      </c>
      <c r="B3" s="248">
        <f ca="1">ROUND(B2*10000/(IF(B1="",'数据-汇总表'!E3,INDIRECT("'数据-取费表'!k"&amp;$G$1))),0)</f>
        <v>6435</v>
      </c>
      <c r="C3" s="243" t="s">
        <v>2289</v>
      </c>
      <c r="D3" s="243"/>
      <c r="E3" s="243"/>
      <c r="F3" s="243"/>
      <c r="G3" s="243"/>
    </row>
    <row r="4" spans="1:8" s="252" customFormat="1" ht="15.75">
      <c r="A4" s="249" t="s">
        <v>2290</v>
      </c>
      <c r="B4" s="250"/>
      <c r="C4" s="250"/>
      <c r="D4" s="250"/>
      <c r="E4" s="250"/>
      <c r="F4" s="250"/>
      <c r="G4" s="251"/>
    </row>
    <row r="5" spans="1:8" s="258" customFormat="1" ht="13.5" customHeight="1">
      <c r="A5" s="299" t="s">
        <v>2291</v>
      </c>
      <c r="B5" s="254" t="s">
        <v>2292</v>
      </c>
      <c r="C5" s="255">
        <f ca="1">C6+C7+C8</f>
        <v>9700442</v>
      </c>
      <c r="D5" s="255" t="s">
        <v>2293</v>
      </c>
      <c r="E5" s="256" t="s">
        <v>2294</v>
      </c>
      <c r="F5" s="256" t="s">
        <v>2295</v>
      </c>
      <c r="G5" s="257"/>
    </row>
    <row r="6" spans="1:8" s="258" customFormat="1" ht="13.5" customHeight="1">
      <c r="A6" s="951" t="s">
        <v>2296</v>
      </c>
      <c r="B6" s="259" t="s">
        <v>2297</v>
      </c>
      <c r="C6" s="260"/>
      <c r="D6" s="261"/>
      <c r="E6" s="262"/>
      <c r="F6" s="262"/>
      <c r="G6" s="263"/>
    </row>
    <row r="7" spans="1:8" s="258" customFormat="1" ht="13.5" customHeight="1">
      <c r="A7" s="951" t="s">
        <v>2298</v>
      </c>
      <c r="B7" s="259" t="s">
        <v>2299</v>
      </c>
      <c r="C7" s="264">
        <f>ROUND(C6*F7,0)</f>
        <v>0</v>
      </c>
      <c r="D7" s="264"/>
      <c r="E7" s="262"/>
      <c r="F7" s="265">
        <f>'数据-取费表'!B48+'数据-取费表'!B49</f>
        <v>3.0499999999999999E-2</v>
      </c>
      <c r="G7" s="263"/>
    </row>
    <row r="8" spans="1:8" s="267" customFormat="1">
      <c r="A8" s="951" t="s">
        <v>2300</v>
      </c>
      <c r="B8" s="259" t="s">
        <v>2301</v>
      </c>
      <c r="C8" s="264">
        <f ca="1">IF(G8="已包含在土地购买价格中",0,C9+C10)</f>
        <v>9700442</v>
      </c>
      <c r="D8" s="266"/>
      <c r="E8" s="264"/>
      <c r="F8" s="265"/>
      <c r="G8" s="2547"/>
    </row>
    <row r="9" spans="1:8" s="258" customFormat="1" ht="13.5" customHeight="1">
      <c r="A9" s="952" t="s">
        <v>798</v>
      </c>
      <c r="B9" s="268" t="s">
        <v>2302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799</v>
      </c>
      <c r="B10" s="268" t="s">
        <v>2304</v>
      </c>
      <c r="C10" s="269">
        <f ca="1">ROUND(D10*E10,0)</f>
        <v>9700442</v>
      </c>
      <c r="D10" s="1034">
        <f ca="1">IF(B1="",'数据-汇总表'!E6,IF(INDIRECT("'数据-取费表'!c"&amp;$G$1)="住宅",INDIRECT("'数据-取费表'!s"&amp;$G$1),INDIRECT("'数据-取费表'!k"&amp;$G$1)+INDIRECT("'数据-取费表'!s"&amp;$G$1)))</f>
        <v>48502.210000000006</v>
      </c>
      <c r="E10" s="269">
        <f>'数据-取费表'!B28</f>
        <v>200</v>
      </c>
      <c r="F10" s="265"/>
      <c r="G10" s="270"/>
    </row>
    <row r="11" spans="1:8" s="258" customFormat="1" ht="13.5" hidden="1" customHeight="1">
      <c r="A11" s="271" t="s">
        <v>7</v>
      </c>
      <c r="B11" s="259" t="s">
        <v>2305</v>
      </c>
      <c r="C11" s="255"/>
      <c r="D11" s="1036"/>
      <c r="E11" s="262"/>
      <c r="F11" s="262"/>
      <c r="G11" s="263"/>
    </row>
    <row r="12" spans="1:8" s="258" customFormat="1" ht="13.5" hidden="1" customHeight="1">
      <c r="A12" s="271" t="s">
        <v>8</v>
      </c>
      <c r="B12" s="259" t="s">
        <v>2388</v>
      </c>
      <c r="C12" s="255">
        <v>0</v>
      </c>
      <c r="D12" s="1036"/>
      <c r="E12" s="272"/>
      <c r="F12" s="265">
        <v>3.0499999999999999E-2</v>
      </c>
      <c r="G12" s="263"/>
    </row>
    <row r="13" spans="1:8" s="258" customFormat="1" ht="13.5" hidden="1" customHeight="1">
      <c r="A13" s="271" t="s">
        <v>9</v>
      </c>
      <c r="B13" s="259" t="s">
        <v>2389</v>
      </c>
      <c r="C13" s="255"/>
      <c r="D13" s="1036"/>
      <c r="E13" s="262"/>
      <c r="F13" s="262"/>
      <c r="G13" s="263"/>
    </row>
    <row r="14" spans="1:8" s="258" customFormat="1" ht="13.5" hidden="1" customHeight="1">
      <c r="A14" s="271" t="s">
        <v>10</v>
      </c>
      <c r="B14" s="259" t="s">
        <v>2301</v>
      </c>
      <c r="C14" s="255"/>
      <c r="D14" s="1036"/>
      <c r="E14" s="262"/>
      <c r="F14" s="262"/>
      <c r="G14" s="263" t="s">
        <v>2390</v>
      </c>
    </row>
    <row r="15" spans="1:8" s="258" customFormat="1" ht="13.5" hidden="1" customHeight="1">
      <c r="A15" s="271" t="s">
        <v>11</v>
      </c>
      <c r="B15" s="259" t="s">
        <v>2391</v>
      </c>
      <c r="C15" s="264"/>
      <c r="D15" s="1036"/>
      <c r="E15" s="262"/>
      <c r="F15" s="262"/>
      <c r="G15" s="263" t="s">
        <v>2392</v>
      </c>
    </row>
    <row r="16" spans="1:8" s="258" customFormat="1" ht="13.5" hidden="1" customHeight="1">
      <c r="A16" s="271" t="s">
        <v>12</v>
      </c>
      <c r="B16" s="259" t="s">
        <v>2301</v>
      </c>
      <c r="C16" s="264"/>
      <c r="D16" s="1036"/>
      <c r="E16" s="262"/>
      <c r="F16" s="262"/>
      <c r="G16" s="263"/>
    </row>
    <row r="17" spans="1:7" s="258" customFormat="1" ht="13.5" hidden="1" customHeight="1">
      <c r="A17" s="271" t="s">
        <v>13</v>
      </c>
      <c r="B17" s="259" t="s">
        <v>2393</v>
      </c>
      <c r="C17" s="273"/>
      <c r="D17" s="1037"/>
      <c r="E17" s="273"/>
      <c r="F17" s="273"/>
      <c r="G17" s="263" t="s">
        <v>2392</v>
      </c>
    </row>
    <row r="18" spans="1:7" s="258" customFormat="1" ht="13.5" hidden="1" customHeight="1">
      <c r="A18" s="271" t="s">
        <v>14</v>
      </c>
      <c r="B18" s="259" t="s">
        <v>2394</v>
      </c>
      <c r="C18" s="264">
        <v>0</v>
      </c>
      <c r="D18" s="1036"/>
      <c r="E18" s="262"/>
      <c r="F18" s="265">
        <v>3.0499999999999999E-2</v>
      </c>
      <c r="G18" s="263" t="s">
        <v>2395</v>
      </c>
    </row>
    <row r="19" spans="1:7" s="267" customFormat="1" ht="13.5" customHeight="1">
      <c r="A19" s="299" t="s">
        <v>2396</v>
      </c>
      <c r="B19" s="254" t="s">
        <v>2397</v>
      </c>
      <c r="C19" s="255">
        <f ca="1">IF(G19="已包含在土地取得成本中","0",ROUND(D19*E19,0))</f>
        <v>9700442</v>
      </c>
      <c r="D19" s="1038">
        <f ca="1">D9+D10</f>
        <v>48502.210000000006</v>
      </c>
      <c r="E19" s="255">
        <f>'数据-取费表'!B31</f>
        <v>200</v>
      </c>
      <c r="F19" s="275"/>
      <c r="G19" s="2547"/>
    </row>
    <row r="20" spans="1:7" s="258" customFormat="1" ht="13.5" customHeight="1">
      <c r="A20" s="299" t="s">
        <v>2398</v>
      </c>
      <c r="B20" s="254" t="s">
        <v>2399</v>
      </c>
      <c r="C20" s="276">
        <f ca="1">ROUND((C5+C19)*F20,0)</f>
        <v>291013</v>
      </c>
      <c r="D20" s="276"/>
      <c r="E20" s="276"/>
      <c r="F20" s="277">
        <f>'数据-取费表'!B37</f>
        <v>1.4999999999999999E-2</v>
      </c>
      <c r="G20" s="278" t="s">
        <v>2400</v>
      </c>
    </row>
    <row r="21" spans="1:7" s="258" customFormat="1" ht="13.5" customHeight="1">
      <c r="A21" s="299" t="s">
        <v>2401</v>
      </c>
      <c r="B21" s="254" t="s">
        <v>2402</v>
      </c>
      <c r="C21" s="279">
        <f>F21</f>
        <v>0.02</v>
      </c>
      <c r="D21" s="280" t="s">
        <v>2403</v>
      </c>
      <c r="E21" s="276"/>
      <c r="F21" s="277">
        <f>'数据-取费表'!B38</f>
        <v>0.02</v>
      </c>
      <c r="G21" s="278" t="s">
        <v>2404</v>
      </c>
    </row>
    <row r="22" spans="1:7" s="258" customFormat="1" ht="13.5" customHeight="1">
      <c r="A22" s="299" t="s">
        <v>2405</v>
      </c>
      <c r="B22" s="254" t="s">
        <v>2406</v>
      </c>
      <c r="C22" s="1382">
        <f ca="1">ROUND(SUM(C23:C25),0)</f>
        <v>2919003</v>
      </c>
      <c r="D22" s="279">
        <f ca="1">C26</f>
        <v>1.4E-3</v>
      </c>
      <c r="E22" s="280" t="s">
        <v>2403</v>
      </c>
      <c r="F22" s="281">
        <f ca="1">'数据-取费表'!B40</f>
        <v>4.7500000000000001E-2</v>
      </c>
      <c r="G22" s="278" t="str">
        <f>IF('数据-取费表'!B22&lt;=1,"单利计息","复利计息")</f>
        <v>复利计息</v>
      </c>
    </row>
    <row r="23" spans="1:7" s="258" customFormat="1" ht="13.5" customHeight="1">
      <c r="A23" s="953" t="s">
        <v>2296</v>
      </c>
      <c r="B23" s="259" t="s">
        <v>2407</v>
      </c>
      <c r="C23" s="1383">
        <f ca="1">ROUND(IF('数据-取费表'!B22&lt;=1,C5*F22*'数据-取费表'!B22,C5*(POWER((1+F22),'数据-取费表'!B22)-1)),0)</f>
        <v>1449012</v>
      </c>
      <c r="D23" s="282"/>
      <c r="E23" s="282"/>
      <c r="F23" s="283"/>
      <c r="G23" s="284" t="s">
        <v>2408</v>
      </c>
    </row>
    <row r="24" spans="1:7" s="258" customFormat="1" ht="13.5" customHeight="1">
      <c r="A24" s="953" t="s">
        <v>2298</v>
      </c>
      <c r="B24" s="259" t="s">
        <v>2409</v>
      </c>
      <c r="C24" s="1383">
        <f ca="1">ROUND(IF('数据-取费表'!B22&lt;=1,C19*F22*('数据-取费表'!B19/2+'数据-取费表'!B20),C19*(POWER((1+F22),('数据-取费表'!B19/2+'数据-取费表'!B20))-1)),0)</f>
        <v>1449012</v>
      </c>
      <c r="D24" s="282"/>
      <c r="E24" s="282"/>
      <c r="F24" s="283"/>
      <c r="G24" s="284" t="s">
        <v>2410</v>
      </c>
    </row>
    <row r="25" spans="1:7" s="258" customFormat="1" ht="24">
      <c r="A25" s="953" t="s">
        <v>2300</v>
      </c>
      <c r="B25" s="259" t="s">
        <v>2411</v>
      </c>
      <c r="C25" s="1383">
        <f ca="1">ROUND(IF('数据-取费表'!B22&lt;=1,C20*F22*'数据-取费表'!B22/2,C20*(POWER((1+F22),'数据-取费表'!B22/2)-1)),0)</f>
        <v>20979</v>
      </c>
      <c r="D25" s="282"/>
      <c r="E25" s="285"/>
      <c r="F25" s="283"/>
      <c r="G25" s="286" t="s">
        <v>2412</v>
      </c>
    </row>
    <row r="26" spans="1:7" s="258" customFormat="1">
      <c r="A26" s="953" t="s">
        <v>793</v>
      </c>
      <c r="B26" s="259" t="s">
        <v>2335</v>
      </c>
      <c r="C26" s="282">
        <f ca="1">ROUND(IF('数据-取费表'!B22&lt;=1,F21*F22*'数据-取费表'!B22/2,F21*(POWER((1+F22),'数据-取费表'!B22/2)-1)),4)</f>
        <v>1.4E-3</v>
      </c>
      <c r="D26" s="282"/>
      <c r="E26" s="285"/>
      <c r="F26" s="283"/>
      <c r="G26" s="287"/>
    </row>
    <row r="27" spans="1:7" s="258" customFormat="1" ht="24.75">
      <c r="A27" s="299" t="s">
        <v>2336</v>
      </c>
      <c r="B27" s="288" t="s">
        <v>2337</v>
      </c>
      <c r="C27" s="289">
        <f ca="1">C28</f>
        <v>3544541</v>
      </c>
      <c r="D27" s="279">
        <f ca="1">C29</f>
        <v>3.5999999999999999E-3</v>
      </c>
      <c r="E27" s="280" t="s">
        <v>2338</v>
      </c>
      <c r="F27" s="290">
        <f ca="1">IF(B1="",'数据-取费表'!Q16,INDIRECT("'数据-取费表'!q"&amp;$G$1))</f>
        <v>0.18</v>
      </c>
      <c r="G27" s="291" t="s">
        <v>2339</v>
      </c>
    </row>
    <row r="28" spans="1:7" s="258" customFormat="1" ht="13.5" customHeight="1">
      <c r="A28" s="953" t="s">
        <v>789</v>
      </c>
      <c r="B28" s="292" t="s">
        <v>2340</v>
      </c>
      <c r="C28" s="293">
        <f ca="1">ROUND((C5+C19+C20)*F27,0)</f>
        <v>3544541</v>
      </c>
      <c r="D28" s="279"/>
      <c r="E28" s="280"/>
      <c r="F28" s="290"/>
      <c r="G28" s="291"/>
    </row>
    <row r="29" spans="1:7" s="258" customFormat="1" ht="13.5" customHeight="1">
      <c r="A29" s="953" t="s">
        <v>790</v>
      </c>
      <c r="B29" s="292" t="s">
        <v>2341</v>
      </c>
      <c r="C29" s="282">
        <f ca="1">ROUND(C21*F27,4)</f>
        <v>3.5999999999999999E-3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28377391</v>
      </c>
      <c r="D31" s="274"/>
      <c r="E31" s="255"/>
      <c r="F31" s="294"/>
      <c r="G31" s="278" t="s">
        <v>2346</v>
      </c>
    </row>
    <row r="32" spans="1:7" s="252" customFormat="1" ht="15.75">
      <c r="A32" s="296" t="s">
        <v>2413</v>
      </c>
      <c r="B32" s="297"/>
      <c r="C32" s="297"/>
      <c r="D32" s="297"/>
      <c r="E32" s="297"/>
      <c r="F32" s="297"/>
      <c r="G32" s="298"/>
    </row>
    <row r="33" spans="1:7" s="258" customFormat="1" ht="13.5" customHeight="1">
      <c r="A33" s="299" t="s">
        <v>780</v>
      </c>
      <c r="B33" s="254" t="s">
        <v>2414</v>
      </c>
      <c r="C33" s="300">
        <f ca="1">SUM(C34:C38)</f>
        <v>205794870</v>
      </c>
      <c r="D33" s="276"/>
      <c r="E33" s="256"/>
      <c r="F33" s="285"/>
      <c r="G33" s="278"/>
    </row>
    <row r="34" spans="1:7" s="302" customFormat="1" ht="13.5" customHeight="1">
      <c r="A34" s="953" t="s">
        <v>789</v>
      </c>
      <c r="B34" s="259" t="s">
        <v>2349</v>
      </c>
      <c r="C34" s="264">
        <f ca="1">ROUND(IF(B1="",SUMPRODUCT('数据-取费表'!K6:K14,'数据-取费表'!L6:L14),INDIRECT("'数据-取费表'!l"&amp;$G$1)*INDIRECT("'数据-取费表'!k"&amp;$G$1)+'数据-取费表'!L14*INDIRECT("'数据-取费表'!S"&amp;$G$1)),0)</f>
        <v>187650170</v>
      </c>
      <c r="D34" s="261"/>
      <c r="E34" s="264"/>
      <c r="F34" s="301"/>
      <c r="G34" s="263"/>
    </row>
    <row r="35" spans="1:7" ht="13.5" customHeight="1">
      <c r="A35" s="953" t="s">
        <v>794</v>
      </c>
      <c r="B35" s="259" t="s">
        <v>2351</v>
      </c>
      <c r="C35" s="264">
        <f ca="1">ROUND(C34*F35,0)</f>
        <v>5629505</v>
      </c>
      <c r="D35" s="264"/>
      <c r="E35" s="264"/>
      <c r="F35" s="303">
        <f>'数据-取费表'!B33</f>
        <v>0.03</v>
      </c>
      <c r="G35" s="263" t="s">
        <v>2352</v>
      </c>
    </row>
    <row r="36" spans="1:7" ht="24">
      <c r="A36" s="953" t="s">
        <v>795</v>
      </c>
      <c r="B36" s="259" t="s">
        <v>2353</v>
      </c>
      <c r="C36" s="264">
        <f ca="1">ROUND(IF(B1="",SUM('数据-取费表'!AP6:AP13)*F36,IF(INDIRECT("'数据-取费表'!c"&amp;$G$1)="住宅",INDIRECT("'数据-取费表'!k"&amp;$G$1)*INDIRECT("'数据-取费表'!l"&amp;$G$1)*F36,0)),0)</f>
        <v>0</v>
      </c>
      <c r="D36" s="264"/>
      <c r="E36" s="264"/>
      <c r="F36" s="303">
        <f>'数据-取费表'!B34</f>
        <v>0</v>
      </c>
      <c r="G36" s="304" t="s">
        <v>2354</v>
      </c>
    </row>
    <row r="37" spans="1:7" s="302" customFormat="1" ht="13.5" customHeight="1">
      <c r="A37" s="953" t="s">
        <v>796</v>
      </c>
      <c r="B37" s="259" t="s">
        <v>2355</v>
      </c>
      <c r="C37" s="293">
        <f ca="1">ROUND(E37*D37,0)</f>
        <v>9700442</v>
      </c>
      <c r="D37" s="261">
        <f ca="1">D19</f>
        <v>48502.210000000006</v>
      </c>
      <c r="E37" s="293">
        <f>'数据-取费表'!B35</f>
        <v>200</v>
      </c>
      <c r="F37" s="303"/>
      <c r="G37" s="305"/>
    </row>
    <row r="38" spans="1:7" ht="13.5" customHeight="1">
      <c r="A38" s="953" t="s">
        <v>797</v>
      </c>
      <c r="B38" s="259" t="s">
        <v>2357</v>
      </c>
      <c r="C38" s="264">
        <f ca="1">ROUND(C34*F38,0)</f>
        <v>2814753</v>
      </c>
      <c r="D38" s="264"/>
      <c r="E38" s="264"/>
      <c r="F38" s="303">
        <f>'数据-取费表'!B36</f>
        <v>1.4999999999999999E-2</v>
      </c>
      <c r="G38" s="263" t="s">
        <v>2352</v>
      </c>
    </row>
    <row r="39" spans="1:7" s="258" customFormat="1" ht="13.5" customHeight="1">
      <c r="A39" s="299" t="s">
        <v>2358</v>
      </c>
      <c r="B39" s="254" t="s">
        <v>2359</v>
      </c>
      <c r="C39" s="276">
        <f ca="1">ROUND(C33*F20,0)</f>
        <v>3086923</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15058187</v>
      </c>
      <c r="D41" s="279">
        <f ca="1">C44</f>
        <v>1.4E-3</v>
      </c>
      <c r="E41" s="280" t="s">
        <v>2363</v>
      </c>
      <c r="F41" s="281"/>
      <c r="G41" s="278" t="str">
        <f>IF('数据-取费表'!B22&lt;=1,"单利计息","复利计息")</f>
        <v>复利计息</v>
      </c>
    </row>
    <row r="42" spans="1:7" ht="13.5" customHeight="1">
      <c r="A42" s="953" t="s">
        <v>789</v>
      </c>
      <c r="B42" s="259" t="s">
        <v>2367</v>
      </c>
      <c r="C42" s="282">
        <f ca="1">ROUND(IF('数据-取费表'!B22&lt;=1,C33*F22*'数据-取费表'!B20/2,C33*(POWER((1+F22),'数据-取费表'!B20/2)-1)),0)</f>
        <v>14835652</v>
      </c>
      <c r="D42" s="282"/>
      <c r="E42" s="282"/>
      <c r="F42" s="283"/>
      <c r="G42" s="3542" t="s">
        <v>2415</v>
      </c>
    </row>
    <row r="43" spans="1:7" ht="13.5" customHeight="1">
      <c r="A43" s="953" t="s">
        <v>790</v>
      </c>
      <c r="B43" s="259" t="s">
        <v>2369</v>
      </c>
      <c r="C43" s="282">
        <f ca="1">ROUND(IF('数据-取费表'!B22&lt;=1,C39*F22*'数据-取费表'!B20/2,C39*(POWER((1+F22),'数据-取费表'!B20/2)-1)),0)</f>
        <v>222535</v>
      </c>
      <c r="D43" s="282"/>
      <c r="E43" s="282"/>
      <c r="F43" s="283"/>
      <c r="G43" s="3543"/>
    </row>
    <row r="44" spans="1:7" ht="13.5" customHeight="1">
      <c r="A44" s="953" t="s">
        <v>791</v>
      </c>
      <c r="B44" s="259" t="s">
        <v>2370</v>
      </c>
      <c r="C44" s="282">
        <f ca="1">ROUND(IF('数据-取费表'!B22&lt;=1,C40*F22*'数据-取费表'!B20/2,C40*(POWER((1+F22),'数据-取费表'!B20/2)-1)),4)</f>
        <v>1.4E-3</v>
      </c>
      <c r="D44" s="282"/>
      <c r="E44" s="282"/>
      <c r="F44" s="283"/>
      <c r="G44" s="3544"/>
    </row>
    <row r="45" spans="1:7" s="258" customFormat="1" ht="13.5" customHeight="1">
      <c r="A45" s="299" t="s">
        <v>2371</v>
      </c>
      <c r="B45" s="288" t="s">
        <v>2337</v>
      </c>
      <c r="C45" s="289">
        <f ca="1">C46</f>
        <v>37598723</v>
      </c>
      <c r="D45" s="279">
        <f ca="1">C47</f>
        <v>3.5999999999999999E-3</v>
      </c>
      <c r="E45" s="280" t="s">
        <v>2363</v>
      </c>
      <c r="F45" s="290"/>
      <c r="G45" s="291" t="s">
        <v>2372</v>
      </c>
    </row>
    <row r="46" spans="1:7" s="258" customFormat="1" ht="13.5" customHeight="1">
      <c r="A46" s="953" t="s">
        <v>789</v>
      </c>
      <c r="B46" s="292" t="s">
        <v>2373</v>
      </c>
      <c r="C46" s="293">
        <f ca="1">ROUND((C33+C39)*F27,0)</f>
        <v>37598723</v>
      </c>
      <c r="D46" s="307"/>
      <c r="E46" s="280"/>
      <c r="F46" s="290"/>
      <c r="G46" s="291"/>
    </row>
    <row r="47" spans="1:7" s="258" customFormat="1" ht="13.5" customHeight="1">
      <c r="A47" s="953" t="s">
        <v>790</v>
      </c>
      <c r="B47" s="292" t="s">
        <v>2374</v>
      </c>
      <c r="C47" s="282">
        <f ca="1">ROUND(C40*F27,4)</f>
        <v>3.5999999999999999E-3</v>
      </c>
      <c r="D47" s="307"/>
      <c r="E47" s="280"/>
      <c r="F47" s="290"/>
      <c r="G47" s="291"/>
    </row>
    <row r="48" spans="1:7" s="258" customFormat="1" ht="13.5" customHeight="1">
      <c r="A48" s="299" t="s">
        <v>2336</v>
      </c>
      <c r="B48" s="254" t="s">
        <v>2375</v>
      </c>
      <c r="C48" s="306">
        <f>ROUND(F30/(1+'数据-取费表'!C42),4)</f>
        <v>5.33E-2</v>
      </c>
      <c r="D48" s="280" t="s">
        <v>2363</v>
      </c>
      <c r="E48" s="276"/>
      <c r="F48" s="281"/>
      <c r="G48" s="278" t="s">
        <v>2376</v>
      </c>
    </row>
    <row r="49" spans="1:7" ht="16.5" customHeight="1">
      <c r="A49" s="299" t="s">
        <v>2342</v>
      </c>
      <c r="B49" s="254" t="s">
        <v>2416</v>
      </c>
      <c r="C49" s="276">
        <f ca="1">ROUND((C33+C39+C41+C45)/(1-C40-D41-D45-C48),0)</f>
        <v>283756866</v>
      </c>
      <c r="D49" s="276"/>
      <c r="E49" s="276"/>
      <c r="F49" s="308"/>
      <c r="G49" s="278" t="s">
        <v>2378</v>
      </c>
    </row>
    <row r="50" spans="1:7" s="302" customFormat="1">
      <c r="A50" s="299" t="s">
        <v>2379</v>
      </c>
      <c r="B50" s="254" t="s">
        <v>2380</v>
      </c>
      <c r="C50" s="276"/>
      <c r="D50" s="276"/>
      <c r="E50" s="276"/>
      <c r="F50" s="308">
        <f>IF('数据-取费表'!B24=0,'数据-取费表'!N16,1)</f>
        <v>1</v>
      </c>
      <c r="G50" s="291"/>
    </row>
    <row r="51" spans="1:7" ht="16.5" customHeight="1">
      <c r="A51" s="299" t="s">
        <v>2382</v>
      </c>
      <c r="B51" s="254" t="s">
        <v>2417</v>
      </c>
      <c r="C51" s="276">
        <f ca="1">ROUND(C49*F50,0)</f>
        <v>283756866</v>
      </c>
      <c r="D51" s="276"/>
      <c r="E51" s="276"/>
      <c r="F51" s="308"/>
      <c r="G51" s="278" t="s">
        <v>2384</v>
      </c>
    </row>
    <row r="52" spans="1:7" s="252" customFormat="1" ht="16.5" thickBot="1">
      <c r="A52" s="309" t="s">
        <v>2385</v>
      </c>
      <c r="B52" s="310"/>
      <c r="C52" s="311">
        <f ca="1">C31+C51</f>
        <v>312134257</v>
      </c>
      <c r="D52" s="310"/>
      <c r="E52" s="310"/>
      <c r="F52" s="310"/>
      <c r="G52" s="312"/>
    </row>
    <row r="55" spans="1:7" ht="15">
      <c r="B55" s="314" t="s">
        <v>2386</v>
      </c>
      <c r="C55" s="315"/>
    </row>
    <row r="56" spans="1:7">
      <c r="B56" s="317" t="s">
        <v>1510</v>
      </c>
      <c r="C56" s="319">
        <f ca="1">1-C57</f>
        <v>9.099999999999997E-2</v>
      </c>
    </row>
    <row r="57" spans="1:7">
      <c r="B57" s="317" t="s">
        <v>1511</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2418</v>
      </c>
      <c r="B1" s="1583"/>
      <c r="C1" s="1584"/>
      <c r="D1" s="1582"/>
      <c r="E1" s="320"/>
      <c r="F1" s="320"/>
      <c r="G1" s="1583"/>
      <c r="H1" s="320"/>
      <c r="I1" s="320"/>
      <c r="J1" s="320"/>
      <c r="K1" s="320">
        <f>MATCH(C1,'数据-取费表'!A6:A16,0)+5</f>
        <v>10</v>
      </c>
    </row>
    <row r="2" spans="1:33" ht="18" customHeight="1">
      <c r="A2" s="245" t="s">
        <v>2286</v>
      </c>
      <c r="B2" s="248">
        <f ca="1">C32</f>
        <v>377532</v>
      </c>
      <c r="C2" s="320" t="s">
        <v>2419</v>
      </c>
      <c r="D2" s="320"/>
      <c r="E2" s="320"/>
      <c r="F2" s="320"/>
      <c r="G2" s="320"/>
      <c r="H2" s="320"/>
      <c r="I2" s="320"/>
      <c r="J2" s="320"/>
      <c r="K2" s="320"/>
    </row>
    <row r="3" spans="1:33" ht="18" customHeight="1" thickBot="1">
      <c r="A3" s="247" t="s">
        <v>2288</v>
      </c>
      <c r="B3" s="248">
        <f ca="1">ROUND(B2*10000/IF(C1="",'数据-汇总表'!E3,INDIRECT("'数据-取费表'!K"&amp;$K$1)),0)</f>
        <v>77838</v>
      </c>
      <c r="C3" s="320" t="s">
        <v>2420</v>
      </c>
      <c r="D3" s="320"/>
      <c r="E3" s="320"/>
      <c r="F3" s="320"/>
      <c r="G3" s="320"/>
      <c r="H3" s="320"/>
      <c r="I3" s="320"/>
      <c r="J3" s="320"/>
      <c r="K3" s="320"/>
    </row>
    <row r="4" spans="1:33" s="958" customFormat="1" ht="16.5" customHeight="1">
      <c r="A4" s="955" t="s">
        <v>2421</v>
      </c>
      <c r="B4" s="956"/>
      <c r="C4" s="998">
        <f ca="1">SUM(C8:K8)</f>
        <v>496669</v>
      </c>
      <c r="D4" s="956"/>
      <c r="E4" s="956"/>
      <c r="F4" s="956"/>
      <c r="G4" s="956"/>
      <c r="H4" s="956"/>
      <c r="I4" s="956"/>
      <c r="J4" s="956"/>
      <c r="K4" s="957"/>
    </row>
    <row r="5" spans="1:33" s="962" customFormat="1" ht="15">
      <c r="A5" s="959" t="s">
        <v>2422</v>
      </c>
      <c r="B5" s="960" t="s">
        <v>2423</v>
      </c>
      <c r="C5" s="2551" t="s">
        <v>26</v>
      </c>
      <c r="D5" s="2551" t="s">
        <v>1373</v>
      </c>
      <c r="E5" s="2551" t="s">
        <v>3259</v>
      </c>
      <c r="F5" s="2551" t="s">
        <v>47</v>
      </c>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40" t="s">
        <v>2424</v>
      </c>
      <c r="C6" s="964">
        <f ca="1">'收益法-办公'!B3</f>
        <v>130338</v>
      </c>
      <c r="D6" s="964">
        <f ca="1">'收益法-商业'!B3</f>
        <v>73774</v>
      </c>
      <c r="E6" s="964">
        <f ca="1">'收益法-地下商业'!B3</f>
        <v>42092</v>
      </c>
      <c r="F6" s="964">
        <f>'比较法-车位'!B3</f>
        <v>8984</v>
      </c>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34273.35</v>
      </c>
      <c r="D7" s="321">
        <f>SUMIF('数据-汇总表'!$C19:$C33,假设开发法!D5,'数据-汇总表'!$E19:$E33)</f>
        <v>3842.1499999999996</v>
      </c>
      <c r="E7" s="321">
        <f>SUMIF('数据-汇总表'!$C19:$C33,假设开发法!E5,'数据-汇总表'!$E19:$E33)</f>
        <v>4028.04</v>
      </c>
      <c r="F7" s="321">
        <f>SUMIF('数据-汇总表'!$C19:$C33,假设开发法!F5,'数据-汇总表'!$E19:$E33)</f>
        <v>5184.72</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2427</v>
      </c>
      <c r="B8" s="177" t="s">
        <v>2428</v>
      </c>
      <c r="C8" s="999">
        <f ca="1">'收益法-办公'!B2</f>
        <v>446711</v>
      </c>
      <c r="D8" s="999">
        <f ca="1">'收益法-商业'!B2</f>
        <v>28345</v>
      </c>
      <c r="E8" s="999">
        <f ca="1">'收益法-地下商业'!B2</f>
        <v>16955</v>
      </c>
      <c r="F8" s="1000">
        <f>'比较法-车位'!B2</f>
        <v>4658</v>
      </c>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9380</v>
      </c>
      <c r="D11" s="975"/>
      <c r="E11" s="375"/>
      <c r="F11" s="976">
        <f ca="1">1-IF('数据-取费表'!B24=0,1,IF(C1="",'数据-取费表'!N16,INDIRECT("'数据-取费表'!n"&amp;$K$1)))</f>
        <v>0.5</v>
      </c>
      <c r="G11" s="8"/>
      <c r="H11" s="970"/>
      <c r="I11" s="970"/>
      <c r="J11" s="970"/>
      <c r="K11" s="971"/>
    </row>
    <row r="12" spans="1:33" s="977" customFormat="1" ht="13.5" customHeight="1">
      <c r="A12" s="973" t="s">
        <v>1331</v>
      </c>
      <c r="B12" s="974" t="s">
        <v>2437</v>
      </c>
      <c r="C12" s="24">
        <f ca="1">ROUND(C11*F12,0)</f>
        <v>281</v>
      </c>
      <c r="D12" s="975"/>
      <c r="E12" s="375"/>
      <c r="F12" s="978">
        <f>'数据-取费表'!B33</f>
        <v>0.03</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485</v>
      </c>
      <c r="D14" s="1035">
        <f ca="1">IF(C1="",'数据-汇总表'!E3,INDIRECT("'数据-取费表'!K"&amp;$K$1)+INDIRECT("'数据-取费表'!S"&amp;$K$1))</f>
        <v>48502.210000000006</v>
      </c>
      <c r="E14" s="24">
        <f>'数据-取费表'!B35</f>
        <v>200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141</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2445</v>
      </c>
      <c r="C16" s="985">
        <f ca="1">SUM(C11:C15)</f>
        <v>10287</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2446</v>
      </c>
      <c r="C17" s="24">
        <f ca="1">ROUND(D17*E17/10000,0)</f>
        <v>0</v>
      </c>
      <c r="D17" s="1035">
        <f ca="1">D14</f>
        <v>48502.210000000006</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3" t="s">
        <v>3238</v>
      </c>
      <c r="H18" s="1579"/>
      <c r="I18" s="2554" t="s">
        <v>2449</v>
      </c>
      <c r="J18" s="981"/>
      <c r="K18" s="982"/>
    </row>
    <row r="19" spans="1:33" s="977" customFormat="1" ht="13.5" customHeight="1">
      <c r="A19" s="973" t="s">
        <v>803</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804</v>
      </c>
      <c r="B20" s="974" t="s">
        <v>2451</v>
      </c>
      <c r="C20" s="24">
        <f ca="1">ROUND(D20*E20/10000,0)</f>
        <v>970</v>
      </c>
      <c r="D20" s="1035">
        <f ca="1">IF(C1="",'数据-汇总表'!E6,IF(INDIRECT("'数据-取费表'!c"&amp;$K$1)="住宅",INDIRECT("'数据-取费表'!s"&amp;$K$1),INDIRECT("'数据-取费表'!k"&amp;$K$1)+INDIRECT("'数据-取费表'!s"&amp;$K$1)))</f>
        <v>48502.210000000006</v>
      </c>
      <c r="E20" s="24">
        <f>'数据-取费表'!B28</f>
        <v>200</v>
      </c>
      <c r="F20" s="978"/>
      <c r="G20" s="15"/>
      <c r="H20" s="983"/>
      <c r="I20" s="983"/>
      <c r="J20" s="983"/>
      <c r="K20" s="984"/>
    </row>
    <row r="21" spans="1:33" s="977" customFormat="1" ht="13.5" customHeight="1">
      <c r="A21" s="963" t="s">
        <v>800</v>
      </c>
      <c r="B21" s="987" t="s">
        <v>2452</v>
      </c>
      <c r="C21" s="988">
        <f ca="1">C16+C17+C18</f>
        <v>10287</v>
      </c>
      <c r="D21" s="989"/>
      <c r="E21" s="325"/>
      <c r="F21" s="325"/>
      <c r="G21" s="140" t="s">
        <v>2453</v>
      </c>
      <c r="H21" s="981"/>
      <c r="I21" s="981"/>
      <c r="J21" s="981"/>
      <c r="K21" s="982"/>
    </row>
    <row r="22" spans="1:33" s="977" customFormat="1" ht="13.5" customHeight="1">
      <c r="A22" s="963" t="s">
        <v>2425</v>
      </c>
      <c r="B22" s="987" t="s">
        <v>2454</v>
      </c>
      <c r="C22" s="988">
        <f ca="1">ROUND(C21*F22,0)</f>
        <v>154</v>
      </c>
      <c r="D22" s="325"/>
      <c r="E22" s="325"/>
      <c r="F22" s="990">
        <f>'数据-取费表'!B37</f>
        <v>1.4999999999999999E-2</v>
      </c>
      <c r="G22" s="8" t="s">
        <v>2455</v>
      </c>
      <c r="H22" s="970"/>
      <c r="I22" s="970"/>
      <c r="J22" s="970"/>
      <c r="K22" s="971"/>
    </row>
    <row r="23" spans="1:33" s="977" customFormat="1" ht="13.5" customHeight="1">
      <c r="A23" s="963" t="s">
        <v>2427</v>
      </c>
      <c r="B23" s="987" t="s">
        <v>2456</v>
      </c>
      <c r="C23" s="988">
        <f ca="1">ROUND(C4*F23*F11,0)</f>
        <v>4967</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546</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2463</v>
      </c>
      <c r="C26" s="1359">
        <f ca="1">ROUND(IF('数据-取费表'!B22&lt;=1,(1+C24)*F25*'数据-取费表'!B24,(1+C24)*(POWER((1+F25),'数据-取费表'!B24)-1)),4)</f>
        <v>7.4200000000000002E-2</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2464</v>
      </c>
      <c r="C27" s="1360">
        <f ca="1">ROUND(IF('数据-取费表'!B22&lt;=1,(C21+C22+C23)*F25*'数据-取费表'!B24/2,(C21+C22+C23)*(POWER((1+F25),'数据-取费表'!B24/2)-1)),0)</f>
        <v>546</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2465</v>
      </c>
      <c r="B28" s="2556" t="s">
        <v>2466</v>
      </c>
      <c r="C28" s="331">
        <f ca="1">C30</f>
        <v>2773</v>
      </c>
      <c r="D28" s="324">
        <f ca="1">C29</f>
        <v>9.2600000000000002E-2</v>
      </c>
      <c r="E28" s="326" t="s">
        <v>15</v>
      </c>
      <c r="F28" s="332">
        <f ca="1">IF(C1="",'数据-取费表'!Q16,INDIRECT("'数据-取费表'!q"&amp;$K$1))</f>
        <v>0.18</v>
      </c>
      <c r="G28" s="991"/>
      <c r="H28" s="992"/>
      <c r="I28" s="992"/>
      <c r="J28" s="992"/>
      <c r="K28" s="993"/>
    </row>
    <row r="29" spans="1:33" s="335" customFormat="1" ht="13.5" customHeight="1">
      <c r="A29" s="973" t="s">
        <v>801</v>
      </c>
      <c r="B29" s="996" t="s">
        <v>2467</v>
      </c>
      <c r="C29" s="328">
        <f ca="1">ROUND((1+C24)*F28*'数据-取费表'!B24/'数据-取费表'!B20,4)</f>
        <v>9.2600000000000002E-2</v>
      </c>
      <c r="D29" s="328"/>
      <c r="E29" s="329"/>
      <c r="F29" s="334"/>
      <c r="G29" s="140" t="s">
        <v>2468</v>
      </c>
      <c r="H29" s="981"/>
      <c r="I29" s="981"/>
      <c r="J29" s="981"/>
      <c r="K29" s="982"/>
    </row>
    <row r="30" spans="1:33" s="335" customFormat="1" ht="13.5" customHeight="1">
      <c r="A30" s="973" t="s">
        <v>802</v>
      </c>
      <c r="B30" s="996" t="s">
        <v>2469</v>
      </c>
      <c r="C30" s="336">
        <f ca="1">ROUND((C21+C22+C23)*F28,0)</f>
        <v>2773</v>
      </c>
      <c r="D30" s="328"/>
      <c r="E30" s="329"/>
      <c r="F30" s="334"/>
      <c r="G30" s="140"/>
      <c r="H30" s="981"/>
      <c r="I30" s="981"/>
      <c r="J30" s="981"/>
      <c r="K30" s="982"/>
    </row>
    <row r="31" spans="1:33" s="977" customFormat="1" ht="13.5" customHeight="1" thickBot="1">
      <c r="A31" s="2557" t="s">
        <v>2470</v>
      </c>
      <c r="B31" s="1007" t="s">
        <v>2471</v>
      </c>
      <c r="C31" s="1008">
        <f ca="1">ROUND(C4*F31/(1+'数据-取费表'!C42),0)</f>
        <v>26489</v>
      </c>
      <c r="D31" s="1009"/>
      <c r="E31" s="1010"/>
      <c r="F31" s="1011">
        <f>'数据-取费表'!B41</f>
        <v>5.6000000000000001E-2</v>
      </c>
      <c r="G31" s="1012" t="s">
        <v>2472</v>
      </c>
      <c r="H31" s="1013"/>
      <c r="I31" s="1013"/>
      <c r="J31" s="1013"/>
      <c r="K31" s="1014"/>
    </row>
    <row r="32" spans="1:33" s="972" customFormat="1" ht="13.5" customHeight="1" thickBot="1">
      <c r="A32" s="1002" t="s">
        <v>2473</v>
      </c>
      <c r="B32" s="1003"/>
      <c r="C32" s="1004">
        <f ca="1">ROUND((C4-C21-C22-C23-C25-C28-C31)/(1+C24+D25+D28),0)</f>
        <v>377532</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517" t="s">
        <v>2492</v>
      </c>
      <c r="D4" s="3518"/>
      <c r="E4" s="3519" t="s">
        <v>2493</v>
      </c>
      <c r="F4" s="3520"/>
      <c r="G4" s="3517" t="s">
        <v>2494</v>
      </c>
      <c r="H4" s="3518"/>
      <c r="I4" s="3517" t="s">
        <v>2495</v>
      </c>
      <c r="J4" s="3518"/>
      <c r="K4" s="2593" t="s">
        <v>2496</v>
      </c>
      <c r="L4" s="1132"/>
      <c r="M4" s="1133"/>
      <c r="N4" s="1133"/>
      <c r="O4" s="1133"/>
      <c r="P4" s="3521" t="s">
        <v>2497</v>
      </c>
      <c r="Q4" s="3522"/>
      <c r="R4" s="3503" t="s">
        <v>2493</v>
      </c>
      <c r="S4" s="3504"/>
      <c r="T4" s="3503" t="s">
        <v>2494</v>
      </c>
      <c r="U4" s="3504"/>
      <c r="V4" s="3529" t="s">
        <v>2495</v>
      </c>
      <c r="W4" s="3529"/>
      <c r="X4" s="1815"/>
      <c r="Y4" s="3503" t="s">
        <v>2497</v>
      </c>
      <c r="Z4" s="3504"/>
      <c r="AA4" s="3498" t="s">
        <v>2493</v>
      </c>
      <c r="AB4" s="3498" t="s">
        <v>2494</v>
      </c>
      <c r="AC4" s="3498" t="s">
        <v>2495</v>
      </c>
    </row>
    <row r="5" spans="1:29" ht="15">
      <c r="A5" s="404"/>
      <c r="B5" s="405"/>
      <c r="C5" s="3509" t="s">
        <v>2498</v>
      </c>
      <c r="D5" s="3510"/>
      <c r="E5" s="3545" t="s">
        <v>2499</v>
      </c>
      <c r="F5" s="3508"/>
      <c r="G5" s="3509" t="s">
        <v>2500</v>
      </c>
      <c r="H5" s="3510"/>
      <c r="I5" s="3509" t="s">
        <v>2501</v>
      </c>
      <c r="J5" s="3510"/>
      <c r="K5" s="2594"/>
      <c r="L5" s="1132"/>
      <c r="M5" s="1133"/>
      <c r="N5" s="1133"/>
      <c r="O5" s="1133"/>
      <c r="P5" s="3523"/>
      <c r="Q5" s="3524"/>
      <c r="R5" s="3505"/>
      <c r="S5" s="3506"/>
      <c r="T5" s="3505"/>
      <c r="U5" s="3506"/>
      <c r="V5" s="3529"/>
      <c r="W5" s="3529"/>
      <c r="X5" s="1815"/>
      <c r="Y5" s="3505"/>
      <c r="Z5" s="3506"/>
      <c r="AA5" s="3499"/>
      <c r="AB5" s="3499"/>
      <c r="AC5" s="3499"/>
    </row>
    <row r="6" spans="1:29" ht="15.75" thickBot="1">
      <c r="A6" s="406"/>
      <c r="B6" s="407"/>
      <c r="C6" s="3511" t="s">
        <v>2502</v>
      </c>
      <c r="D6" s="3512"/>
      <c r="E6" s="3514" t="s">
        <v>2502</v>
      </c>
      <c r="F6" s="3515"/>
      <c r="G6" s="3511" t="s">
        <v>2502</v>
      </c>
      <c r="H6" s="3512"/>
      <c r="I6" s="3511" t="s">
        <v>2502</v>
      </c>
      <c r="J6" s="3512"/>
      <c r="K6" s="2594" t="s">
        <v>2503</v>
      </c>
      <c r="L6" s="1132"/>
      <c r="M6" s="1133"/>
      <c r="N6" s="1133"/>
      <c r="O6" s="1133"/>
      <c r="P6" s="3525"/>
      <c r="Q6" s="3526"/>
      <c r="R6" s="3505"/>
      <c r="S6" s="3506"/>
      <c r="T6" s="3527"/>
      <c r="U6" s="3528"/>
      <c r="V6" s="3529"/>
      <c r="W6" s="3529"/>
      <c r="X6" s="1815"/>
      <c r="Y6" s="3527"/>
      <c r="Z6" s="3528"/>
      <c r="AA6" s="3500"/>
      <c r="AB6" s="3500"/>
      <c r="AC6" s="3500"/>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01" t="s">
        <v>2505</v>
      </c>
      <c r="Q7" s="3530"/>
      <c r="R7" s="770" t="s">
        <v>22</v>
      </c>
      <c r="S7" s="771">
        <f t="shared" ref="S7:S15" si="0">F7</f>
        <v>0</v>
      </c>
      <c r="T7" s="770" t="s">
        <v>22</v>
      </c>
      <c r="U7" s="771">
        <f t="shared" ref="U7:U15" si="1">H7</f>
        <v>0</v>
      </c>
      <c r="V7" s="770" t="s">
        <v>22</v>
      </c>
      <c r="W7" s="771">
        <f t="shared" ref="W7:W15" si="2">J7</f>
        <v>0</v>
      </c>
      <c r="X7" s="772"/>
      <c r="Y7" s="3501" t="s">
        <v>2505</v>
      </c>
      <c r="Z7" s="3502"/>
      <c r="AA7" s="773" t="e">
        <f>D7/F7</f>
        <v>#DIV/0!</v>
      </c>
      <c r="AB7" s="773" t="e">
        <f>D7/H7</f>
        <v>#DIV/0!</v>
      </c>
      <c r="AC7" s="773" t="e">
        <f>D7/J7</f>
        <v>#DIV/0!</v>
      </c>
    </row>
    <row r="8" spans="1:29" s="117" customFormat="1" ht="15.75" thickBot="1">
      <c r="A8" s="408" t="s">
        <v>2506</v>
      </c>
      <c r="B8" s="409"/>
      <c r="C8" s="414" t="s">
        <v>2507</v>
      </c>
      <c r="D8" s="411">
        <v>100</v>
      </c>
      <c r="E8" s="2596" t="s">
        <v>3003</v>
      </c>
      <c r="F8" s="413">
        <f>SUMIF(61:61,E8,62:62)-SUMIF(61:61,C8,62:62)+100</f>
        <v>100</v>
      </c>
      <c r="G8" s="414" t="s">
        <v>3003</v>
      </c>
      <c r="H8" s="411">
        <f>SUMIF(61:61,G8,62:62)-SUMIF(61:61,C8,62:62)+100</f>
        <v>100</v>
      </c>
      <c r="I8" s="2596" t="s">
        <v>3003</v>
      </c>
      <c r="J8" s="411">
        <f>SUMIF(61:61,I8,62:62)-SUMIF(61:61,C8,62:62)+100</f>
        <v>100</v>
      </c>
      <c r="K8" s="2595"/>
      <c r="L8" s="1134"/>
      <c r="M8" s="1135"/>
      <c r="N8" s="1135"/>
      <c r="O8" s="1135"/>
      <c r="P8" s="3501" t="s">
        <v>2508</v>
      </c>
      <c r="Q8" s="3502"/>
      <c r="R8" s="770" t="s">
        <v>22</v>
      </c>
      <c r="S8" s="771">
        <f t="shared" si="0"/>
        <v>100</v>
      </c>
      <c r="T8" s="770" t="s">
        <v>22</v>
      </c>
      <c r="U8" s="771">
        <f t="shared" si="1"/>
        <v>100</v>
      </c>
      <c r="V8" s="770" t="s">
        <v>22</v>
      </c>
      <c r="W8" s="771">
        <f t="shared" si="2"/>
        <v>100</v>
      </c>
      <c r="X8" s="772"/>
      <c r="Y8" s="3501" t="s">
        <v>2508</v>
      </c>
      <c r="Z8" s="3502"/>
      <c r="AA8" s="773">
        <f t="shared" ref="AA8:AA19" si="3">D8/F8</f>
        <v>1</v>
      </c>
      <c r="AB8" s="773">
        <f t="shared" ref="AB8:AB19" si="4">D8/H8</f>
        <v>1</v>
      </c>
      <c r="AC8" s="773">
        <f t="shared" ref="AC8:AC19" si="5">D8/J8</f>
        <v>1</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40" t="s">
        <v>2511</v>
      </c>
      <c r="Q9" s="1797" t="str">
        <f t="shared" ref="Q9:Q15" si="6">B9</f>
        <v>用途</v>
      </c>
      <c r="R9" s="770" t="s">
        <v>17</v>
      </c>
      <c r="S9" s="771">
        <f t="shared" si="0"/>
        <v>100</v>
      </c>
      <c r="T9" s="770" t="s">
        <v>17</v>
      </c>
      <c r="U9" s="771">
        <f t="shared" si="1"/>
        <v>100</v>
      </c>
      <c r="V9" s="770" t="s">
        <v>17</v>
      </c>
      <c r="W9" s="771">
        <f t="shared" si="2"/>
        <v>100</v>
      </c>
      <c r="X9" s="772"/>
      <c r="Y9" s="3378"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40"/>
      <c r="Q10" s="1797" t="str">
        <f t="shared" si="6"/>
        <v>土地使用年限（年）</v>
      </c>
      <c r="R10" s="770" t="s">
        <v>17</v>
      </c>
      <c r="S10" s="771">
        <f t="shared" si="0"/>
        <v>100</v>
      </c>
      <c r="T10" s="770" t="s">
        <v>17</v>
      </c>
      <c r="U10" s="771">
        <f t="shared" si="1"/>
        <v>100</v>
      </c>
      <c r="V10" s="770" t="s">
        <v>17</v>
      </c>
      <c r="W10" s="771">
        <f t="shared" si="2"/>
        <v>100</v>
      </c>
      <c r="X10" s="772"/>
      <c r="Y10" s="3378"/>
      <c r="Z10" s="55" t="str">
        <f t="shared" si="7"/>
        <v>土地使用年限（年）</v>
      </c>
      <c r="AA10" s="773">
        <f t="shared" si="3"/>
        <v>1</v>
      </c>
      <c r="AB10" s="773">
        <f t="shared" si="4"/>
        <v>1</v>
      </c>
      <c r="AC10" s="773">
        <f t="shared" si="5"/>
        <v>1</v>
      </c>
    </row>
    <row r="11" spans="1:29" ht="15">
      <c r="A11" s="428"/>
      <c r="B11" s="422" t="s">
        <v>2514</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540"/>
      <c r="Q11" s="1797" t="str">
        <f t="shared" si="6"/>
        <v>容积率</v>
      </c>
      <c r="R11" s="770" t="s">
        <v>21</v>
      </c>
      <c r="S11" s="771">
        <f t="shared" si="0"/>
        <v>100</v>
      </c>
      <c r="T11" s="770" t="s">
        <v>21</v>
      </c>
      <c r="U11" s="771">
        <f t="shared" si="1"/>
        <v>100</v>
      </c>
      <c r="V11" s="770" t="s">
        <v>21</v>
      </c>
      <c r="W11" s="771">
        <f t="shared" si="2"/>
        <v>100</v>
      </c>
      <c r="X11" s="772"/>
      <c r="Y11" s="3378"/>
      <c r="Z11" s="55" t="str">
        <f t="shared" si="7"/>
        <v>容积率</v>
      </c>
      <c r="AA11" s="773">
        <f t="shared" si="3"/>
        <v>1</v>
      </c>
      <c r="AB11" s="773">
        <f t="shared" si="4"/>
        <v>1</v>
      </c>
      <c r="AC11" s="773">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40"/>
      <c r="Q12" s="1797">
        <f t="shared" si="6"/>
        <v>111</v>
      </c>
      <c r="R12" s="770" t="s">
        <v>21</v>
      </c>
      <c r="S12" s="771">
        <f t="shared" si="0"/>
        <v>100</v>
      </c>
      <c r="T12" s="770" t="s">
        <v>21</v>
      </c>
      <c r="U12" s="771">
        <f t="shared" si="1"/>
        <v>100</v>
      </c>
      <c r="V12" s="770" t="s">
        <v>21</v>
      </c>
      <c r="W12" s="771">
        <f t="shared" si="2"/>
        <v>100</v>
      </c>
      <c r="X12" s="772"/>
      <c r="Y12" s="337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40"/>
      <c r="Q13" s="1797">
        <f t="shared" si="6"/>
        <v>111</v>
      </c>
      <c r="R13" s="770" t="s">
        <v>21</v>
      </c>
      <c r="S13" s="771">
        <f t="shared" si="0"/>
        <v>100</v>
      </c>
      <c r="T13" s="770" t="s">
        <v>21</v>
      </c>
      <c r="U13" s="771">
        <f t="shared" si="1"/>
        <v>100</v>
      </c>
      <c r="V13" s="770" t="s">
        <v>21</v>
      </c>
      <c r="W13" s="771">
        <f t="shared" si="2"/>
        <v>100</v>
      </c>
      <c r="X13" s="772"/>
      <c r="Y13" s="3378"/>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40"/>
      <c r="Q14" s="1797">
        <f t="shared" si="6"/>
        <v>111</v>
      </c>
      <c r="R14" s="770" t="s">
        <v>21</v>
      </c>
      <c r="S14" s="771">
        <f t="shared" si="0"/>
        <v>100</v>
      </c>
      <c r="T14" s="770" t="s">
        <v>21</v>
      </c>
      <c r="U14" s="771">
        <f t="shared" si="1"/>
        <v>100</v>
      </c>
      <c r="V14" s="770" t="s">
        <v>21</v>
      </c>
      <c r="W14" s="771">
        <f t="shared" si="2"/>
        <v>100</v>
      </c>
      <c r="X14" s="772"/>
      <c r="Y14" s="3378"/>
      <c r="Z14" s="55">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52" t="s">
        <v>2516</v>
      </c>
      <c r="Q15" s="1812" t="str">
        <f t="shared" si="6"/>
        <v>居住社区成熟度</v>
      </c>
      <c r="R15" s="774" t="s">
        <v>21</v>
      </c>
      <c r="S15" s="775">
        <f t="shared" si="0"/>
        <v>100</v>
      </c>
      <c r="T15" s="774" t="s">
        <v>21</v>
      </c>
      <c r="U15" s="775">
        <f t="shared" si="1"/>
        <v>100</v>
      </c>
      <c r="V15" s="774" t="s">
        <v>21</v>
      </c>
      <c r="W15" s="775">
        <f t="shared" si="2"/>
        <v>100</v>
      </c>
      <c r="X15" s="1815"/>
      <c r="Y15" s="3531" t="s">
        <v>2516</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2"/>
      <c r="M16" s="1133"/>
      <c r="N16" s="1133"/>
      <c r="O16" s="1133"/>
      <c r="P16" s="3553"/>
      <c r="Q16" s="1812"/>
      <c r="R16" s="774"/>
      <c r="S16" s="775"/>
      <c r="T16" s="774"/>
      <c r="U16" s="775"/>
      <c r="V16" s="774"/>
      <c r="W16" s="775"/>
      <c r="X16" s="1815"/>
      <c r="Y16" s="3532"/>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53"/>
      <c r="Q17" s="1812" t="str">
        <f>B17</f>
        <v>交通便捷度</v>
      </c>
      <c r="R17" s="774" t="s">
        <v>21</v>
      </c>
      <c r="S17" s="775">
        <f>F17</f>
        <v>100</v>
      </c>
      <c r="T17" s="774" t="s">
        <v>21</v>
      </c>
      <c r="U17" s="775">
        <f>H17</f>
        <v>100</v>
      </c>
      <c r="V17" s="774" t="s">
        <v>21</v>
      </c>
      <c r="W17" s="775">
        <f>J17</f>
        <v>100</v>
      </c>
      <c r="X17" s="1815"/>
      <c r="Y17" s="3532"/>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2"/>
      <c r="M18" s="1133"/>
      <c r="N18" s="1133"/>
      <c r="O18" s="1133"/>
      <c r="P18" s="3553"/>
      <c r="Q18" s="1812"/>
      <c r="R18" s="774"/>
      <c r="S18" s="775"/>
      <c r="T18" s="774"/>
      <c r="U18" s="775"/>
      <c r="V18" s="774"/>
      <c r="W18" s="775"/>
      <c r="X18" s="1815"/>
      <c r="Y18" s="3532"/>
      <c r="Z18" s="1816"/>
      <c r="AA18" s="1813">
        <v>1</v>
      </c>
      <c r="AB18" s="1813">
        <v>1</v>
      </c>
      <c r="AC18" s="1813">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53"/>
      <c r="Q19" s="1812" t="str">
        <f>B19</f>
        <v>公共配套设施</v>
      </c>
      <c r="R19" s="774" t="s">
        <v>21</v>
      </c>
      <c r="S19" s="775">
        <f>F19</f>
        <v>100</v>
      </c>
      <c r="T19" s="774" t="s">
        <v>21</v>
      </c>
      <c r="U19" s="775">
        <f>H19</f>
        <v>100</v>
      </c>
      <c r="V19" s="774" t="s">
        <v>21</v>
      </c>
      <c r="W19" s="775">
        <f>J19</f>
        <v>100</v>
      </c>
      <c r="X19" s="1815"/>
      <c r="Y19" s="3532"/>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2"/>
      <c r="M20" s="1133"/>
      <c r="N20" s="1133"/>
      <c r="O20" s="1133"/>
      <c r="P20" s="3553"/>
      <c r="Q20" s="1812"/>
      <c r="R20" s="774"/>
      <c r="S20" s="775"/>
      <c r="T20" s="774"/>
      <c r="U20" s="775"/>
      <c r="V20" s="774"/>
      <c r="W20" s="775"/>
      <c r="X20" s="1815"/>
      <c r="Y20" s="3532"/>
      <c r="Z20" s="1816"/>
      <c r="AA20" s="1813">
        <v>1</v>
      </c>
      <c r="AB20" s="1813">
        <v>1</v>
      </c>
      <c r="AC20" s="1813">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53"/>
      <c r="Q21" s="1812" t="str">
        <f>B21</f>
        <v>基础设施水平</v>
      </c>
      <c r="R21" s="774" t="s">
        <v>17</v>
      </c>
      <c r="S21" s="775">
        <f>F21</f>
        <v>100</v>
      </c>
      <c r="T21" s="774" t="s">
        <v>17</v>
      </c>
      <c r="U21" s="775">
        <f>H21</f>
        <v>100</v>
      </c>
      <c r="V21" s="774" t="s">
        <v>17</v>
      </c>
      <c r="W21" s="775">
        <f>J21</f>
        <v>100</v>
      </c>
      <c r="X21" s="1815"/>
      <c r="Y21" s="3532"/>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8"/>
      <c r="G22" s="2608"/>
      <c r="H22" s="448"/>
      <c r="I22" s="447"/>
      <c r="J22" s="448"/>
      <c r="K22" s="2609"/>
      <c r="L22" s="1142"/>
      <c r="M22" s="1133"/>
      <c r="N22" s="1133"/>
      <c r="O22" s="1133"/>
      <c r="P22" s="3553"/>
      <c r="Q22" s="1812"/>
      <c r="R22" s="774"/>
      <c r="S22" s="775"/>
      <c r="T22" s="774"/>
      <c r="U22" s="775"/>
      <c r="V22" s="774"/>
      <c r="W22" s="775"/>
      <c r="X22" s="1815"/>
      <c r="Y22" s="3532"/>
      <c r="Z22" s="1816"/>
      <c r="AA22" s="1813">
        <v>1</v>
      </c>
      <c r="AB22" s="1813">
        <v>1</v>
      </c>
      <c r="AC22" s="1813">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53"/>
      <c r="Q23" s="1812" t="str">
        <f>B23</f>
        <v>自然及人文环境</v>
      </c>
      <c r="R23" s="774" t="s">
        <v>21</v>
      </c>
      <c r="S23" s="775">
        <f>F23</f>
        <v>100</v>
      </c>
      <c r="T23" s="774" t="s">
        <v>21</v>
      </c>
      <c r="U23" s="775">
        <f>H23</f>
        <v>100</v>
      </c>
      <c r="V23" s="774" t="s">
        <v>21</v>
      </c>
      <c r="W23" s="775">
        <f>J23</f>
        <v>100</v>
      </c>
      <c r="X23" s="1815"/>
      <c r="Y23" s="3532"/>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2"/>
      <c r="M24" s="1133"/>
      <c r="N24" s="1133"/>
      <c r="O24" s="1133"/>
      <c r="P24" s="3553"/>
      <c r="Q24" s="1812"/>
      <c r="R24" s="774"/>
      <c r="S24" s="775"/>
      <c r="T24" s="774"/>
      <c r="U24" s="775"/>
      <c r="V24" s="774"/>
      <c r="W24" s="775"/>
      <c r="X24" s="1815"/>
      <c r="Y24" s="3532"/>
      <c r="Z24" s="1816"/>
      <c r="AA24" s="1813">
        <v>1</v>
      </c>
      <c r="AB24" s="1813">
        <v>1</v>
      </c>
      <c r="AC24" s="1813">
        <v>1</v>
      </c>
    </row>
    <row r="25" spans="1:29" ht="15">
      <c r="A25" s="428"/>
      <c r="B25" s="422"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5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532"/>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53"/>
      <c r="Q26" s="1812" t="str">
        <f t="shared" si="11"/>
        <v>朝向</v>
      </c>
      <c r="R26" s="774" t="s">
        <v>21</v>
      </c>
      <c r="S26" s="775">
        <f t="shared" si="12"/>
        <v>100</v>
      </c>
      <c r="T26" s="774" t="s">
        <v>21</v>
      </c>
      <c r="U26" s="775">
        <f t="shared" si="13"/>
        <v>100</v>
      </c>
      <c r="V26" s="774" t="s">
        <v>21</v>
      </c>
      <c r="W26" s="775">
        <f t="shared" si="14"/>
        <v>100</v>
      </c>
      <c r="X26" s="1815"/>
      <c r="Y26" s="353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53"/>
      <c r="Q27" s="1797">
        <f t="shared" si="11"/>
        <v>111</v>
      </c>
      <c r="R27" s="770" t="s">
        <v>21</v>
      </c>
      <c r="S27" s="771">
        <f t="shared" si="12"/>
        <v>100</v>
      </c>
      <c r="T27" s="770" t="s">
        <v>21</v>
      </c>
      <c r="U27" s="771">
        <f t="shared" si="13"/>
        <v>100</v>
      </c>
      <c r="V27" s="770" t="s">
        <v>21</v>
      </c>
      <c r="W27" s="771">
        <f t="shared" si="14"/>
        <v>100</v>
      </c>
      <c r="X27" s="772"/>
      <c r="Y27" s="353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53"/>
      <c r="Q28" s="1812">
        <f t="shared" si="11"/>
        <v>111</v>
      </c>
      <c r="R28" s="774" t="s">
        <v>21</v>
      </c>
      <c r="S28" s="775">
        <f t="shared" si="12"/>
        <v>100</v>
      </c>
      <c r="T28" s="774" t="s">
        <v>21</v>
      </c>
      <c r="U28" s="775">
        <f t="shared" si="13"/>
        <v>100</v>
      </c>
      <c r="V28" s="774" t="s">
        <v>21</v>
      </c>
      <c r="W28" s="775">
        <f t="shared" si="14"/>
        <v>100</v>
      </c>
      <c r="X28" s="1815"/>
      <c r="Y28" s="353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53"/>
      <c r="Q29" s="1812">
        <f t="shared" si="11"/>
        <v>111</v>
      </c>
      <c r="R29" s="774" t="s">
        <v>21</v>
      </c>
      <c r="S29" s="775">
        <f t="shared" si="12"/>
        <v>100</v>
      </c>
      <c r="T29" s="774" t="s">
        <v>21</v>
      </c>
      <c r="U29" s="775">
        <f t="shared" si="13"/>
        <v>100</v>
      </c>
      <c r="V29" s="774" t="s">
        <v>21</v>
      </c>
      <c r="W29" s="775">
        <f t="shared" si="14"/>
        <v>100</v>
      </c>
      <c r="X29" s="1815"/>
      <c r="Y29" s="353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53"/>
      <c r="Q30" s="1812">
        <f t="shared" si="11"/>
        <v>111</v>
      </c>
      <c r="R30" s="774" t="s">
        <v>21</v>
      </c>
      <c r="S30" s="775">
        <f t="shared" si="12"/>
        <v>100</v>
      </c>
      <c r="T30" s="774" t="s">
        <v>21</v>
      </c>
      <c r="U30" s="775">
        <f t="shared" si="13"/>
        <v>100</v>
      </c>
      <c r="V30" s="774" t="s">
        <v>21</v>
      </c>
      <c r="W30" s="775">
        <f t="shared" si="14"/>
        <v>100</v>
      </c>
      <c r="X30" s="1815"/>
      <c r="Y30" s="353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53"/>
      <c r="Q31" s="1812">
        <f t="shared" si="11"/>
        <v>111</v>
      </c>
      <c r="R31" s="774" t="s">
        <v>21</v>
      </c>
      <c r="S31" s="775">
        <f t="shared" si="12"/>
        <v>100</v>
      </c>
      <c r="T31" s="774" t="s">
        <v>21</v>
      </c>
      <c r="U31" s="775">
        <f t="shared" si="13"/>
        <v>100</v>
      </c>
      <c r="V31" s="774" t="s">
        <v>21</v>
      </c>
      <c r="W31" s="775">
        <f t="shared" si="14"/>
        <v>100</v>
      </c>
      <c r="X31" s="1815"/>
      <c r="Y31" s="3532"/>
      <c r="Z31" s="1816">
        <f t="shared" si="18"/>
        <v>111</v>
      </c>
      <c r="AA31" s="1813">
        <f t="shared" si="15"/>
        <v>1</v>
      </c>
      <c r="AB31" s="1813">
        <f t="shared" si="16"/>
        <v>1</v>
      </c>
      <c r="AC31" s="1813">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48" t="s">
        <v>2521</v>
      </c>
      <c r="Q32" s="1812" t="str">
        <f t="shared" si="11"/>
        <v>建筑类型</v>
      </c>
      <c r="R32" s="774" t="s">
        <v>21</v>
      </c>
      <c r="S32" s="775">
        <f t="shared" si="12"/>
        <v>100</v>
      </c>
      <c r="T32" s="774" t="s">
        <v>21</v>
      </c>
      <c r="U32" s="775">
        <f t="shared" si="13"/>
        <v>100</v>
      </c>
      <c r="V32" s="774" t="s">
        <v>21</v>
      </c>
      <c r="W32" s="775">
        <f t="shared" si="14"/>
        <v>100</v>
      </c>
      <c r="X32" s="1815"/>
      <c r="Y32" s="3534"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40"/>
      <c r="M33" s="1143"/>
      <c r="N33" s="1143"/>
      <c r="O33" s="1143"/>
      <c r="P33" s="3549"/>
      <c r="Q33" s="776" t="str">
        <f t="shared" si="11"/>
        <v>项目建筑规模</v>
      </c>
      <c r="R33" s="777" t="s">
        <v>21</v>
      </c>
      <c r="S33" s="778">
        <f t="shared" si="12"/>
        <v>100</v>
      </c>
      <c r="T33" s="777" t="s">
        <v>21</v>
      </c>
      <c r="U33" s="778">
        <f t="shared" si="13"/>
        <v>100</v>
      </c>
      <c r="V33" s="777" t="s">
        <v>21</v>
      </c>
      <c r="W33" s="778">
        <f t="shared" si="14"/>
        <v>100</v>
      </c>
      <c r="X33" s="779"/>
      <c r="Y33" s="3534"/>
      <c r="Z33" s="780" t="str">
        <f t="shared" si="18"/>
        <v>项目建筑规模</v>
      </c>
      <c r="AA33" s="1813">
        <f t="shared" si="15"/>
        <v>1</v>
      </c>
      <c r="AB33" s="1813">
        <f t="shared" si="16"/>
        <v>1</v>
      </c>
      <c r="AC33" s="1813">
        <f t="shared" si="17"/>
        <v>1</v>
      </c>
    </row>
    <row r="34" spans="1:29" ht="15">
      <c r="A34" s="472"/>
      <c r="B34" s="422"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49"/>
      <c r="Q34" s="1812" t="str">
        <f t="shared" si="11"/>
        <v>建筑结构</v>
      </c>
      <c r="R34" s="774" t="s">
        <v>21</v>
      </c>
      <c r="S34" s="775">
        <f t="shared" si="12"/>
        <v>100</v>
      </c>
      <c r="T34" s="774" t="s">
        <v>21</v>
      </c>
      <c r="U34" s="775">
        <f t="shared" si="13"/>
        <v>100</v>
      </c>
      <c r="V34" s="774" t="s">
        <v>21</v>
      </c>
      <c r="W34" s="775">
        <f t="shared" si="14"/>
        <v>100</v>
      </c>
      <c r="X34" s="1815"/>
      <c r="Y34" s="3534"/>
      <c r="Z34" s="1816" t="str">
        <f t="shared" si="18"/>
        <v>建筑结构</v>
      </c>
      <c r="AA34" s="1813">
        <f t="shared" si="15"/>
        <v>1</v>
      </c>
      <c r="AB34" s="1813">
        <f t="shared" si="16"/>
        <v>1</v>
      </c>
      <c r="AC34" s="1813">
        <f t="shared" si="17"/>
        <v>1</v>
      </c>
    </row>
    <row r="35" spans="1:29" ht="15">
      <c r="A35" s="472"/>
      <c r="B35" s="422"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49"/>
      <c r="Q35" s="1812" t="str">
        <f t="shared" si="11"/>
        <v>建筑品质</v>
      </c>
      <c r="R35" s="774" t="s">
        <v>21</v>
      </c>
      <c r="S35" s="775">
        <f t="shared" si="12"/>
        <v>100</v>
      </c>
      <c r="T35" s="774" t="s">
        <v>21</v>
      </c>
      <c r="U35" s="775">
        <f t="shared" si="13"/>
        <v>100</v>
      </c>
      <c r="V35" s="774" t="s">
        <v>21</v>
      </c>
      <c r="W35" s="775">
        <f t="shared" si="14"/>
        <v>100</v>
      </c>
      <c r="X35" s="1815"/>
      <c r="Y35" s="3534"/>
      <c r="Z35" s="1816" t="str">
        <f t="shared" si="18"/>
        <v>建筑品质</v>
      </c>
      <c r="AA35" s="1813">
        <f t="shared" si="15"/>
        <v>1</v>
      </c>
      <c r="AB35" s="1813">
        <f t="shared" si="16"/>
        <v>1</v>
      </c>
      <c r="AC35" s="1813">
        <f t="shared" si="17"/>
        <v>1</v>
      </c>
    </row>
    <row r="36" spans="1:29" ht="15">
      <c r="A36" s="472"/>
      <c r="B36" s="422"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49"/>
      <c r="Q36" s="1812" t="str">
        <f t="shared" si="11"/>
        <v>公共部分装修</v>
      </c>
      <c r="R36" s="774" t="s">
        <v>21</v>
      </c>
      <c r="S36" s="775">
        <f t="shared" si="12"/>
        <v>100</v>
      </c>
      <c r="T36" s="774" t="s">
        <v>21</v>
      </c>
      <c r="U36" s="775">
        <f t="shared" si="13"/>
        <v>100</v>
      </c>
      <c r="V36" s="774" t="s">
        <v>21</v>
      </c>
      <c r="W36" s="775">
        <f t="shared" si="14"/>
        <v>100</v>
      </c>
      <c r="X36" s="1815"/>
      <c r="Y36" s="3534"/>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49"/>
      <c r="Q37" s="1797" t="str">
        <f t="shared" si="11"/>
        <v>成新度</v>
      </c>
      <c r="R37" s="770" t="s">
        <v>21</v>
      </c>
      <c r="S37" s="771" t="e">
        <f t="shared" si="12"/>
        <v>#N/A</v>
      </c>
      <c r="T37" s="770" t="s">
        <v>21</v>
      </c>
      <c r="U37" s="771" t="e">
        <f t="shared" si="13"/>
        <v>#N/A</v>
      </c>
      <c r="V37" s="770" t="s">
        <v>21</v>
      </c>
      <c r="W37" s="771" t="e">
        <f t="shared" si="14"/>
        <v>#N/A</v>
      </c>
      <c r="X37" s="772"/>
      <c r="Y37" s="3534"/>
      <c r="Z37" s="55" t="str">
        <f t="shared" si="18"/>
        <v>成新度</v>
      </c>
      <c r="AA37" s="773" t="e">
        <f t="shared" si="15"/>
        <v>#N/A</v>
      </c>
      <c r="AB37" s="773" t="e">
        <f t="shared" si="16"/>
        <v>#N/A</v>
      </c>
      <c r="AC37" s="773" t="e">
        <f t="shared" si="17"/>
        <v>#N/A</v>
      </c>
    </row>
    <row r="38" spans="1:29" ht="15">
      <c r="A38" s="472"/>
      <c r="B38" s="422"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49" t="s">
        <v>2521</v>
      </c>
      <c r="Q38" s="1812" t="str">
        <f t="shared" si="11"/>
        <v>物业管理</v>
      </c>
      <c r="R38" s="774" t="s">
        <v>21</v>
      </c>
      <c r="S38" s="775">
        <f t="shared" si="12"/>
        <v>100</v>
      </c>
      <c r="T38" s="774" t="s">
        <v>21</v>
      </c>
      <c r="U38" s="775">
        <f t="shared" si="13"/>
        <v>100</v>
      </c>
      <c r="V38" s="774" t="s">
        <v>21</v>
      </c>
      <c r="W38" s="775">
        <f t="shared" si="14"/>
        <v>100</v>
      </c>
      <c r="X38" s="1815"/>
      <c r="Y38" s="3534" t="s">
        <v>2521</v>
      </c>
      <c r="Z38" s="1816" t="str">
        <f t="shared" si="18"/>
        <v>物业管理</v>
      </c>
      <c r="AA38" s="1813">
        <f t="shared" si="15"/>
        <v>1</v>
      </c>
      <c r="AB38" s="1813">
        <f t="shared" si="16"/>
        <v>1</v>
      </c>
      <c r="AC38" s="1813">
        <f t="shared" si="17"/>
        <v>1</v>
      </c>
    </row>
    <row r="39" spans="1:29" ht="15">
      <c r="A39" s="472"/>
      <c r="B39" s="422"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49"/>
      <c r="Q39" s="1812" t="str">
        <f t="shared" si="11"/>
        <v>市政基础设施</v>
      </c>
      <c r="R39" s="774" t="s">
        <v>21</v>
      </c>
      <c r="S39" s="775">
        <f t="shared" si="12"/>
        <v>100</v>
      </c>
      <c r="T39" s="774" t="s">
        <v>21</v>
      </c>
      <c r="U39" s="775">
        <f t="shared" si="13"/>
        <v>100</v>
      </c>
      <c r="V39" s="774" t="s">
        <v>21</v>
      </c>
      <c r="W39" s="775">
        <f t="shared" si="14"/>
        <v>100</v>
      </c>
      <c r="X39" s="1815"/>
      <c r="Y39" s="3534"/>
      <c r="Z39" s="1816" t="str">
        <f t="shared" si="18"/>
        <v>市政基础设施</v>
      </c>
      <c r="AA39" s="1813">
        <f t="shared" si="15"/>
        <v>1</v>
      </c>
      <c r="AB39" s="1813">
        <f t="shared" si="16"/>
        <v>1</v>
      </c>
      <c r="AC39" s="1813">
        <f t="shared" si="17"/>
        <v>1</v>
      </c>
    </row>
    <row r="40" spans="1:29" ht="15">
      <c r="A40" s="472"/>
      <c r="B40" s="422"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49"/>
      <c r="Q40" s="1812" t="str">
        <f t="shared" si="11"/>
        <v>房型</v>
      </c>
      <c r="R40" s="774" t="s">
        <v>21</v>
      </c>
      <c r="S40" s="775">
        <f t="shared" si="12"/>
        <v>100</v>
      </c>
      <c r="T40" s="774" t="s">
        <v>21</v>
      </c>
      <c r="U40" s="775">
        <f t="shared" si="13"/>
        <v>100</v>
      </c>
      <c r="V40" s="774" t="s">
        <v>21</v>
      </c>
      <c r="W40" s="775">
        <f t="shared" si="14"/>
        <v>100</v>
      </c>
      <c r="X40" s="1815"/>
      <c r="Y40" s="3534"/>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49"/>
      <c r="Q41" s="776" t="str">
        <f t="shared" si="11"/>
        <v>单套/主力户型建筑面积</v>
      </c>
      <c r="R41" s="777" t="s">
        <v>21</v>
      </c>
      <c r="S41" s="778">
        <f t="shared" si="12"/>
        <v>100</v>
      </c>
      <c r="T41" s="777" t="s">
        <v>21</v>
      </c>
      <c r="U41" s="778">
        <f t="shared" si="13"/>
        <v>100</v>
      </c>
      <c r="V41" s="777" t="s">
        <v>21</v>
      </c>
      <c r="W41" s="778">
        <f t="shared" si="14"/>
        <v>100</v>
      </c>
      <c r="X41" s="779"/>
      <c r="Y41" s="3534"/>
      <c r="Z41" s="780" t="str">
        <f t="shared" si="18"/>
        <v>单套/主力户型建筑面积</v>
      </c>
      <c r="AA41" s="1813">
        <f t="shared" si="15"/>
        <v>1</v>
      </c>
      <c r="AB41" s="1813">
        <f t="shared" si="16"/>
        <v>1</v>
      </c>
      <c r="AC41" s="1813">
        <f t="shared" si="17"/>
        <v>1</v>
      </c>
    </row>
    <row r="42" spans="1:29" ht="15">
      <c r="A42" s="472"/>
      <c r="B42" s="422"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49"/>
      <c r="Q42" s="1812" t="str">
        <f t="shared" si="11"/>
        <v>内部装修</v>
      </c>
      <c r="R42" s="774" t="s">
        <v>21</v>
      </c>
      <c r="S42" s="775">
        <f t="shared" si="12"/>
        <v>100</v>
      </c>
      <c r="T42" s="774" t="s">
        <v>21</v>
      </c>
      <c r="U42" s="775">
        <f t="shared" si="13"/>
        <v>100</v>
      </c>
      <c r="V42" s="774" t="s">
        <v>21</v>
      </c>
      <c r="W42" s="775">
        <f t="shared" si="14"/>
        <v>100</v>
      </c>
      <c r="X42" s="1815"/>
      <c r="Y42" s="3534"/>
      <c r="Z42" s="1816" t="str">
        <f t="shared" si="18"/>
        <v>内部装修</v>
      </c>
      <c r="AA42" s="1813">
        <f t="shared" si="15"/>
        <v>1</v>
      </c>
      <c r="AB42" s="1813">
        <f t="shared" si="16"/>
        <v>1</v>
      </c>
      <c r="AC42" s="1813">
        <f t="shared" si="17"/>
        <v>1</v>
      </c>
    </row>
    <row r="43" spans="1:29" ht="15">
      <c r="A43" s="472"/>
      <c r="B43" s="422"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49"/>
      <c r="Q43" s="1812" t="str">
        <f t="shared" si="11"/>
        <v>内部装修维护情况</v>
      </c>
      <c r="R43" s="774" t="s">
        <v>21</v>
      </c>
      <c r="S43" s="775">
        <f t="shared" si="12"/>
        <v>100</v>
      </c>
      <c r="T43" s="774" t="s">
        <v>21</v>
      </c>
      <c r="U43" s="775">
        <f t="shared" si="13"/>
        <v>100</v>
      </c>
      <c r="V43" s="774" t="s">
        <v>21</v>
      </c>
      <c r="W43" s="775">
        <f t="shared" si="14"/>
        <v>100</v>
      </c>
      <c r="X43" s="1815"/>
      <c r="Y43" s="3534"/>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49"/>
      <c r="Q44" s="1797">
        <f t="shared" si="11"/>
        <v>111</v>
      </c>
      <c r="R44" s="770" t="s">
        <v>21</v>
      </c>
      <c r="S44" s="771">
        <f t="shared" si="12"/>
        <v>100</v>
      </c>
      <c r="T44" s="770" t="s">
        <v>21</v>
      </c>
      <c r="U44" s="771">
        <f t="shared" si="13"/>
        <v>100</v>
      </c>
      <c r="V44" s="770" t="s">
        <v>21</v>
      </c>
      <c r="W44" s="771">
        <f t="shared" si="14"/>
        <v>100</v>
      </c>
      <c r="X44" s="772"/>
      <c r="Y44" s="3534"/>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49"/>
      <c r="Q45" s="1812">
        <f t="shared" si="11"/>
        <v>111</v>
      </c>
      <c r="R45" s="774" t="s">
        <v>21</v>
      </c>
      <c r="S45" s="775">
        <f t="shared" si="12"/>
        <v>100</v>
      </c>
      <c r="T45" s="774" t="s">
        <v>21</v>
      </c>
      <c r="U45" s="775">
        <f t="shared" si="13"/>
        <v>100</v>
      </c>
      <c r="V45" s="774" t="s">
        <v>21</v>
      </c>
      <c r="W45" s="775">
        <f t="shared" si="14"/>
        <v>100</v>
      </c>
      <c r="X45" s="1815"/>
      <c r="Y45" s="3534"/>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50"/>
      <c r="Q46" s="1812">
        <f t="shared" si="11"/>
        <v>111</v>
      </c>
      <c r="R46" s="774" t="s">
        <v>20</v>
      </c>
      <c r="S46" s="775">
        <f t="shared" si="12"/>
        <v>100</v>
      </c>
      <c r="T46" s="774" t="s">
        <v>20</v>
      </c>
      <c r="U46" s="775">
        <f t="shared" si="13"/>
        <v>100</v>
      </c>
      <c r="V46" s="774" t="s">
        <v>20</v>
      </c>
      <c r="W46" s="775">
        <f t="shared" si="14"/>
        <v>100</v>
      </c>
      <c r="X46" s="1815"/>
      <c r="Y46" s="3551"/>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18"/>
      <c r="L47" s="1145"/>
      <c r="M47" s="1146"/>
      <c r="N47" s="1133"/>
      <c r="O47" s="1146"/>
      <c r="P47" s="3516" t="str">
        <f>A47</f>
        <v>成交单价（元/平方米）</v>
      </c>
      <c r="Q47" s="3516"/>
      <c r="R47" s="3547">
        <f>E47</f>
        <v>0</v>
      </c>
      <c r="S47" s="3547"/>
      <c r="T47" s="3547">
        <f>G47</f>
        <v>0</v>
      </c>
      <c r="U47" s="3547"/>
      <c r="V47" s="3547">
        <f>I47</f>
        <v>0</v>
      </c>
      <c r="W47" s="3547"/>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516" t="str">
        <f>A48</f>
        <v>比较价值（元/平方米）</v>
      </c>
      <c r="Q48" s="351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536" t="str">
        <f>A49</f>
        <v>估价对象XX用房的比较价值（楼面单价，元/平方米）</v>
      </c>
      <c r="Q49" s="3537"/>
      <c r="R49" s="3546" t="e">
        <f>IF(F1="售价",ROUND(AVERAGE(R48:V48),0),ROUND(AVERAGE(R48:V48),1))</f>
        <v>#DIV/0!</v>
      </c>
      <c r="S49" s="3546"/>
      <c r="T49" s="3546"/>
      <c r="U49" s="3546"/>
      <c r="V49" s="3546"/>
      <c r="W49" s="354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1" priority="15" stopIfTrue="1" operator="containsText" text="超过">
      <formula>NOT(ISERROR(SEARCH("超过",F52)))</formula>
    </cfRule>
  </conditionalFormatting>
  <conditionalFormatting sqref="J54">
    <cfRule type="containsText" dxfId="170" priority="14" stopIfTrue="1" operator="containsText" text="超过">
      <formula>NOT(ISERROR(SEARCH("超过",J54)))</formula>
    </cfRule>
  </conditionalFormatting>
  <conditionalFormatting sqref="H54">
    <cfRule type="containsText" dxfId="169" priority="13" stopIfTrue="1" operator="containsText" text="超过">
      <formula>NOT(ISERROR(SEARCH("超过",H54)))</formula>
    </cfRule>
  </conditionalFormatting>
  <conditionalFormatting sqref="F54">
    <cfRule type="containsText" dxfId="168" priority="12" stopIfTrue="1" operator="containsText" text="超过">
      <formula>NOT(ISERROR(SEARCH("超过",F54)))</formula>
    </cfRule>
  </conditionalFormatting>
  <conditionalFormatting sqref="F53 H53 J53">
    <cfRule type="containsText" dxfId="167" priority="11" stopIfTrue="1" operator="containsText" text="超过">
      <formula>NOT(ISERROR(SEARCH("超过",F53)))</formula>
    </cfRule>
  </conditionalFormatting>
  <conditionalFormatting sqref="E52">
    <cfRule type="expression" dxfId="166" priority="10" stopIfTrue="1">
      <formula>$F$52="超过30%"</formula>
    </cfRule>
  </conditionalFormatting>
  <conditionalFormatting sqref="G54">
    <cfRule type="expression" dxfId="165" priority="8" stopIfTrue="1">
      <formula>$H$54="超过30%"</formula>
    </cfRule>
  </conditionalFormatting>
  <conditionalFormatting sqref="E53">
    <cfRule type="expression" dxfId="164" priority="7" stopIfTrue="1">
      <formula>$F$53="超过20%"</formula>
    </cfRule>
  </conditionalFormatting>
  <conditionalFormatting sqref="E54">
    <cfRule type="expression" dxfId="163" priority="6" stopIfTrue="1">
      <formula>$F$54="超过30%"</formula>
    </cfRule>
  </conditionalFormatting>
  <conditionalFormatting sqref="G52">
    <cfRule type="expression" dxfId="162" priority="5" stopIfTrue="1">
      <formula>$H$52="超过30%"</formula>
    </cfRule>
  </conditionalFormatting>
  <conditionalFormatting sqref="G53">
    <cfRule type="expression" dxfId="161" priority="4"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26</v>
      </c>
      <c r="D1" s="1822" t="s">
        <v>3128</v>
      </c>
      <c r="E1" s="1823" t="s">
        <v>1383</v>
      </c>
      <c r="F1" s="1285">
        <f ca="1">J53</f>
        <v>45.71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446711</v>
      </c>
      <c r="C2" s="1847" t="s">
        <v>1513</v>
      </c>
      <c r="D2" s="1847"/>
      <c r="E2" s="1848"/>
      <c r="F2" s="1849"/>
      <c r="G2" s="1850"/>
      <c r="H2" s="1842"/>
      <c r="I2" s="1842"/>
      <c r="J2" s="1842"/>
      <c r="K2" s="1843"/>
      <c r="L2" s="1842"/>
      <c r="M2" s="1842"/>
    </row>
    <row r="3" spans="1:37" ht="18" customHeight="1" thickBot="1">
      <c r="A3" s="1851" t="s">
        <v>1514</v>
      </c>
      <c r="B3" s="1852">
        <f ca="1">IF(ISERROR(B2*10000/F43),0,ROUND(B2*10000/F43,0))</f>
        <v>130338</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15470</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15450</v>
      </c>
      <c r="D6" s="164" t="s">
        <v>2990</v>
      </c>
      <c r="E6" s="347" t="s">
        <v>1401</v>
      </c>
      <c r="F6" s="348">
        <f ca="1">INDIRECT("'数据-取费表'!u"&amp;$G$1)</f>
        <v>13</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1300" t="s">
        <v>1402</v>
      </c>
      <c r="F7" s="348">
        <f ca="1">IF(INDIRECT("'数据-取费表'!ah"&amp;$G$1)="",INDIRECT("'数据-取费表'!k"&amp;$G$1),INDIRECT("'数据-取费表'!ah"&amp;$G$1))</f>
        <v>34273.35</v>
      </c>
      <c r="G7" s="1853"/>
      <c r="H7" s="349"/>
      <c r="I7" s="3557"/>
      <c r="J7" s="351"/>
      <c r="K7" s="352"/>
      <c r="L7" s="347" t="s">
        <v>1402</v>
      </c>
      <c r="M7" s="348">
        <f ca="1">F7</f>
        <v>34273.35</v>
      </c>
    </row>
    <row r="8" spans="1:37" ht="18" customHeight="1">
      <c r="A8" s="349"/>
      <c r="B8" s="3557"/>
      <c r="C8" s="351"/>
      <c r="D8" s="352"/>
      <c r="E8" s="347" t="s">
        <v>1403</v>
      </c>
      <c r="F8" s="348">
        <f ca="1">INDIRECT("'数据-取费表'!ai"&amp;$G$1)</f>
        <v>365</v>
      </c>
      <c r="G8" s="1853"/>
      <c r="H8" s="349"/>
      <c r="I8" s="3557"/>
      <c r="J8" s="351"/>
      <c r="K8" s="352"/>
      <c r="L8" s="347" t="s">
        <v>1403</v>
      </c>
      <c r="M8" s="348">
        <f ca="1">INDIRECT("'数据-取费表'!ai"&amp;$G$1)</f>
        <v>365</v>
      </c>
    </row>
    <row r="9" spans="1:37" ht="18" customHeight="1">
      <c r="A9" s="349"/>
      <c r="B9" s="3558"/>
      <c r="C9" s="351"/>
      <c r="D9" s="352"/>
      <c r="E9" s="347" t="s">
        <v>1404</v>
      </c>
      <c r="F9" s="357">
        <f ca="1">INDIRECT("'数据-取费表'!w"&amp;$G$1)</f>
        <v>0.05</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20</v>
      </c>
      <c r="D10" s="1826" t="s">
        <v>2991</v>
      </c>
      <c r="E10" s="358" t="s">
        <v>1407</v>
      </c>
      <c r="F10" s="1368" t="s">
        <v>3004</v>
      </c>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21435</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13964</v>
      </c>
      <c r="D14" s="1802" t="s">
        <v>1415</v>
      </c>
      <c r="E14" s="1796"/>
      <c r="F14" s="364"/>
      <c r="G14" s="1853"/>
      <c r="H14" s="1203" t="s">
        <v>1033</v>
      </c>
      <c r="I14" s="347" t="s">
        <v>1416</v>
      </c>
      <c r="J14" s="24">
        <f ca="1">C29</f>
        <v>21435</v>
      </c>
      <c r="K14" s="15"/>
      <c r="L14" s="981"/>
      <c r="M14" s="982"/>
    </row>
    <row r="15" spans="1:37" s="1860" customFormat="1" ht="18" customHeight="1" thickBot="1">
      <c r="A15" s="1203" t="s">
        <v>1034</v>
      </c>
      <c r="B15" s="347" t="s">
        <v>1417</v>
      </c>
      <c r="C15" s="24">
        <f ca="1">ROUND(C14*F15,0)</f>
        <v>419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508</v>
      </c>
      <c r="K16" s="1339" t="s">
        <v>1422</v>
      </c>
      <c r="L16" s="1340"/>
      <c r="M16" s="1296"/>
    </row>
    <row r="17" spans="1:37" s="1860" customFormat="1" ht="18" customHeight="1">
      <c r="A17" s="1203" t="s">
        <v>1386</v>
      </c>
      <c r="B17" s="347" t="s">
        <v>1423</v>
      </c>
      <c r="C17" s="24">
        <f ca="1">ROUND(F17*(F43+INDIRECT("'数据-取费表'!S"&amp;$G$1))/10000,0)</f>
        <v>702</v>
      </c>
      <c r="D17" s="347" t="s">
        <v>1424</v>
      </c>
      <c r="E17" s="347" t="s">
        <v>1425</v>
      </c>
      <c r="F17" s="26">
        <f>'数据-取费表'!B35</f>
        <v>200</v>
      </c>
      <c r="G17" s="1856"/>
      <c r="H17" s="1203" t="s">
        <v>1033</v>
      </c>
      <c r="I17" s="347" t="s">
        <v>1426</v>
      </c>
      <c r="J17" s="24">
        <f ca="1">ROUND(IF(项目基本情况!B11="自然人",J5*M17,J18+J19+J20),1)</f>
        <v>186.5</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209</v>
      </c>
      <c r="D18" s="347" t="s">
        <v>1418</v>
      </c>
      <c r="E18" s="347" t="s">
        <v>1419</v>
      </c>
      <c r="F18" s="367">
        <f>'数据-取费表'!B36</f>
        <v>1.4999999999999999E-2</v>
      </c>
      <c r="G18" s="1856"/>
      <c r="H18" s="1203" t="s">
        <v>1032</v>
      </c>
      <c r="I18" s="347" t="s">
        <v>1430</v>
      </c>
      <c r="J18" s="24">
        <f ca="1">ROUND(J5*M18/(1+'数据-取费表'!C42),2)</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15294</v>
      </c>
      <c r="D19" s="140" t="s">
        <v>1433</v>
      </c>
      <c r="E19" s="1820"/>
      <c r="F19" s="26"/>
      <c r="G19" s="1853"/>
      <c r="H19" s="1203" t="s">
        <v>1034</v>
      </c>
      <c r="I19" s="347" t="s">
        <v>1434</v>
      </c>
      <c r="J19" s="24">
        <f ca="1">IF(K19="按租金收入计税",ROUND(J5*M19,2),ROUND(C29*M19*0.7,2))</f>
        <v>180.05</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229</v>
      </c>
      <c r="D20" s="369" t="s">
        <v>1437</v>
      </c>
      <c r="E20" s="347" t="s">
        <v>1419</v>
      </c>
      <c r="F20" s="367">
        <f>'数据-取费表'!B37</f>
        <v>1.4999999999999999E-2</v>
      </c>
      <c r="G20" s="1856"/>
      <c r="H20" s="1203" t="s">
        <v>1385</v>
      </c>
      <c r="I20" s="164" t="s">
        <v>1438</v>
      </c>
      <c r="J20" s="25">
        <f ca="1">ROUND(M20*M21/10000,2)</f>
        <v>6.47</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5394.83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ROUND(J14*M22,1)</f>
        <v>321.5</v>
      </c>
      <c r="K22" s="1800"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1120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1800" t="s">
        <v>1451</v>
      </c>
      <c r="L23" s="347" t="s">
        <v>1452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1029</v>
      </c>
      <c r="I25" s="1346" t="s">
        <v>1460</v>
      </c>
      <c r="J25" s="355">
        <f ca="1">J5-J16</f>
        <v>-508</v>
      </c>
      <c r="K25" s="1347" t="s">
        <v>1461</v>
      </c>
      <c r="L25" s="1348"/>
      <c r="M25" s="1349"/>
    </row>
    <row r="26" spans="1:37">
      <c r="A26" s="1203" t="s">
        <v>1032</v>
      </c>
      <c r="B26" s="347" t="s">
        <v>1462</v>
      </c>
      <c r="C26" s="24">
        <f ca="1">ROUND((C19+C20)*F26,0)</f>
        <v>3105</v>
      </c>
      <c r="D26" s="369" t="s">
        <v>1463</v>
      </c>
      <c r="E26" s="358" t="s">
        <v>1464</v>
      </c>
      <c r="F26" s="357">
        <f ca="1">INDIRECT("'数据-取费表'!q"&amp;$G$1)</f>
        <v>0.2</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4.0000000000000001E-3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21435</v>
      </c>
      <c r="D29" s="1344"/>
      <c r="E29" s="1342"/>
      <c r="F29" s="1345"/>
      <c r="G29" s="1856"/>
      <c r="H29" s="380" t="s">
        <v>1031</v>
      </c>
      <c r="I29" s="381" t="s">
        <v>1476</v>
      </c>
      <c r="J29" s="382">
        <f ca="1">ROUND(J26/(1+F40)^F41,0)</f>
        <v>0</v>
      </c>
      <c r="K29" s="383" t="s">
        <v>1477</v>
      </c>
      <c r="L29" s="384"/>
      <c r="M29" s="385">
        <f ca="1">INDIRECT("'数据-取费表'!k"&amp;$G$1)</f>
        <v>34273.35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1520</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ROUND(IF(项目基本情况!B11="自然人",C5*F31,C32+C33+C34),1)</f>
        <v>1011.6</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825.07</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180.05</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6.47</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5394.83</v>
      </c>
      <c r="G35" s="1853"/>
      <c r="H35" s="745"/>
      <c r="I35" s="1862"/>
      <c r="J35" s="1863"/>
      <c r="K35" s="1864"/>
      <c r="L35" s="1861"/>
      <c r="M35" s="1861"/>
    </row>
    <row r="36" spans="1:18" ht="18" customHeight="1">
      <c r="A36" s="1354" t="s">
        <v>1037</v>
      </c>
      <c r="B36" s="347" t="s">
        <v>1446</v>
      </c>
      <c r="C36" s="24">
        <f ca="1">ROUND(C29*F36,1)</f>
        <v>321.5</v>
      </c>
      <c r="D36" s="1800"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32.200000000000003</v>
      </c>
      <c r="D37" s="1800" t="s">
        <v>1451</v>
      </c>
      <c r="E37" s="347" t="s">
        <v>1452</v>
      </c>
      <c r="F37" s="376">
        <f ca="1">INDIRECT("'数据-取费表'!Al"&amp;$G$1)</f>
        <v>1.5E-3</v>
      </c>
      <c r="G37" s="1853"/>
      <c r="H37" s="1861"/>
      <c r="I37" s="1862"/>
      <c r="J37" s="1863"/>
      <c r="K37" s="751"/>
      <c r="L37" s="1861"/>
      <c r="M37" s="1861"/>
    </row>
    <row r="38" spans="1:18" ht="18" customHeight="1" thickBot="1">
      <c r="A38" s="1341" t="s">
        <v>1389</v>
      </c>
      <c r="B38" s="1342" t="s">
        <v>1436</v>
      </c>
      <c r="C38" s="1343">
        <f ca="1">ROUND(C5*F38,1)</f>
        <v>154.69999999999999</v>
      </c>
      <c r="D38" s="1344" t="s">
        <v>1456</v>
      </c>
      <c r="E38" s="1342" t="s">
        <v>1452</v>
      </c>
      <c r="F38" s="1338">
        <f ca="1">INDIRECT("'数据-取费表'!Am"&amp;$G$1)</f>
        <v>0.01</v>
      </c>
      <c r="G38" s="1853"/>
      <c r="H38" s="1861"/>
      <c r="I38" s="1862"/>
      <c r="J38" s="1863"/>
      <c r="K38" s="1867"/>
      <c r="L38" s="1861"/>
      <c r="M38" s="1861"/>
    </row>
    <row r="39" spans="1:18" ht="24.6" customHeight="1" thickTop="1">
      <c r="A39" s="1331" t="s">
        <v>1029</v>
      </c>
      <c r="B39" s="1346" t="s">
        <v>1480</v>
      </c>
      <c r="C39" s="355">
        <f ca="1">C5-C30</f>
        <v>13950</v>
      </c>
      <c r="D39" s="1347" t="s">
        <v>1481</v>
      </c>
      <c r="E39" s="1348"/>
      <c r="F39" s="1349"/>
      <c r="G39" s="1853"/>
      <c r="H39" s="1861"/>
      <c r="I39" s="1862"/>
      <c r="J39" s="1863"/>
      <c r="K39" s="1867"/>
      <c r="L39" s="1861"/>
      <c r="M39" s="1861"/>
    </row>
    <row r="40" spans="1:18" ht="18" customHeight="1">
      <c r="A40" s="344" t="s">
        <v>1030</v>
      </c>
      <c r="B40" s="345" t="s">
        <v>1482</v>
      </c>
      <c r="C40" s="346">
        <f ca="1">ROUND(C39*(1-((1+F42)/(1+F40))^F41)/(F40-F42),0)</f>
        <v>446711</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45.71</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130338</v>
      </c>
      <c r="D43" s="383" t="s">
        <v>1485</v>
      </c>
      <c r="E43" s="384" t="s">
        <v>1486</v>
      </c>
      <c r="F43" s="385">
        <f ca="1">INDIRECT("'数据-取费表'!k"&amp;$G$1)</f>
        <v>34273.35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-455680</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3129</v>
      </c>
      <c r="K47" s="1884" t="s">
        <v>1524</v>
      </c>
      <c r="L47" s="1885">
        <f ca="1">INDIRECT("'数据-取费表'!d"&amp;$G$1)</f>
        <v>50</v>
      </c>
      <c r="M47" s="1840" t="str">
        <f>IF(ISNUMBER(FIND("住宅",C1)),"住宅","非住宅")</f>
        <v>非住宅</v>
      </c>
      <c r="O47" s="1886" t="s">
        <v>1038</v>
      </c>
      <c r="P47" s="1887" t="s">
        <v>1525</v>
      </c>
      <c r="Q47" s="1888">
        <f ca="1">C40+J29</f>
        <v>446711</v>
      </c>
      <c r="R47" s="1888" t="s">
        <v>1526</v>
      </c>
    </row>
    <row r="48" spans="1:18" s="1844" customFormat="1" ht="28.5" thickBot="1">
      <c r="A48" s="1362" t="s">
        <v>1133</v>
      </c>
      <c r="B48" s="345" t="s">
        <v>1397</v>
      </c>
      <c r="C48" s="1819">
        <f ca="1">C49+C53+C55</f>
        <v>0</v>
      </c>
      <c r="D48" s="1364"/>
      <c r="E48" s="1365"/>
      <c r="F48" s="1183"/>
      <c r="G48" s="792"/>
      <c r="H48" s="793"/>
      <c r="I48" s="1889" t="s">
        <v>1527</v>
      </c>
      <c r="J48" s="1890" t="s">
        <v>3130</v>
      </c>
      <c r="K48" s="1891" t="s">
        <v>1528</v>
      </c>
      <c r="L48" s="1892">
        <f ca="1">INDIRECT("'数据-取费表'!f"&amp;$G$1)</f>
        <v>47.21</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v>2020</v>
      </c>
      <c r="K49" s="1891" t="s">
        <v>1532</v>
      </c>
      <c r="L49" s="1895"/>
      <c r="O49" s="1896" t="s">
        <v>1040</v>
      </c>
      <c r="P49" s="1887" t="s">
        <v>1533</v>
      </c>
      <c r="Q49" s="1888">
        <f ca="1">C29</f>
        <v>21435</v>
      </c>
      <c r="R49" s="1888" t="s">
        <v>1526</v>
      </c>
    </row>
    <row r="50" spans="1:18" s="1844" customFormat="1" ht="13.5" thickBot="1">
      <c r="A50" s="1197"/>
      <c r="B50" s="1200"/>
      <c r="C50" s="1370"/>
      <c r="D50" s="1174"/>
      <c r="E50" s="1279" t="s">
        <v>1402</v>
      </c>
      <c r="F50" s="1280">
        <f ca="1">F7</f>
        <v>34273.35</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235775</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45.71</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f ca="1">IF(M47="住宅",J51,IF(D1="——",MIN(J51,L48),IF(D1="在建（套用方法）",MIN(J51,L48-'数据-取费表'!B24),IF(D1="土地（套用方法）",MIN(J51,L48-'数据-取费表'!B20)))))</f>
        <v>45.71</v>
      </c>
      <c r="K53" s="3554" t="s">
        <v>1545</v>
      </c>
      <c r="L53" s="3555"/>
      <c r="O53" s="1886" t="s">
        <v>1044</v>
      </c>
      <c r="P53" s="1887" t="s">
        <v>1546</v>
      </c>
      <c r="Q53" s="1888">
        <f ca="1">Q47+Q48</f>
        <v>446711</v>
      </c>
      <c r="R53" s="1888" t="s">
        <v>1045</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21435</v>
      </c>
      <c r="D56" s="1916"/>
      <c r="E56" s="1917"/>
      <c r="F56" s="1909"/>
      <c r="I56" s="1918" t="s">
        <v>1551</v>
      </c>
      <c r="J56" s="1919" t="s">
        <v>2998</v>
      </c>
      <c r="K56" s="1889" t="s">
        <v>1552</v>
      </c>
      <c r="L56" s="1892" t="str">
        <f ca="1">IF(L48&lt;J51,"——",L48-J53)</f>
        <v>——</v>
      </c>
      <c r="O56" s="1886" t="s">
        <v>1038</v>
      </c>
      <c r="P56" s="1887" t="s">
        <v>1525</v>
      </c>
      <c r="Q56" s="1888">
        <f ca="1">C40+J29</f>
        <v>446711</v>
      </c>
      <c r="R56" s="1888" t="s">
        <v>1526</v>
      </c>
    </row>
    <row r="57" spans="1:18" s="1844" customFormat="1" ht="24.75" thickBot="1">
      <c r="A57" s="1920"/>
      <c r="B57" s="1171" t="s">
        <v>1475</v>
      </c>
      <c r="C57" s="282">
        <f ca="1">C29</f>
        <v>21435</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540</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186.5</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180.05</v>
      </c>
      <c r="D61" s="1830" t="s">
        <v>1435</v>
      </c>
      <c r="E61" s="1171" t="s">
        <v>1491</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6.47</v>
      </c>
      <c r="D62" s="1186" t="s">
        <v>1494</v>
      </c>
      <c r="E62" s="1171" t="s">
        <v>1495</v>
      </c>
      <c r="F62" s="371">
        <f t="shared" si="0"/>
        <v>12</v>
      </c>
      <c r="I62" s="1931" t="s">
        <v>1567</v>
      </c>
      <c r="J62" s="1932" t="s">
        <v>1568</v>
      </c>
      <c r="K62" s="1932" t="s">
        <v>1569</v>
      </c>
      <c r="L62" s="1932" t="s">
        <v>1570</v>
      </c>
      <c r="M62" s="1933" t="s">
        <v>1571</v>
      </c>
      <c r="O62" s="1886" t="s">
        <v>1044</v>
      </c>
      <c r="P62" s="1887" t="s">
        <v>1572</v>
      </c>
      <c r="Q62" s="1888">
        <f ca="1">Q56+Q57</f>
        <v>446711</v>
      </c>
      <c r="R62" s="1888" t="s">
        <v>1045</v>
      </c>
    </row>
    <row r="63" spans="1:18" s="1844" customFormat="1" ht="13.5" thickBot="1">
      <c r="A63" s="372"/>
      <c r="B63" s="1177"/>
      <c r="C63" s="29"/>
      <c r="D63" s="1187"/>
      <c r="E63" s="1171" t="s">
        <v>1496</v>
      </c>
      <c r="F63" s="348">
        <f t="shared" ca="1" si="0"/>
        <v>5394.83</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321.5</v>
      </c>
      <c r="D64" s="1185" t="s">
        <v>1499</v>
      </c>
      <c r="E64" s="1171" t="s">
        <v>1491</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32.200000000000003</v>
      </c>
      <c r="D65" s="1185" t="s">
        <v>1451</v>
      </c>
      <c r="E65" s="1171" t="s">
        <v>1452</v>
      </c>
      <c r="F65" s="376">
        <f t="shared" ca="1" si="0"/>
        <v>1.5E-3</v>
      </c>
      <c r="I65" s="1931" t="s">
        <v>1576</v>
      </c>
      <c r="J65" s="1932">
        <v>40</v>
      </c>
      <c r="K65" s="1932">
        <v>30</v>
      </c>
      <c r="L65" s="1932">
        <v>50</v>
      </c>
      <c r="M65" s="1934">
        <v>0.02</v>
      </c>
      <c r="O65" s="1886" t="s">
        <v>1038</v>
      </c>
      <c r="P65" s="1887" t="s">
        <v>1577</v>
      </c>
      <c r="Q65" s="1888">
        <f ca="1">C40+J29</f>
        <v>446711</v>
      </c>
      <c r="R65" s="1888" t="s">
        <v>1526</v>
      </c>
    </row>
    <row r="66" spans="1:18" s="1844" customFormat="1" ht="16.5" thickBot="1">
      <c r="A66" s="1203" t="s">
        <v>1501</v>
      </c>
      <c r="B66" s="1171" t="s">
        <v>1436</v>
      </c>
      <c r="C66" s="24">
        <f ca="1">ROUND(C48*F66,1)</f>
        <v>0</v>
      </c>
      <c r="D66" s="1185" t="s">
        <v>1502</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-540</v>
      </c>
      <c r="D67" s="1184" t="s">
        <v>1461</v>
      </c>
      <c r="E67" s="1189"/>
      <c r="F67" s="1190"/>
      <c r="O67" s="1896" t="s">
        <v>1040</v>
      </c>
      <c r="P67" s="1887" t="s">
        <v>1559</v>
      </c>
      <c r="Q67" s="1935">
        <f ca="1">L51</f>
        <v>235775</v>
      </c>
      <c r="R67" s="1888" t="s">
        <v>1579</v>
      </c>
    </row>
    <row r="68" spans="1:18" s="1844" customFormat="1" ht="16.5" thickBot="1">
      <c r="A68" s="1168" t="s">
        <v>1030</v>
      </c>
      <c r="B68" s="1169" t="s">
        <v>1482</v>
      </c>
      <c r="C68" s="346">
        <f ca="1">ROUND(C67*(1-((1+F70)/(1+F68))^F69)/(F68-F70),0)</f>
        <v>-8969</v>
      </c>
      <c r="D68" s="1186" t="s">
        <v>1466</v>
      </c>
      <c r="E68" s="1171" t="s">
        <v>1467</v>
      </c>
      <c r="F68" s="357">
        <f ca="1">F40</f>
        <v>5.5E-2</v>
      </c>
      <c r="O68" s="1896" t="s">
        <v>1041</v>
      </c>
      <c r="P68" s="1936" t="s">
        <v>1580</v>
      </c>
      <c r="Q68" s="1888">
        <f ca="1">ROUND(Q69-Q70*Q71,0)</f>
        <v>12128</v>
      </c>
      <c r="R68" s="1888" t="s">
        <v>1049</v>
      </c>
    </row>
    <row r="69" spans="1:18" s="1844" customFormat="1" ht="13.5" thickBot="1">
      <c r="A69" s="1172"/>
      <c r="B69" s="1173"/>
      <c r="C69" s="351"/>
      <c r="D69" s="1191" t="s">
        <v>1470</v>
      </c>
      <c r="E69" s="1171" t="s">
        <v>1471</v>
      </c>
      <c r="F69" s="379">
        <f ca="1">F41</f>
        <v>45.71</v>
      </c>
      <c r="O69" s="1896" t="s">
        <v>1046</v>
      </c>
      <c r="P69" s="1936" t="s">
        <v>1581</v>
      </c>
      <c r="Q69" s="1888">
        <f ca="1">C39</f>
        <v>13950</v>
      </c>
      <c r="R69" s="1888" t="s">
        <v>1526</v>
      </c>
    </row>
    <row r="70" spans="1:18" s="1844" customFormat="1" ht="13.5" thickBot="1">
      <c r="A70" s="1175"/>
      <c r="B70" s="1176"/>
      <c r="C70" s="355"/>
      <c r="D70" s="1187"/>
      <c r="E70" s="1171" t="s">
        <v>1474</v>
      </c>
      <c r="F70" s="1277"/>
      <c r="O70" s="1896" t="s">
        <v>1047</v>
      </c>
      <c r="P70" s="1936" t="s">
        <v>1582</v>
      </c>
      <c r="Q70" s="1888">
        <f ca="1">C13</f>
        <v>21435</v>
      </c>
      <c r="R70" s="1888" t="s">
        <v>1526</v>
      </c>
    </row>
    <row r="71" spans="1:18" s="1844" customFormat="1" ht="13.5" thickBot="1">
      <c r="A71" s="1192" t="s">
        <v>1031</v>
      </c>
      <c r="B71" s="1193" t="s">
        <v>1484</v>
      </c>
      <c r="C71" s="382">
        <f ca="1">ROUND(C68*10000/F71,0)</f>
        <v>-2617</v>
      </c>
      <c r="D71" s="1194" t="s">
        <v>1485</v>
      </c>
      <c r="E71" s="1195" t="s">
        <v>1486</v>
      </c>
      <c r="F71" s="385">
        <f ca="1">F43</f>
        <v>34273.35</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1822</v>
      </c>
      <c r="D75" s="1844"/>
      <c r="E75" s="1844"/>
      <c r="F75" s="1844"/>
      <c r="K75" s="1870"/>
      <c r="L75" s="1844"/>
      <c r="O75" s="1886" t="s">
        <v>1044</v>
      </c>
      <c r="P75" s="1887" t="s">
        <v>1546</v>
      </c>
      <c r="Q75" s="1888">
        <f ca="1">Q65+Q66</f>
        <v>446711</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0.86899999999999999</v>
      </c>
    </row>
    <row r="80" spans="1:18">
      <c r="B80" s="386" t="s">
        <v>1508</v>
      </c>
      <c r="C80" s="318">
        <f ca="1">ROUND(C75/C39,3)</f>
        <v>0.13100000000000001</v>
      </c>
    </row>
    <row r="81" spans="2:3">
      <c r="B81" s="314" t="s">
        <v>1509</v>
      </c>
      <c r="C81" s="282"/>
    </row>
    <row r="82" spans="2:3">
      <c r="B82" s="317" t="s">
        <v>1510</v>
      </c>
      <c r="C82" s="319">
        <f ca="1">1-C83</f>
        <v>0.95199999999999996</v>
      </c>
    </row>
    <row r="83" spans="2:3">
      <c r="B83" s="317" t="s">
        <v>1511</v>
      </c>
      <c r="C83" s="318">
        <f ca="1">ROUND(C13/C40,3)</f>
        <v>4.8000000000000001E-2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4"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1033</v>
      </c>
      <c r="B6" s="3556" t="s">
        <v>1399</v>
      </c>
      <c r="C6" s="1298">
        <f ca="1">ROUND(F6*F8*F7*(1-F9),0)</f>
        <v>0</v>
      </c>
      <c r="D6" s="164" t="s">
        <v>2985</v>
      </c>
      <c r="E6" s="347" t="s">
        <v>1401</v>
      </c>
      <c r="F6" s="348">
        <f ca="1">INDIRECT("'数据-取费表'!u"&amp;$G$1)</f>
        <v>0</v>
      </c>
      <c r="G6" s="1853"/>
      <c r="H6" s="1293" t="s">
        <v>1033</v>
      </c>
      <c r="I6" s="3556" t="s">
        <v>1399</v>
      </c>
      <c r="J6" s="346">
        <f ca="1">ROUND(M6*M8*M7*(1-M9),0)</f>
        <v>0</v>
      </c>
      <c r="K6" s="1836" t="s">
        <v>2988</v>
      </c>
      <c r="L6" s="347" t="s">
        <v>1401</v>
      </c>
      <c r="M6" s="348">
        <f ca="1">INDIRECT("'数据-取费表'!z"&amp;$G$1)</f>
        <v>0</v>
      </c>
    </row>
    <row r="7" spans="1:37" ht="18" customHeight="1">
      <c r="A7" s="1297"/>
      <c r="B7" s="3557"/>
      <c r="C7" s="1299"/>
      <c r="D7" s="352"/>
      <c r="E7" s="1300" t="s">
        <v>1402</v>
      </c>
      <c r="F7" s="348">
        <f ca="1">IF(INDIRECT("'数据-取费表'!ah"&amp;$G$1)="",INDIRECT("'数据-取费表'!k"&amp;$G$1),INDIRECT("'数据-取费表'!ah"&amp;$G$1))</f>
        <v>0</v>
      </c>
      <c r="G7" s="1853"/>
      <c r="H7" s="349"/>
      <c r="I7" s="3557"/>
      <c r="J7" s="351"/>
      <c r="K7" s="352"/>
      <c r="L7" s="347" t="s">
        <v>1402</v>
      </c>
      <c r="M7" s="348">
        <f ca="1">F7</f>
        <v>0</v>
      </c>
    </row>
    <row r="8" spans="1:37" ht="18" customHeight="1">
      <c r="A8" s="349"/>
      <c r="B8" s="3557"/>
      <c r="C8" s="351"/>
      <c r="D8" s="352"/>
      <c r="E8" s="347" t="s">
        <v>1403</v>
      </c>
      <c r="F8" s="348">
        <f ca="1">INDIRECT("'数据-取费表'!ai"&amp;$G$1)</f>
        <v>0</v>
      </c>
      <c r="G8" s="1853"/>
      <c r="H8" s="349"/>
      <c r="I8" s="3557"/>
      <c r="J8" s="351"/>
      <c r="K8" s="352"/>
      <c r="L8" s="347" t="s">
        <v>1403</v>
      </c>
      <c r="M8" s="348">
        <f ca="1">INDIRECT("'数据-取费表'!ai"&amp;$G$1)</f>
        <v>0</v>
      </c>
    </row>
    <row r="9" spans="1:37" ht="18" customHeight="1">
      <c r="A9" s="349"/>
      <c r="B9" s="3558"/>
      <c r="C9" s="351"/>
      <c r="D9" s="352"/>
      <c r="E9" s="347" t="s">
        <v>1404</v>
      </c>
      <c r="F9" s="357">
        <f ca="1">INDIRECT("'数据-取费表'!w"&amp;$G$1)</f>
        <v>0</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ROUND(IF(F10="押一",F6*F8*F7/12*F11,IF(F10="押二",F6*F8*F7/12*2*F11,IF(F10="押三",F6*F8*F7/12*3*F11,C11*F11))),0)</f>
        <v>0</v>
      </c>
      <c r="D10" s="1826" t="s">
        <v>2986</v>
      </c>
      <c r="E10" s="358" t="s">
        <v>1407</v>
      </c>
      <c r="F10" s="1368"/>
      <c r="G10" s="1853"/>
      <c r="H10" s="1293" t="s">
        <v>1037</v>
      </c>
      <c r="I10" s="1825" t="s">
        <v>1405</v>
      </c>
      <c r="J10" s="346">
        <f ca="1">ROUND(IF(M10="押一",M6*M8*M7/12*M11,IF(M10="押二",M6*M8*M7/12*2*M11,IF(M10="押三",M6*M8*M7/12*3*M11,J11*M11))),0)</f>
        <v>0</v>
      </c>
      <c r="K10" s="1837" t="s">
        <v>2987</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ROUND(INDIRECT("'数据-取费表'!l"&amp;$G$1)*F43+'数据-取费表'!L14*INDIRECT("'数据-取费表'!S"&amp;$G$1),0)</f>
        <v>0</v>
      </c>
      <c r="D14" s="1802" t="s">
        <v>1415</v>
      </c>
      <c r="E14" s="1796"/>
      <c r="F14" s="364"/>
      <c r="G14" s="1853"/>
      <c r="H14" s="1203" t="s">
        <v>1033</v>
      </c>
      <c r="I14" s="347" t="s">
        <v>1416</v>
      </c>
      <c r="J14" s="24">
        <f ca="1">C29</f>
        <v>0</v>
      </c>
      <c r="K14" s="15"/>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200</v>
      </c>
      <c r="G17" s="1856"/>
      <c r="H17" s="1203" t="s">
        <v>1033</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ROUND(J5*M18/(1+'数据-取费表'!C42),0)</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1820"/>
      <c r="F19" s="26"/>
      <c r="G19" s="1853"/>
      <c r="H19" s="1203" t="s">
        <v>1034</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ROUND(M20*M21,0)</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ROUND(J14*M22,0)</f>
        <v>0</v>
      </c>
      <c r="K22" s="1800"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1029</v>
      </c>
      <c r="I25" s="1346" t="s">
        <v>1460</v>
      </c>
      <c r="J25" s="355">
        <f ca="1">J5-J16</f>
        <v>0</v>
      </c>
      <c r="K25" s="1347" t="s">
        <v>1461</v>
      </c>
      <c r="L25" s="1348"/>
      <c r="M25" s="1349"/>
    </row>
    <row r="26" spans="1:37" ht="18" customHeight="1">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IF(项目基本情况!B11="自然人","——",ROUND(C5*F32/(1+'数据-取费表'!C42),0))</f>
        <v>0</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ROUND(C29*F36,0)</f>
        <v>0</v>
      </c>
      <c r="D36" s="1800"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ROUND(C13*F37,0)</f>
        <v>0</v>
      </c>
      <c r="D37" s="1800"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1819">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ROUND(F49*F51*F50*(1-F52),0)</f>
        <v>0</v>
      </c>
      <c r="D49" s="1278" t="s">
        <v>1400</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201"/>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30.75" customHeight="1" thickBot="1">
      <c r="A53" s="1363" t="s">
        <v>1135</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554" t="s">
        <v>1545</v>
      </c>
      <c r="L53" s="3555"/>
      <c r="O53" s="1886" t="s">
        <v>1044</v>
      </c>
      <c r="P53" s="1887" t="s">
        <v>1546</v>
      </c>
      <c r="Q53" s="1888" t="e">
        <f ca="1">Q47+Q48</f>
        <v>#DIV/0!</v>
      </c>
      <c r="R53" s="1888" t="s">
        <v>1045</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1039</v>
      </c>
      <c r="P57" s="1887" t="s">
        <v>1603</v>
      </c>
      <c r="Q57" s="1888" t="e">
        <f ca="1">L60</f>
        <v>#DIV/0!</v>
      </c>
      <c r="R57" s="1888" t="s">
        <v>1604</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IF(项目基本情况!B11="自然人","——",ROUND(C48*F60/(1+'数据-取费表'!C42),0))</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f ca="1">F42</f>
        <v>0</v>
      </c>
      <c r="O70" s="1896" t="s">
        <v>1047</v>
      </c>
      <c r="P70" s="1936" t="s">
        <v>1582</v>
      </c>
      <c r="Q70" s="1888">
        <f ca="1">C13</f>
        <v>0</v>
      </c>
      <c r="R70" s="1888" t="s">
        <v>1526</v>
      </c>
    </row>
    <row r="71" spans="1:18" s="1844" customFormat="1" ht="13.5" thickBot="1">
      <c r="A71" s="1192" t="s">
        <v>1031</v>
      </c>
      <c r="B71" s="1193" t="s">
        <v>1484</v>
      </c>
      <c r="C71" s="382" t="e">
        <f ca="1">ROUND(C68/F71,0)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2482</v>
      </c>
      <c r="B1" s="2559"/>
      <c r="C1" s="2559"/>
      <c r="D1" s="2559"/>
      <c r="E1" s="2560"/>
    </row>
    <row r="2" spans="1:6" ht="15.75">
      <c r="A2" s="2561" t="s">
        <v>2286</v>
      </c>
      <c r="B2" s="2562">
        <f ca="1">SUMIF(B6:B13,"&lt;&gt;#ref!",B6:B13)</f>
        <v>492011</v>
      </c>
      <c r="C2" s="2563" t="s">
        <v>2475</v>
      </c>
      <c r="D2" s="2564" t="s">
        <v>2476</v>
      </c>
      <c r="E2" s="2565">
        <f>SUM(E6:E13)</f>
        <v>43188.87999999999</v>
      </c>
    </row>
    <row r="3" spans="1:6" ht="15.75">
      <c r="A3" s="2561" t="s">
        <v>1391</v>
      </c>
      <c r="B3" s="2562">
        <f ca="1">ROUND(B2*10000/E2,0)</f>
        <v>113921</v>
      </c>
      <c r="C3" s="2563" t="s">
        <v>2483</v>
      </c>
      <c r="D3" s="2566"/>
      <c r="E3" s="2567"/>
    </row>
    <row r="4" spans="1:6" ht="15.75">
      <c r="A4" s="2568"/>
      <c r="B4" s="2566"/>
      <c r="C4" s="2566"/>
      <c r="D4" s="2566"/>
      <c r="E4" s="2567"/>
    </row>
    <row r="5" spans="1:6" ht="15">
      <c r="A5" s="2569" t="s">
        <v>2477</v>
      </c>
      <c r="B5" s="3559" t="s">
        <v>2478</v>
      </c>
      <c r="C5" s="3559"/>
      <c r="D5" s="2570"/>
      <c r="E5" s="2571" t="s">
        <v>2479</v>
      </c>
      <c r="F5" s="2572" t="s">
        <v>2480</v>
      </c>
    </row>
    <row r="6" spans="1:6">
      <c r="A6" s="2573" t="str">
        <f>'数据-取费表'!AN6</f>
        <v>收益法-办公</v>
      </c>
      <c r="B6" s="2572">
        <f ca="1">IF(F6="是",'数据-取费表'!AO6,0)</f>
        <v>446711</v>
      </c>
      <c r="C6" s="2563" t="s">
        <v>2475</v>
      </c>
      <c r="D6" s="2566"/>
      <c r="E6" s="2574">
        <f>IF(OR(A6=0,F6="否"),0,'数据-取费表'!K6+'数据-取费表'!S6)</f>
        <v>35123.479999999996</v>
      </c>
      <c r="F6" s="2575" t="s">
        <v>2481</v>
      </c>
    </row>
    <row r="7" spans="1:6">
      <c r="A7" s="2573" t="str">
        <f>'数据-取费表'!AN7</f>
        <v>收益法-商业</v>
      </c>
      <c r="B7" s="2572">
        <f ca="1">IF(F7="是",'数据-取费表'!AO7,0)</f>
        <v>28345</v>
      </c>
      <c r="C7" s="2563" t="s">
        <v>2475</v>
      </c>
      <c r="D7" s="2566"/>
      <c r="E7" s="2574">
        <f>IF(OR(A7=0,F7="否"),0,'数据-取费表'!K7+'数据-取费表'!S7)</f>
        <v>3937.45</v>
      </c>
      <c r="F7" s="2575" t="s">
        <v>2481</v>
      </c>
    </row>
    <row r="8" spans="1:6">
      <c r="A8" s="2573">
        <f>'数据-取费表'!AN8</f>
        <v>0</v>
      </c>
      <c r="B8" s="2572" t="e">
        <f ca="1">IF(F8="是",'数据-取费表'!AO8,0)</f>
        <v>#REF!</v>
      </c>
      <c r="C8" s="2563" t="s">
        <v>2475</v>
      </c>
      <c r="D8" s="2566"/>
      <c r="E8" s="2574">
        <f>IF(OR(A8=0,F8="否"),0,'数据-取费表'!K8+'数据-取费表'!S8)</f>
        <v>0</v>
      </c>
      <c r="F8" s="2575" t="s">
        <v>2481</v>
      </c>
    </row>
    <row r="9" spans="1:6">
      <c r="A9" s="2573" t="str">
        <f>'数据-取费表'!AN9</f>
        <v>收益法-地下商业</v>
      </c>
      <c r="B9" s="2572">
        <f ca="1">IF(F9="是",'数据-取费表'!AO9,0)</f>
        <v>16955</v>
      </c>
      <c r="C9" s="2563" t="s">
        <v>2475</v>
      </c>
      <c r="D9" s="2566"/>
      <c r="E9" s="2574">
        <f>IF(OR(A9=0,F9="否"),0,'数据-取费表'!K9+'数据-取费表'!S9)</f>
        <v>4127.95</v>
      </c>
      <c r="F9" s="2575" t="s">
        <v>2481</v>
      </c>
    </row>
    <row r="10" spans="1:6">
      <c r="A10" s="2573">
        <f>'数据-取费表'!AN10</f>
        <v>0</v>
      </c>
      <c r="B10" s="2572" t="e">
        <f ca="1">IF(F10="是",'数据-取费表'!AO10,0)</f>
        <v>#REF!</v>
      </c>
      <c r="C10" s="2563" t="s">
        <v>2475</v>
      </c>
      <c r="D10" s="2566"/>
      <c r="E10" s="2574">
        <f>IF(OR(A10=0,F10="否"),0,'数据-取费表'!K10+'数据-取费表'!S10)</f>
        <v>0</v>
      </c>
      <c r="F10" s="2575" t="s">
        <v>2481</v>
      </c>
    </row>
    <row r="11" spans="1:6">
      <c r="A11" s="2573">
        <f>'数据-取费表'!AN11</f>
        <v>0</v>
      </c>
      <c r="B11" s="2572" t="e">
        <f ca="1">IF(F11="是",'数据-取费表'!AO11,0)</f>
        <v>#REF!</v>
      </c>
      <c r="C11" s="2563" t="s">
        <v>2475</v>
      </c>
      <c r="D11" s="2566"/>
      <c r="E11" s="2574">
        <f>IF(OR(A11=0,F11="否"),0,'数据-取费表'!K11+'数据-取费表'!S11)</f>
        <v>0</v>
      </c>
      <c r="F11" s="2575" t="s">
        <v>2481</v>
      </c>
    </row>
    <row r="12" spans="1:6">
      <c r="A12" s="2573">
        <f>'数据-取费表'!AN12</f>
        <v>0</v>
      </c>
      <c r="B12" s="2572" t="e">
        <f ca="1">IF(F12="是",'数据-取费表'!AO12,0)</f>
        <v>#REF!</v>
      </c>
      <c r="C12" s="2563" t="s">
        <v>2475</v>
      </c>
      <c r="D12" s="2566"/>
      <c r="E12" s="2574">
        <f>IF(OR(A12=0,F12="否"),0,'数据-取费表'!K12+'数据-取费表'!S12)</f>
        <v>0</v>
      </c>
      <c r="F12" s="2575" t="s">
        <v>2481</v>
      </c>
    </row>
    <row r="13" spans="1:6" ht="15" thickBot="1">
      <c r="A13" s="2576">
        <f>'数据-取费表'!AN13</f>
        <v>0</v>
      </c>
      <c r="B13" s="2572" t="e">
        <f ca="1">IF(F13="是",'数据-取费表'!AO13,0)</f>
        <v>#REF!</v>
      </c>
      <c r="C13" s="2577" t="s">
        <v>2475</v>
      </c>
      <c r="D13" s="2578"/>
      <c r="E13" s="2574">
        <f>IF(OR(A13=0,F13="否"),0,'数据-取费表'!K13+'数据-取费表'!S13)</f>
        <v>0</v>
      </c>
      <c r="F13" s="2575"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60" t="s">
        <v>1074</v>
      </c>
      <c r="B1" s="3561"/>
      <c r="C1" s="3562"/>
      <c r="D1" s="3563">
        <f>SUM(I10,I15,I20,I21,I23)</f>
        <v>0</v>
      </c>
      <c r="E1" s="3563"/>
      <c r="F1" s="3563"/>
      <c r="G1" s="3563"/>
      <c r="H1" s="3563"/>
      <c r="I1" s="3564"/>
    </row>
    <row r="2" spans="1:9">
      <c r="A2" s="3565" t="s">
        <v>1075</v>
      </c>
      <c r="B2" s="3566" t="s">
        <v>1076</v>
      </c>
      <c r="C2" s="3566"/>
      <c r="D2" s="1303" t="s">
        <v>1077</v>
      </c>
      <c r="E2" s="1303" t="s">
        <v>1078</v>
      </c>
      <c r="F2" s="1303" t="s">
        <v>1079</v>
      </c>
      <c r="G2" s="1303" t="s">
        <v>1080</v>
      </c>
      <c r="H2" s="1303" t="s">
        <v>1081</v>
      </c>
      <c r="I2" s="1304" t="s">
        <v>1082</v>
      </c>
    </row>
    <row r="3" spans="1:9">
      <c r="A3" s="3565"/>
      <c r="B3" s="3566" t="s">
        <v>1083</v>
      </c>
      <c r="C3" s="3566"/>
      <c r="D3" s="1305"/>
      <c r="E3" s="1303"/>
      <c r="F3" s="1306"/>
      <c r="G3" s="1306"/>
      <c r="H3" s="1307"/>
      <c r="I3" s="1308">
        <f>ROUND(D3*E3*F3*G3*H3/10000,0)</f>
        <v>0</v>
      </c>
    </row>
    <row r="4" spans="1:9">
      <c r="A4" s="3565"/>
      <c r="B4" s="3566" t="s">
        <v>1084</v>
      </c>
      <c r="C4" s="3566"/>
      <c r="D4" s="1305"/>
      <c r="E4" s="1303"/>
      <c r="F4" s="1306"/>
      <c r="G4" s="1306"/>
      <c r="H4" s="1307"/>
      <c r="I4" s="1308">
        <f t="shared" ref="I4:I9" si="0">ROUND(D4*E4*F4*G4*H4/10000,0)</f>
        <v>0</v>
      </c>
    </row>
    <row r="5" spans="1:9">
      <c r="A5" s="3565"/>
      <c r="B5" s="3566" t="s">
        <v>1085</v>
      </c>
      <c r="C5" s="3566"/>
      <c r="D5" s="1305"/>
      <c r="E5" s="1303"/>
      <c r="F5" s="1306"/>
      <c r="G5" s="1306"/>
      <c r="H5" s="1307"/>
      <c r="I5" s="1308">
        <f t="shared" si="0"/>
        <v>0</v>
      </c>
    </row>
    <row r="6" spans="1:9">
      <c r="A6" s="3565"/>
      <c r="B6" s="3566" t="s">
        <v>1086</v>
      </c>
      <c r="C6" s="3566"/>
      <c r="D6" s="1305"/>
      <c r="E6" s="1303"/>
      <c r="F6" s="1306"/>
      <c r="G6" s="1306"/>
      <c r="H6" s="1307"/>
      <c r="I6" s="1308">
        <f t="shared" si="0"/>
        <v>0</v>
      </c>
    </row>
    <row r="7" spans="1:9">
      <c r="A7" s="3565"/>
      <c r="B7" s="3566" t="s">
        <v>1087</v>
      </c>
      <c r="C7" s="3566"/>
      <c r="D7" s="1305"/>
      <c r="E7" s="1303"/>
      <c r="F7" s="1306"/>
      <c r="G7" s="1306"/>
      <c r="H7" s="1307"/>
      <c r="I7" s="1308">
        <f t="shared" si="0"/>
        <v>0</v>
      </c>
    </row>
    <row r="8" spans="1:9">
      <c r="A8" s="3565"/>
      <c r="B8" s="3566" t="s">
        <v>1088</v>
      </c>
      <c r="C8" s="3566"/>
      <c r="D8" s="1305"/>
      <c r="E8" s="1303"/>
      <c r="F8" s="1306"/>
      <c r="G8" s="1306"/>
      <c r="H8" s="1307"/>
      <c r="I8" s="1308">
        <f t="shared" si="0"/>
        <v>0</v>
      </c>
    </row>
    <row r="9" spans="1:9">
      <c r="A9" s="3565"/>
      <c r="B9" s="3566" t="s">
        <v>1089</v>
      </c>
      <c r="C9" s="3566"/>
      <c r="D9" s="1305"/>
      <c r="E9" s="1303"/>
      <c r="F9" s="1306"/>
      <c r="G9" s="1306"/>
      <c r="H9" s="1307"/>
      <c r="I9" s="1308">
        <f t="shared" si="0"/>
        <v>0</v>
      </c>
    </row>
    <row r="10" spans="1:9">
      <c r="A10" s="3565"/>
      <c r="B10" s="3567" t="s">
        <v>1090</v>
      </c>
      <c r="C10" s="3567"/>
      <c r="D10" s="1309"/>
      <c r="E10" s="1309" t="e">
        <f>ROUND(D1*10000/D10/H9,0)</f>
        <v>#DIV/0!</v>
      </c>
      <c r="F10" s="1310"/>
      <c r="G10" s="1310"/>
      <c r="H10" s="1311"/>
      <c r="I10" s="1312">
        <f>SUM(I3:I9)</f>
        <v>0</v>
      </c>
    </row>
    <row r="11" spans="1:9" ht="14.25">
      <c r="A11" s="3565" t="s">
        <v>1091</v>
      </c>
      <c r="B11" s="3566" t="s">
        <v>1092</v>
      </c>
      <c r="C11" s="3566"/>
      <c r="D11" s="1305" t="s">
        <v>1093</v>
      </c>
      <c r="E11" s="1305" t="s">
        <v>1094</v>
      </c>
      <c r="F11" s="1306" t="s">
        <v>1095</v>
      </c>
      <c r="G11" s="1306" t="s">
        <v>1081</v>
      </c>
      <c r="H11" s="1313" t="s">
        <v>1096</v>
      </c>
      <c r="I11" s="1304" t="s">
        <v>1082</v>
      </c>
    </row>
    <row r="12" spans="1:9">
      <c r="A12" s="3565"/>
      <c r="B12" s="3566" t="s">
        <v>1097</v>
      </c>
      <c r="C12" s="3566"/>
      <c r="D12" s="1305"/>
      <c r="E12" s="1305"/>
      <c r="F12" s="1306"/>
      <c r="G12" s="1307"/>
      <c r="H12" s="1314"/>
      <c r="I12" s="1304">
        <f>ROUND(D12*E12*F12*G12/10000,0)</f>
        <v>0</v>
      </c>
    </row>
    <row r="13" spans="1:9">
      <c r="A13" s="3565"/>
      <c r="B13" s="3566" t="s">
        <v>1098</v>
      </c>
      <c r="C13" s="3566"/>
      <c r="D13" s="1305"/>
      <c r="E13" s="1305"/>
      <c r="F13" s="1306"/>
      <c r="G13" s="1307"/>
      <c r="H13" s="1314"/>
      <c r="I13" s="1304">
        <f>ROUND(D13*E13*F13*G13/10000,0)</f>
        <v>0</v>
      </c>
    </row>
    <row r="14" spans="1:9">
      <c r="A14" s="3565"/>
      <c r="B14" s="3566" t="s">
        <v>1099</v>
      </c>
      <c r="C14" s="3566"/>
      <c r="D14" s="1305"/>
      <c r="E14" s="1305"/>
      <c r="F14" s="1306"/>
      <c r="G14" s="1307"/>
      <c r="H14" s="1314"/>
      <c r="I14" s="1304">
        <f>ROUND(D14*E14*F14*G14/10000,0)</f>
        <v>0</v>
      </c>
    </row>
    <row r="15" spans="1:9">
      <c r="A15" s="3565"/>
      <c r="B15" s="3567" t="s">
        <v>1090</v>
      </c>
      <c r="C15" s="3567"/>
      <c r="D15" s="1309"/>
      <c r="E15" s="1309">
        <f>SUM(E12:E14)</f>
        <v>0</v>
      </c>
      <c r="F15" s="1310"/>
      <c r="G15" s="1307"/>
      <c r="H15" s="1314"/>
      <c r="I15" s="1315">
        <f>SUM(I12:I14)</f>
        <v>0</v>
      </c>
    </row>
    <row r="16" spans="1:9" ht="24">
      <c r="A16" s="3565" t="s">
        <v>1100</v>
      </c>
      <c r="B16" s="3566" t="s">
        <v>1101</v>
      </c>
      <c r="C16" s="3566"/>
      <c r="D16" s="1305" t="s">
        <v>1077</v>
      </c>
      <c r="E16" s="1316" t="s">
        <v>1102</v>
      </c>
      <c r="F16" s="1306" t="s">
        <v>1103</v>
      </c>
      <c r="G16" s="1307" t="s">
        <v>1081</v>
      </c>
      <c r="H16" s="1313" t="s">
        <v>1096</v>
      </c>
      <c r="I16" s="1304" t="s">
        <v>1082</v>
      </c>
    </row>
    <row r="17" spans="1:9" ht="14.25">
      <c r="A17" s="3565"/>
      <c r="B17" s="3566" t="s">
        <v>1104</v>
      </c>
      <c r="C17" s="3566"/>
      <c r="D17" s="1305"/>
      <c r="E17" s="1305"/>
      <c r="F17" s="1306"/>
      <c r="G17" s="1307"/>
      <c r="H17" s="1317"/>
      <c r="I17" s="1318">
        <f>ROUND(D17*E17*F17*G17/10000,0)</f>
        <v>0</v>
      </c>
    </row>
    <row r="18" spans="1:9" ht="14.25">
      <c r="A18" s="3565"/>
      <c r="B18" s="3566" t="s">
        <v>1105</v>
      </c>
      <c r="C18" s="3566"/>
      <c r="D18" s="1305"/>
      <c r="E18" s="1305"/>
      <c r="F18" s="1306"/>
      <c r="G18" s="1307"/>
      <c r="H18" s="1317"/>
      <c r="I18" s="1318">
        <f>ROUND(D18*E18*F18*G18/10000,0)</f>
        <v>0</v>
      </c>
    </row>
    <row r="19" spans="1:9" ht="14.25">
      <c r="A19" s="3565"/>
      <c r="B19" s="3566" t="s">
        <v>1106</v>
      </c>
      <c r="C19" s="3566"/>
      <c r="D19" s="1305"/>
      <c r="E19" s="1305"/>
      <c r="F19" s="1306"/>
      <c r="G19" s="1307"/>
      <c r="H19" s="1317"/>
      <c r="I19" s="1318">
        <f>ROUND(D19*E19*F19*G19/10000,0)</f>
        <v>0</v>
      </c>
    </row>
    <row r="20" spans="1:9">
      <c r="A20" s="3565"/>
      <c r="B20" s="3567" t="s">
        <v>1090</v>
      </c>
      <c r="C20" s="3567"/>
      <c r="D20" s="1309">
        <f>SUM(D17:D19)</f>
        <v>0</v>
      </c>
      <c r="E20" s="1309"/>
      <c r="F20" s="1310"/>
      <c r="G20" s="1307"/>
      <c r="H20" s="1314"/>
      <c r="I20" s="1315">
        <f>SUM(I17:I19)</f>
        <v>0</v>
      </c>
    </row>
    <row r="21" spans="1:9">
      <c r="A21" s="3565" t="s">
        <v>1107</v>
      </c>
      <c r="B21" s="3569"/>
      <c r="C21" s="3569"/>
      <c r="D21" s="3569"/>
      <c r="E21" s="3569"/>
      <c r="F21" s="3569"/>
      <c r="G21" s="3569"/>
      <c r="H21" s="1767">
        <v>0.1</v>
      </c>
      <c r="I21" s="1312">
        <f>ROUND(I10*H21,0)</f>
        <v>0</v>
      </c>
    </row>
    <row r="22" spans="1:9" ht="14.25">
      <c r="A22" s="3570" t="s">
        <v>1108</v>
      </c>
      <c r="B22" s="3571"/>
      <c r="C22" s="3572"/>
      <c r="D22" s="1319" t="s">
        <v>1109</v>
      </c>
      <c r="E22" s="1319" t="s">
        <v>1110</v>
      </c>
      <c r="F22" s="1320" t="s">
        <v>1111</v>
      </c>
      <c r="G22" s="1320" t="s">
        <v>1112</v>
      </c>
      <c r="H22" s="1313" t="s">
        <v>1113</v>
      </c>
      <c r="I22" s="1304" t="s">
        <v>1114</v>
      </c>
    </row>
    <row r="23" spans="1:9" ht="14.25" thickBot="1">
      <c r="A23" s="3573"/>
      <c r="B23" s="3574"/>
      <c r="C23" s="3575"/>
      <c r="D23" s="1321"/>
      <c r="E23" s="1321"/>
      <c r="F23" s="1321"/>
      <c r="G23" s="1322"/>
      <c r="H23" s="1323"/>
      <c r="I23" s="1324">
        <f>ROUND(E23*D23*F23*(1-G23)/10000,0)</f>
        <v>0</v>
      </c>
    </row>
    <row r="26" spans="1:9">
      <c r="A26" s="1325" t="s">
        <v>1115</v>
      </c>
      <c r="B26" s="1325"/>
      <c r="C26" s="1325"/>
      <c r="D26" s="1325"/>
      <c r="E26" s="3576">
        <f>C27-C30-C31-C32</f>
        <v>0</v>
      </c>
      <c r="F26" s="3576"/>
      <c r="G26" s="3576"/>
      <c r="H26" s="1739" t="s">
        <v>1336</v>
      </c>
    </row>
    <row r="27" spans="1:9">
      <c r="A27" s="1326">
        <v>1</v>
      </c>
      <c r="B27" s="1327" t="s">
        <v>1116</v>
      </c>
      <c r="C27" s="1327">
        <f>C28+C29</f>
        <v>0</v>
      </c>
      <c r="D27" s="1327"/>
      <c r="E27" s="3577"/>
      <c r="F27" s="3577"/>
      <c r="G27" s="3577"/>
    </row>
    <row r="28" spans="1:9">
      <c r="A28" s="1328" t="s">
        <v>1117</v>
      </c>
      <c r="B28" s="1327" t="s">
        <v>1118</v>
      </c>
      <c r="C28" s="1327"/>
      <c r="D28" s="1327"/>
      <c r="E28" s="3577"/>
      <c r="F28" s="3577"/>
      <c r="G28" s="3577"/>
    </row>
    <row r="29" spans="1:9">
      <c r="A29" s="1328" t="s">
        <v>1119</v>
      </c>
      <c r="B29" s="1327" t="s">
        <v>1120</v>
      </c>
      <c r="C29" s="1327"/>
      <c r="D29" s="1327"/>
      <c r="E29" s="1327" t="s">
        <v>1121</v>
      </c>
      <c r="F29" s="1327"/>
      <c r="G29" s="1327"/>
    </row>
    <row r="30" spans="1:9">
      <c r="A30" s="1326">
        <v>2</v>
      </c>
      <c r="B30" s="1327" t="s">
        <v>1122</v>
      </c>
      <c r="C30" s="1327">
        <f>C27*D30</f>
        <v>0</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0</v>
      </c>
      <c r="D32" s="1329">
        <v>0.05</v>
      </c>
      <c r="E32" s="3568"/>
      <c r="F32" s="3568"/>
      <c r="G32" s="3568"/>
    </row>
    <row r="33" spans="1:7" hidden="1">
      <c r="A33" s="3578" t="s">
        <v>1127</v>
      </c>
      <c r="B33" s="3579"/>
      <c r="C33" s="3579"/>
      <c r="D33" s="3580"/>
      <c r="E33" s="3576"/>
      <c r="F33" s="3576"/>
      <c r="G33" s="3576"/>
    </row>
    <row r="34" spans="1:7" hidden="1">
      <c r="A34" s="1330">
        <v>1</v>
      </c>
      <c r="B34" s="1327" t="s">
        <v>1128</v>
      </c>
      <c r="C34" s="1327"/>
      <c r="D34" s="1327"/>
      <c r="E34" s="3577"/>
      <c r="F34" s="3577"/>
      <c r="G34" s="3577"/>
    </row>
    <row r="35" spans="1:7" hidden="1">
      <c r="A35" s="1330">
        <v>2</v>
      </c>
      <c r="B35" s="1327" t="s">
        <v>1129</v>
      </c>
      <c r="C35" s="1327"/>
      <c r="D35" s="1327"/>
      <c r="E35" s="3577"/>
      <c r="F35" s="3577"/>
      <c r="G35" s="3577"/>
    </row>
    <row r="36" spans="1:7" hidden="1">
      <c r="A36" s="1330">
        <v>3</v>
      </c>
      <c r="B36" s="1327" t="s">
        <v>1130</v>
      </c>
      <c r="C36" s="1327"/>
      <c r="D36" s="1327"/>
      <c r="E36" s="3577"/>
      <c r="F36" s="3577"/>
      <c r="G36" s="3577"/>
    </row>
    <row r="37" spans="1:7" hidden="1">
      <c r="A37" s="1330">
        <v>4</v>
      </c>
      <c r="B37" s="1327" t="s">
        <v>1131</v>
      </c>
      <c r="C37" s="1327"/>
      <c r="D37" s="1327"/>
      <c r="E37" s="3577"/>
      <c r="F37" s="3577"/>
      <c r="G37" s="3577"/>
    </row>
    <row r="38" spans="1:7" hidden="1">
      <c r="A38" s="3578" t="s">
        <v>1132</v>
      </c>
      <c r="B38" s="3579"/>
      <c r="C38" s="3579"/>
      <c r="D38" s="3580"/>
      <c r="E38" s="3576"/>
      <c r="F38" s="3576"/>
      <c r="G38" s="35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2598</v>
      </c>
      <c r="C1" s="1636" t="s">
        <v>2486</v>
      </c>
      <c r="D1" s="1623"/>
      <c r="E1" s="2654"/>
      <c r="F1" s="2581"/>
      <c r="G1" s="1633" t="s">
        <v>2599</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2286</v>
      </c>
      <c r="B2" s="1420" t="e">
        <f ca="1">IF(C2="——",ROUND(C49*D3/10000,0),ROUND(C49*D3/10000,0)-D2)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2288</v>
      </c>
      <c r="B3" s="609" t="e">
        <f ca="1">IF(C2="——",C49,ROUND(B2*10000/D3,0))</f>
        <v>#DIV/0!</v>
      </c>
      <c r="C3" s="400" t="s">
        <v>2600</v>
      </c>
      <c r="D3" s="399">
        <f>IF(D1="",'数据-汇总表'!E3,SUMIF('数据-汇总表'!$C19:$C33,D1,'数据-汇总表'!$E19:$E33))</f>
        <v>48502.210000000006</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2601</v>
      </c>
      <c r="B4" s="402"/>
      <c r="C4" s="3517" t="s">
        <v>2602</v>
      </c>
      <c r="D4" s="3518"/>
      <c r="E4" s="3519" t="s">
        <v>2603</v>
      </c>
      <c r="F4" s="3520"/>
      <c r="G4" s="3517" t="s">
        <v>2604</v>
      </c>
      <c r="H4" s="3518"/>
      <c r="I4" s="3517" t="s">
        <v>2605</v>
      </c>
      <c r="J4" s="3518"/>
      <c r="K4" s="610" t="s">
        <v>2606</v>
      </c>
      <c r="L4" s="1132"/>
      <c r="M4" s="1133"/>
      <c r="N4" s="1133"/>
      <c r="O4" s="1133"/>
      <c r="P4" s="3521" t="s">
        <v>2607</v>
      </c>
      <c r="Q4" s="3522"/>
      <c r="R4" s="3503" t="s">
        <v>2603</v>
      </c>
      <c r="S4" s="3504"/>
      <c r="T4" s="3503" t="s">
        <v>2604</v>
      </c>
      <c r="U4" s="3504"/>
      <c r="V4" s="3529" t="s">
        <v>2605</v>
      </c>
      <c r="W4" s="3529"/>
      <c r="X4" s="1815"/>
      <c r="Y4" s="3503" t="s">
        <v>2607</v>
      </c>
      <c r="Z4" s="3504"/>
      <c r="AA4" s="3498" t="s">
        <v>2603</v>
      </c>
      <c r="AB4" s="3529" t="s">
        <v>2604</v>
      </c>
      <c r="AC4" s="3498" t="s">
        <v>2605</v>
      </c>
    </row>
    <row r="5" spans="1:29" ht="15">
      <c r="A5" s="404"/>
      <c r="B5" s="405"/>
      <c r="C5" s="3509" t="s">
        <v>2498</v>
      </c>
      <c r="D5" s="3510"/>
      <c r="E5" s="3545" t="s">
        <v>2499</v>
      </c>
      <c r="F5" s="3508"/>
      <c r="G5" s="3509" t="s">
        <v>2500</v>
      </c>
      <c r="H5" s="3510"/>
      <c r="I5" s="3509" t="s">
        <v>2501</v>
      </c>
      <c r="J5" s="3510"/>
      <c r="K5" s="610"/>
      <c r="L5" s="1132"/>
      <c r="M5" s="1133"/>
      <c r="N5" s="1133"/>
      <c r="O5" s="1133"/>
      <c r="P5" s="3523"/>
      <c r="Q5" s="3524"/>
      <c r="R5" s="3505"/>
      <c r="S5" s="3506"/>
      <c r="T5" s="3505"/>
      <c r="U5" s="3506"/>
      <c r="V5" s="3529"/>
      <c r="W5" s="3529"/>
      <c r="X5" s="1815"/>
      <c r="Y5" s="3505"/>
      <c r="Z5" s="3506"/>
      <c r="AA5" s="3499"/>
      <c r="AB5" s="3529"/>
      <c r="AC5" s="3499"/>
    </row>
    <row r="6" spans="1:29" ht="15.75" thickBot="1">
      <c r="A6" s="406"/>
      <c r="B6" s="407"/>
      <c r="C6" s="3511" t="s">
        <v>2502</v>
      </c>
      <c r="D6" s="3512"/>
      <c r="E6" s="3514" t="s">
        <v>2502</v>
      </c>
      <c r="F6" s="3515"/>
      <c r="G6" s="3511" t="s">
        <v>2502</v>
      </c>
      <c r="H6" s="3512"/>
      <c r="I6" s="3511" t="s">
        <v>2502</v>
      </c>
      <c r="J6" s="3512"/>
      <c r="K6" s="610" t="s">
        <v>2503</v>
      </c>
      <c r="L6" s="1132"/>
      <c r="M6" s="1133"/>
      <c r="N6" s="1133"/>
      <c r="O6" s="1133"/>
      <c r="P6" s="3525"/>
      <c r="Q6" s="3526"/>
      <c r="R6" s="3505"/>
      <c r="S6" s="3506"/>
      <c r="T6" s="3527"/>
      <c r="U6" s="3528"/>
      <c r="V6" s="3529"/>
      <c r="W6" s="3529"/>
      <c r="X6" s="1815"/>
      <c r="Y6" s="3527"/>
      <c r="Z6" s="3528"/>
      <c r="AA6" s="3500"/>
      <c r="AB6" s="3529"/>
      <c r="AC6" s="3500"/>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01" t="s">
        <v>2505</v>
      </c>
      <c r="Q7" s="3530"/>
      <c r="R7" s="770" t="s">
        <v>17</v>
      </c>
      <c r="S7" s="771">
        <f t="shared" ref="S7:S15" si="0">F7</f>
        <v>0</v>
      </c>
      <c r="T7" s="770" t="s">
        <v>17</v>
      </c>
      <c r="U7" s="771">
        <f t="shared" ref="U7:U15" si="1">H7</f>
        <v>0</v>
      </c>
      <c r="V7" s="770" t="s">
        <v>17</v>
      </c>
      <c r="W7" s="771">
        <f t="shared" ref="W7:W15" si="2">J7</f>
        <v>0</v>
      </c>
      <c r="X7" s="772"/>
      <c r="Y7" s="3501" t="s">
        <v>2505</v>
      </c>
      <c r="Z7" s="3502"/>
      <c r="AA7" s="773" t="e">
        <f>D7/F7</f>
        <v>#DIV/0!</v>
      </c>
      <c r="AB7" s="773" t="e">
        <f>D7/H7</f>
        <v>#DIV/0!</v>
      </c>
      <c r="AC7" s="773"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01" t="s">
        <v>2508</v>
      </c>
      <c r="Q8" s="3502"/>
      <c r="R8" s="770" t="s">
        <v>17</v>
      </c>
      <c r="S8" s="771">
        <f t="shared" si="0"/>
        <v>0</v>
      </c>
      <c r="T8" s="770" t="s">
        <v>17</v>
      </c>
      <c r="U8" s="771">
        <f t="shared" si="1"/>
        <v>0</v>
      </c>
      <c r="V8" s="770" t="s">
        <v>17</v>
      </c>
      <c r="W8" s="771">
        <f t="shared" si="2"/>
        <v>0</v>
      </c>
      <c r="X8" s="772"/>
      <c r="Y8" s="3501" t="s">
        <v>2508</v>
      </c>
      <c r="Z8" s="3502"/>
      <c r="AA8" s="773" t="e">
        <f t="shared" ref="AA8:AA46" si="3">D8/F8</f>
        <v>#DIV/0!</v>
      </c>
      <c r="AB8" s="773" t="e">
        <f t="shared" ref="AB8:AB46" si="4">D8/H8</f>
        <v>#DIV/0!</v>
      </c>
      <c r="AC8" s="773"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540" t="s">
        <v>2511</v>
      </c>
      <c r="Q9" s="1797" t="str">
        <f t="shared" ref="Q9:Q15" si="6">B9</f>
        <v>用途</v>
      </c>
      <c r="R9" s="770" t="s">
        <v>17</v>
      </c>
      <c r="S9" s="771">
        <f t="shared" si="0"/>
        <v>100</v>
      </c>
      <c r="T9" s="770" t="s">
        <v>17</v>
      </c>
      <c r="U9" s="771">
        <f t="shared" si="1"/>
        <v>100</v>
      </c>
      <c r="V9" s="770" t="s">
        <v>17</v>
      </c>
      <c r="W9" s="771">
        <f t="shared" si="2"/>
        <v>100</v>
      </c>
      <c r="X9" s="772"/>
      <c r="Y9" s="3378"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540"/>
      <c r="Q10" s="1797" t="str">
        <f t="shared" si="6"/>
        <v>土地使用年限（年）</v>
      </c>
      <c r="R10" s="770" t="s">
        <v>17</v>
      </c>
      <c r="S10" s="771">
        <f t="shared" si="0"/>
        <v>100</v>
      </c>
      <c r="T10" s="770" t="s">
        <v>17</v>
      </c>
      <c r="U10" s="771">
        <f t="shared" si="1"/>
        <v>100</v>
      </c>
      <c r="V10" s="770" t="s">
        <v>17</v>
      </c>
      <c r="W10" s="771">
        <f t="shared" si="2"/>
        <v>100</v>
      </c>
      <c r="X10" s="772"/>
      <c r="Y10" s="3378"/>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540"/>
      <c r="Q11" s="1797" t="str">
        <f t="shared" si="6"/>
        <v>容积率</v>
      </c>
      <c r="R11" s="770" t="s">
        <v>17</v>
      </c>
      <c r="S11" s="771" t="e">
        <f t="shared" si="0"/>
        <v>#N/A</v>
      </c>
      <c r="T11" s="770" t="s">
        <v>17</v>
      </c>
      <c r="U11" s="771" t="e">
        <f t="shared" si="1"/>
        <v>#N/A</v>
      </c>
      <c r="V11" s="770" t="s">
        <v>17</v>
      </c>
      <c r="W11" s="771" t="e">
        <f t="shared" si="2"/>
        <v>#N/A</v>
      </c>
      <c r="X11" s="772"/>
      <c r="Y11" s="337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540"/>
      <c r="Q12" s="1797">
        <f t="shared" si="6"/>
        <v>111</v>
      </c>
      <c r="R12" s="770" t="s">
        <v>17</v>
      </c>
      <c r="S12" s="771">
        <f t="shared" si="0"/>
        <v>100</v>
      </c>
      <c r="T12" s="770" t="s">
        <v>17</v>
      </c>
      <c r="U12" s="771">
        <f t="shared" si="1"/>
        <v>100</v>
      </c>
      <c r="V12" s="770" t="s">
        <v>17</v>
      </c>
      <c r="W12" s="771">
        <f t="shared" si="2"/>
        <v>100</v>
      </c>
      <c r="X12" s="772"/>
      <c r="Y12" s="337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540"/>
      <c r="Q13" s="1797">
        <f t="shared" si="6"/>
        <v>111</v>
      </c>
      <c r="R13" s="770" t="s">
        <v>17</v>
      </c>
      <c r="S13" s="771">
        <f t="shared" si="0"/>
        <v>100</v>
      </c>
      <c r="T13" s="770" t="s">
        <v>17</v>
      </c>
      <c r="U13" s="771">
        <f t="shared" si="1"/>
        <v>100</v>
      </c>
      <c r="V13" s="770" t="s">
        <v>17</v>
      </c>
      <c r="W13" s="771">
        <f t="shared" si="2"/>
        <v>100</v>
      </c>
      <c r="X13" s="772"/>
      <c r="Y13" s="3378"/>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540"/>
      <c r="Q14" s="1797">
        <f t="shared" si="6"/>
        <v>111</v>
      </c>
      <c r="R14" s="770" t="s">
        <v>17</v>
      </c>
      <c r="S14" s="771">
        <f t="shared" si="0"/>
        <v>100</v>
      </c>
      <c r="T14" s="770" t="s">
        <v>17</v>
      </c>
      <c r="U14" s="771">
        <f t="shared" si="1"/>
        <v>100</v>
      </c>
      <c r="V14" s="770" t="s">
        <v>17</v>
      </c>
      <c r="W14" s="771">
        <f t="shared" si="2"/>
        <v>100</v>
      </c>
      <c r="X14" s="772"/>
      <c r="Y14" s="3378"/>
      <c r="Z14" s="55">
        <f t="shared" si="7"/>
        <v>111</v>
      </c>
      <c r="AA14" s="773">
        <f t="shared" si="3"/>
        <v>1</v>
      </c>
      <c r="AB14" s="773">
        <f t="shared" si="4"/>
        <v>1</v>
      </c>
      <c r="AC14" s="773">
        <f t="shared" si="5"/>
        <v>1</v>
      </c>
    </row>
    <row r="15" spans="1:29" ht="85.5">
      <c r="A15" s="440" t="s">
        <v>2515</v>
      </c>
      <c r="B15" s="69" t="s">
        <v>2609</v>
      </c>
      <c r="C15" s="2600" t="str">
        <f>估价对象房地状况!C4</f>
        <v>估价对象位于三元桥商圈，周边有凤凰汇购物中心等，人流量较大，商业繁华度较好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552" t="s">
        <v>2516</v>
      </c>
      <c r="Q15" s="1812" t="str">
        <f t="shared" si="6"/>
        <v>商业繁华度</v>
      </c>
      <c r="R15" s="774" t="s">
        <v>17</v>
      </c>
      <c r="S15" s="775">
        <f t="shared" si="0"/>
        <v>100</v>
      </c>
      <c r="T15" s="774" t="s">
        <v>17</v>
      </c>
      <c r="U15" s="775">
        <f t="shared" si="1"/>
        <v>100</v>
      </c>
      <c r="V15" s="774" t="s">
        <v>17</v>
      </c>
      <c r="W15" s="775">
        <f t="shared" si="2"/>
        <v>100</v>
      </c>
      <c r="X15" s="1815"/>
      <c r="Y15" s="3531"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553"/>
      <c r="Q16" s="1812"/>
      <c r="R16" s="774"/>
      <c r="S16" s="775"/>
      <c r="T16" s="774"/>
      <c r="U16" s="775"/>
      <c r="V16" s="774"/>
      <c r="W16" s="775"/>
      <c r="X16" s="1815"/>
      <c r="Y16" s="3532"/>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553"/>
      <c r="Q17" s="1812" t="str">
        <f>B17</f>
        <v>交通便捷度</v>
      </c>
      <c r="R17" s="774" t="s">
        <v>17</v>
      </c>
      <c r="S17" s="775">
        <f>F17</f>
        <v>100</v>
      </c>
      <c r="T17" s="774" t="s">
        <v>17</v>
      </c>
      <c r="U17" s="775">
        <f>H17</f>
        <v>100</v>
      </c>
      <c r="V17" s="774" t="s">
        <v>17</v>
      </c>
      <c r="W17" s="775">
        <f>J17</f>
        <v>100</v>
      </c>
      <c r="X17" s="1815"/>
      <c r="Y17" s="3532"/>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33"/>
      <c r="P18" s="3553"/>
      <c r="Q18" s="1812"/>
      <c r="R18" s="774"/>
      <c r="S18" s="775"/>
      <c r="T18" s="774"/>
      <c r="U18" s="775"/>
      <c r="V18" s="774"/>
      <c r="W18" s="775"/>
      <c r="X18" s="1815"/>
      <c r="Y18" s="3532"/>
      <c r="Z18" s="1816"/>
      <c r="AA18" s="1813">
        <v>1</v>
      </c>
      <c r="AB18" s="1813">
        <v>1</v>
      </c>
      <c r="AC18" s="1813">
        <v>1</v>
      </c>
    </row>
    <row r="19" spans="1:29" ht="42.75">
      <c r="A19" s="428"/>
      <c r="B19" s="451" t="s">
        <v>2610</v>
      </c>
      <c r="C19" s="2604"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553"/>
      <c r="Q19" s="1812" t="str">
        <f>B19</f>
        <v>公共配套设施</v>
      </c>
      <c r="R19" s="774" t="s">
        <v>17</v>
      </c>
      <c r="S19" s="775">
        <f>F19</f>
        <v>100</v>
      </c>
      <c r="T19" s="774" t="s">
        <v>17</v>
      </c>
      <c r="U19" s="775">
        <f>H19</f>
        <v>100</v>
      </c>
      <c r="V19" s="774" t="s">
        <v>17</v>
      </c>
      <c r="W19" s="775">
        <f>J19</f>
        <v>100</v>
      </c>
      <c r="X19" s="1815"/>
      <c r="Y19" s="3532"/>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33"/>
      <c r="P20" s="3553"/>
      <c r="Q20" s="1812"/>
      <c r="R20" s="774"/>
      <c r="S20" s="775"/>
      <c r="T20" s="774"/>
      <c r="U20" s="775"/>
      <c r="V20" s="774"/>
      <c r="W20" s="775"/>
      <c r="X20" s="1815"/>
      <c r="Y20" s="3532"/>
      <c r="Z20" s="1816"/>
      <c r="AA20" s="1813">
        <v>1</v>
      </c>
      <c r="AB20" s="1813">
        <v>1</v>
      </c>
      <c r="AC20" s="1813">
        <v>1</v>
      </c>
    </row>
    <row r="21" spans="1:29" ht="42.75">
      <c r="A21" s="428"/>
      <c r="B21" s="1386" t="s">
        <v>2611</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553"/>
      <c r="Q21" s="1812" t="str">
        <f>B21</f>
        <v>基础设施水平</v>
      </c>
      <c r="R21" s="774" t="s">
        <v>17</v>
      </c>
      <c r="S21" s="775">
        <f>F21</f>
        <v>100</v>
      </c>
      <c r="T21" s="774" t="s">
        <v>17</v>
      </c>
      <c r="U21" s="775">
        <f>H21</f>
        <v>100</v>
      </c>
      <c r="V21" s="774" t="s">
        <v>17</v>
      </c>
      <c r="W21" s="775">
        <f>J21</f>
        <v>100</v>
      </c>
      <c r="X21" s="1815"/>
      <c r="Y21" s="3532"/>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33"/>
      <c r="P22" s="3553"/>
      <c r="Q22" s="1812"/>
      <c r="R22" s="774"/>
      <c r="S22" s="775"/>
      <c r="T22" s="774"/>
      <c r="U22" s="775"/>
      <c r="V22" s="774"/>
      <c r="W22" s="775"/>
      <c r="X22" s="1815"/>
      <c r="Y22" s="3532"/>
      <c r="Z22" s="1816"/>
      <c r="AA22" s="1813">
        <v>1</v>
      </c>
      <c r="AB22" s="1813">
        <v>1</v>
      </c>
      <c r="AC22" s="1813">
        <v>1</v>
      </c>
    </row>
    <row r="23" spans="1:29" ht="57">
      <c r="A23" s="428"/>
      <c r="B23" s="451" t="s">
        <v>2060</v>
      </c>
      <c r="C23" s="266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553"/>
      <c r="Q23" s="1812" t="str">
        <f>B23</f>
        <v>自然及人文环境</v>
      </c>
      <c r="R23" s="774" t="s">
        <v>17</v>
      </c>
      <c r="S23" s="775">
        <f>F23</f>
        <v>100</v>
      </c>
      <c r="T23" s="774" t="s">
        <v>17</v>
      </c>
      <c r="U23" s="775">
        <f>H23</f>
        <v>100</v>
      </c>
      <c r="V23" s="774" t="s">
        <v>17</v>
      </c>
      <c r="W23" s="775">
        <f>J23</f>
        <v>100</v>
      </c>
      <c r="X23" s="1815"/>
      <c r="Y23" s="3532"/>
      <c r="Z23" s="1816" t="str">
        <f>Q23</f>
        <v>自然及人文环境</v>
      </c>
      <c r="AA23" s="1813">
        <f t="shared" si="3"/>
        <v>1</v>
      </c>
      <c r="AB23" s="1813">
        <f t="shared" si="4"/>
        <v>1</v>
      </c>
      <c r="AC23" s="1813">
        <f t="shared" si="5"/>
        <v>1</v>
      </c>
    </row>
    <row r="24" spans="1:29" ht="15">
      <c r="A24" s="428"/>
      <c r="B24" s="456"/>
      <c r="C24" s="447"/>
      <c r="D24" s="448"/>
      <c r="E24" s="2602"/>
      <c r="F24" s="449"/>
      <c r="G24" s="2601"/>
      <c r="H24" s="448"/>
      <c r="I24" s="2602"/>
      <c r="J24" s="448"/>
      <c r="K24" s="615"/>
      <c r="L24" s="1142"/>
      <c r="M24" s="1133"/>
      <c r="N24" s="1133"/>
      <c r="O24" s="1133"/>
      <c r="P24" s="3553"/>
      <c r="Q24" s="1812"/>
      <c r="R24" s="774"/>
      <c r="S24" s="775"/>
      <c r="T24" s="774"/>
      <c r="U24" s="775"/>
      <c r="V24" s="774"/>
      <c r="W24" s="775"/>
      <c r="X24" s="1815"/>
      <c r="Y24" s="3532"/>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553"/>
      <c r="Q25" s="1812" t="str">
        <f t="shared" ref="Q25:Q46" si="11">B25</f>
        <v>临街状况</v>
      </c>
      <c r="R25" s="774" t="s">
        <v>17</v>
      </c>
      <c r="S25" s="775">
        <f>F25</f>
        <v>100</v>
      </c>
      <c r="T25" s="774" t="s">
        <v>17</v>
      </c>
      <c r="U25" s="775">
        <f>H25</f>
        <v>100</v>
      </c>
      <c r="V25" s="774" t="s">
        <v>17</v>
      </c>
      <c r="W25" s="775">
        <f>J25</f>
        <v>100</v>
      </c>
      <c r="X25" s="1815"/>
      <c r="Y25" s="3532"/>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553"/>
      <c r="Q26" s="1812" t="str">
        <f t="shared" si="11"/>
        <v>平面位置/可视性</v>
      </c>
      <c r="R26" s="774" t="s">
        <v>17</v>
      </c>
      <c r="S26" s="775">
        <f>F26</f>
        <v>100</v>
      </c>
      <c r="T26" s="774" t="s">
        <v>17</v>
      </c>
      <c r="U26" s="775">
        <f>H26</f>
        <v>100</v>
      </c>
      <c r="V26" s="774" t="s">
        <v>17</v>
      </c>
      <c r="W26" s="775">
        <f>J26</f>
        <v>100</v>
      </c>
      <c r="X26" s="1815"/>
      <c r="Y26" s="3532"/>
      <c r="Z26" s="1816" t="str">
        <f>Q26</f>
        <v>平面位置/可视性</v>
      </c>
      <c r="AA26" s="1813">
        <f t="shared" si="3"/>
        <v>1</v>
      </c>
      <c r="AB26" s="1813">
        <f t="shared" si="4"/>
        <v>1</v>
      </c>
      <c r="AC26" s="1813">
        <f t="shared" si="5"/>
        <v>1</v>
      </c>
    </row>
    <row r="27" spans="1:29" s="117" customFormat="1" ht="15">
      <c r="A27" s="431"/>
      <c r="B27" s="451" t="s">
        <v>2614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553"/>
      <c r="Q27" s="1797" t="str">
        <f t="shared" si="11"/>
        <v>人流量</v>
      </c>
      <c r="R27" s="770" t="s">
        <v>17</v>
      </c>
      <c r="S27" s="771">
        <f>F27</f>
        <v>100</v>
      </c>
      <c r="T27" s="770" t="s">
        <v>17</v>
      </c>
      <c r="U27" s="771">
        <f>H27</f>
        <v>100</v>
      </c>
      <c r="V27" s="770" t="s">
        <v>17</v>
      </c>
      <c r="W27" s="771">
        <f>J27</f>
        <v>100</v>
      </c>
      <c r="X27" s="772"/>
      <c r="Y27" s="3532"/>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55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532"/>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553"/>
      <c r="Q29" s="1812">
        <f t="shared" si="11"/>
        <v>111</v>
      </c>
      <c r="R29" s="774" t="s">
        <v>17</v>
      </c>
      <c r="S29" s="775">
        <f t="shared" si="12"/>
        <v>100</v>
      </c>
      <c r="T29" s="774" t="s">
        <v>17</v>
      </c>
      <c r="U29" s="775">
        <f t="shared" si="13"/>
        <v>100</v>
      </c>
      <c r="V29" s="774" t="s">
        <v>17</v>
      </c>
      <c r="W29" s="775">
        <f t="shared" si="14"/>
        <v>100</v>
      </c>
      <c r="X29" s="1815"/>
      <c r="Y29" s="3532"/>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553"/>
      <c r="Q30" s="1812">
        <f t="shared" si="11"/>
        <v>111</v>
      </c>
      <c r="R30" s="774" t="s">
        <v>17</v>
      </c>
      <c r="S30" s="775">
        <f t="shared" si="12"/>
        <v>100</v>
      </c>
      <c r="T30" s="774" t="s">
        <v>17</v>
      </c>
      <c r="U30" s="775">
        <f t="shared" si="13"/>
        <v>100</v>
      </c>
      <c r="V30" s="774" t="s">
        <v>17</v>
      </c>
      <c r="W30" s="775">
        <f t="shared" si="14"/>
        <v>100</v>
      </c>
      <c r="X30" s="1815"/>
      <c r="Y30" s="3532"/>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553"/>
      <c r="Q31" s="1812">
        <f t="shared" si="11"/>
        <v>111</v>
      </c>
      <c r="R31" s="774" t="s">
        <v>17</v>
      </c>
      <c r="S31" s="775">
        <f t="shared" si="12"/>
        <v>100</v>
      </c>
      <c r="T31" s="774" t="s">
        <v>17</v>
      </c>
      <c r="U31" s="775">
        <f t="shared" si="13"/>
        <v>100</v>
      </c>
      <c r="V31" s="774" t="s">
        <v>17</v>
      </c>
      <c r="W31" s="775">
        <f t="shared" si="14"/>
        <v>100</v>
      </c>
      <c r="X31" s="1815"/>
      <c r="Y31" s="3532"/>
      <c r="Z31" s="1816">
        <f t="shared" si="15"/>
        <v>111</v>
      </c>
      <c r="AA31" s="1813">
        <f t="shared" si="3"/>
        <v>1</v>
      </c>
      <c r="AB31" s="1813">
        <f t="shared" si="4"/>
        <v>1</v>
      </c>
      <c r="AC31" s="1813">
        <f t="shared" si="5"/>
        <v>1</v>
      </c>
    </row>
    <row r="32" spans="1:29" ht="15">
      <c r="A32" s="440" t="s">
        <v>2519</v>
      </c>
      <c r="B32" s="71" t="s">
        <v>2616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48" t="s">
        <v>2521</v>
      </c>
      <c r="Q32" s="1812" t="str">
        <f t="shared" si="11"/>
        <v>商业类型</v>
      </c>
      <c r="R32" s="774" t="s">
        <v>17</v>
      </c>
      <c r="S32" s="775">
        <f t="shared" si="12"/>
        <v>100</v>
      </c>
      <c r="T32" s="774" t="s">
        <v>17</v>
      </c>
      <c r="U32" s="775">
        <f t="shared" si="13"/>
        <v>100</v>
      </c>
      <c r="V32" s="774" t="s">
        <v>17</v>
      </c>
      <c r="W32" s="775">
        <f t="shared" si="14"/>
        <v>100</v>
      </c>
      <c r="X32" s="1815"/>
      <c r="Y32" s="3534"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49"/>
      <c r="Q33" s="776" t="str">
        <f t="shared" si="11"/>
        <v>项目建筑规模</v>
      </c>
      <c r="R33" s="777" t="s">
        <v>17</v>
      </c>
      <c r="S33" s="778" t="e">
        <f t="shared" si="12"/>
        <v>#N/A</v>
      </c>
      <c r="T33" s="777" t="s">
        <v>17</v>
      </c>
      <c r="U33" s="778" t="e">
        <f t="shared" si="13"/>
        <v>#N/A</v>
      </c>
      <c r="V33" s="777" t="s">
        <v>17</v>
      </c>
      <c r="W33" s="778" t="e">
        <f t="shared" si="14"/>
        <v>#N/A</v>
      </c>
      <c r="X33" s="779"/>
      <c r="Y33" s="3534"/>
      <c r="Z33" s="780" t="str">
        <f t="shared" si="15"/>
        <v>项目建筑规模</v>
      </c>
      <c r="AA33" s="1813" t="e">
        <f t="shared" si="3"/>
        <v>#N/A</v>
      </c>
      <c r="AB33" s="1813" t="e">
        <f t="shared" si="4"/>
        <v>#N/A</v>
      </c>
      <c r="AC33" s="1813" t="e">
        <f t="shared" si="5"/>
        <v>#N/A</v>
      </c>
    </row>
    <row r="34" spans="1:29" ht="15">
      <c r="A34" s="472"/>
      <c r="B34" s="422" t="s">
        <v>2523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49"/>
      <c r="Q34" s="1812" t="str">
        <f t="shared" si="11"/>
        <v>建筑结构</v>
      </c>
      <c r="R34" s="774" t="s">
        <v>17</v>
      </c>
      <c r="S34" s="775">
        <f t="shared" si="12"/>
        <v>100</v>
      </c>
      <c r="T34" s="774" t="s">
        <v>17</v>
      </c>
      <c r="U34" s="775">
        <f t="shared" si="13"/>
        <v>100</v>
      </c>
      <c r="V34" s="774" t="s">
        <v>17</v>
      </c>
      <c r="W34" s="775">
        <f t="shared" si="14"/>
        <v>100</v>
      </c>
      <c r="X34" s="1815"/>
      <c r="Y34" s="3534"/>
      <c r="Z34" s="1816" t="str">
        <f t="shared" si="15"/>
        <v>建筑结构</v>
      </c>
      <c r="AA34" s="1813">
        <f t="shared" si="3"/>
        <v>1</v>
      </c>
      <c r="AB34" s="1813">
        <f t="shared" si="4"/>
        <v>1</v>
      </c>
      <c r="AC34" s="1813">
        <f t="shared" si="5"/>
        <v>1</v>
      </c>
    </row>
    <row r="35" spans="1:29" ht="15">
      <c r="A35" s="472"/>
      <c r="B35" s="422" t="s">
        <v>2617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49"/>
      <c r="Q35" s="1812" t="str">
        <f t="shared" si="11"/>
        <v>公共部分装修</v>
      </c>
      <c r="R35" s="774" t="s">
        <v>17</v>
      </c>
      <c r="S35" s="775">
        <f t="shared" si="12"/>
        <v>100</v>
      </c>
      <c r="T35" s="774" t="s">
        <v>17</v>
      </c>
      <c r="U35" s="775">
        <f t="shared" si="13"/>
        <v>100</v>
      </c>
      <c r="V35" s="774" t="s">
        <v>17</v>
      </c>
      <c r="W35" s="775">
        <f t="shared" si="14"/>
        <v>100</v>
      </c>
      <c r="X35" s="1815"/>
      <c r="Y35" s="3534"/>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49"/>
      <c r="Q36" s="1812" t="str">
        <f t="shared" si="11"/>
        <v>成新度</v>
      </c>
      <c r="R36" s="774" t="s">
        <v>17</v>
      </c>
      <c r="S36" s="775" t="e">
        <f t="shared" si="12"/>
        <v>#N/A</v>
      </c>
      <c r="T36" s="774" t="s">
        <v>17</v>
      </c>
      <c r="U36" s="775" t="e">
        <f t="shared" si="13"/>
        <v>#N/A</v>
      </c>
      <c r="V36" s="774" t="s">
        <v>17</v>
      </c>
      <c r="W36" s="775" t="e">
        <f t="shared" si="14"/>
        <v>#N/A</v>
      </c>
      <c r="X36" s="1815"/>
      <c r="Y36" s="3534"/>
      <c r="Z36" s="1816" t="str">
        <f t="shared" si="15"/>
        <v>成新度</v>
      </c>
      <c r="AA36" s="1813" t="e">
        <f t="shared" si="3"/>
        <v>#N/A</v>
      </c>
      <c r="AB36" s="1813" t="e">
        <f t="shared" si="4"/>
        <v>#N/A</v>
      </c>
      <c r="AC36" s="1813" t="e">
        <f t="shared" si="5"/>
        <v>#N/A</v>
      </c>
    </row>
    <row r="37" spans="1:29" s="117" customFormat="1" ht="15">
      <c r="A37" s="473"/>
      <c r="B37" s="422" t="s">
        <v>2619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49"/>
      <c r="Q37" s="1797" t="str">
        <f t="shared" si="11"/>
        <v>市政基础设施</v>
      </c>
      <c r="R37" s="770" t="s">
        <v>17</v>
      </c>
      <c r="S37" s="771">
        <f t="shared" si="12"/>
        <v>100</v>
      </c>
      <c r="T37" s="770" t="s">
        <v>17</v>
      </c>
      <c r="U37" s="771">
        <f t="shared" si="13"/>
        <v>100</v>
      </c>
      <c r="V37" s="770" t="s">
        <v>17</v>
      </c>
      <c r="W37" s="771">
        <f t="shared" si="14"/>
        <v>100</v>
      </c>
      <c r="X37" s="772"/>
      <c r="Y37" s="3534"/>
      <c r="Z37" s="55" t="str">
        <f t="shared" si="15"/>
        <v>市政基础设施</v>
      </c>
      <c r="AA37" s="773">
        <f t="shared" si="3"/>
        <v>1</v>
      </c>
      <c r="AB37" s="773">
        <f t="shared" si="4"/>
        <v>1</v>
      </c>
      <c r="AC37" s="773">
        <f t="shared" si="5"/>
        <v>1</v>
      </c>
    </row>
    <row r="38" spans="1:29" ht="15">
      <c r="A38" s="472"/>
      <c r="B38" s="422" t="s">
        <v>2620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49" t="s">
        <v>2521</v>
      </c>
      <c r="Q38" s="1812" t="str">
        <f t="shared" si="11"/>
        <v>业态</v>
      </c>
      <c r="R38" s="774" t="s">
        <v>17</v>
      </c>
      <c r="S38" s="775">
        <f t="shared" si="12"/>
        <v>100</v>
      </c>
      <c r="T38" s="774" t="s">
        <v>17</v>
      </c>
      <c r="U38" s="775">
        <f t="shared" si="13"/>
        <v>100</v>
      </c>
      <c r="V38" s="774" t="s">
        <v>17</v>
      </c>
      <c r="W38" s="775">
        <f t="shared" si="14"/>
        <v>100</v>
      </c>
      <c r="X38" s="1815"/>
      <c r="Y38" s="3534" t="s">
        <v>2521</v>
      </c>
      <c r="Z38" s="1816" t="str">
        <f t="shared" si="15"/>
        <v>业态</v>
      </c>
      <c r="AA38" s="1813">
        <f t="shared" si="3"/>
        <v>1</v>
      </c>
      <c r="AB38" s="1813">
        <f t="shared" si="4"/>
        <v>1</v>
      </c>
      <c r="AC38" s="1813">
        <f t="shared" si="5"/>
        <v>1</v>
      </c>
    </row>
    <row r="39" spans="1:29" ht="15">
      <c r="A39" s="472"/>
      <c r="B39" s="422" t="s">
        <v>2621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49"/>
      <c r="Q39" s="1812" t="str">
        <f t="shared" si="11"/>
        <v>层高</v>
      </c>
      <c r="R39" s="774" t="s">
        <v>17</v>
      </c>
      <c r="S39" s="775">
        <f t="shared" si="12"/>
        <v>100</v>
      </c>
      <c r="T39" s="774" t="s">
        <v>17</v>
      </c>
      <c r="U39" s="775">
        <f t="shared" si="13"/>
        <v>100</v>
      </c>
      <c r="V39" s="774" t="s">
        <v>17</v>
      </c>
      <c r="W39" s="775">
        <f t="shared" si="14"/>
        <v>100</v>
      </c>
      <c r="X39" s="1815"/>
      <c r="Y39" s="3534"/>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49"/>
      <c r="Q40" s="1812" t="str">
        <f t="shared" si="11"/>
        <v>单套建筑面积</v>
      </c>
      <c r="R40" s="774" t="s">
        <v>17</v>
      </c>
      <c r="S40" s="775">
        <f t="shared" si="12"/>
        <v>100</v>
      </c>
      <c r="T40" s="774" t="s">
        <v>17</v>
      </c>
      <c r="U40" s="775">
        <f t="shared" si="13"/>
        <v>100</v>
      </c>
      <c r="V40" s="774" t="s">
        <v>17</v>
      </c>
      <c r="W40" s="775">
        <f t="shared" si="14"/>
        <v>100</v>
      </c>
      <c r="X40" s="1815"/>
      <c r="Y40" s="3534"/>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49"/>
      <c r="Q41" s="776" t="str">
        <f t="shared" si="11"/>
        <v>进深比</v>
      </c>
      <c r="R41" s="777" t="s">
        <v>17</v>
      </c>
      <c r="S41" s="778">
        <f t="shared" si="12"/>
        <v>100</v>
      </c>
      <c r="T41" s="777" t="s">
        <v>17</v>
      </c>
      <c r="U41" s="778">
        <f t="shared" si="13"/>
        <v>100</v>
      </c>
      <c r="V41" s="777" t="s">
        <v>17</v>
      </c>
      <c r="W41" s="778">
        <f t="shared" si="14"/>
        <v>100</v>
      </c>
      <c r="X41" s="779"/>
      <c r="Y41" s="3534"/>
      <c r="Z41" s="780" t="str">
        <f t="shared" si="15"/>
        <v>进深比</v>
      </c>
      <c r="AA41" s="1813">
        <f t="shared" si="3"/>
        <v>1</v>
      </c>
      <c r="AB41" s="1813">
        <f t="shared" si="4"/>
        <v>1</v>
      </c>
      <c r="AC41" s="1813">
        <f t="shared" si="5"/>
        <v>1</v>
      </c>
    </row>
    <row r="42" spans="1:29" ht="15">
      <c r="A42" s="472"/>
      <c r="B42" s="422" t="s">
        <v>2624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49"/>
      <c r="Q42" s="1812" t="str">
        <f t="shared" si="11"/>
        <v>内部装修</v>
      </c>
      <c r="R42" s="774" t="s">
        <v>17</v>
      </c>
      <c r="S42" s="775">
        <f t="shared" si="12"/>
        <v>100</v>
      </c>
      <c r="T42" s="774" t="s">
        <v>17</v>
      </c>
      <c r="U42" s="775">
        <f t="shared" si="13"/>
        <v>100</v>
      </c>
      <c r="V42" s="774" t="s">
        <v>17</v>
      </c>
      <c r="W42" s="775">
        <f t="shared" si="14"/>
        <v>100</v>
      </c>
      <c r="X42" s="1815"/>
      <c r="Y42" s="3534"/>
      <c r="Z42" s="1816" t="str">
        <f t="shared" si="15"/>
        <v>内部装修</v>
      </c>
      <c r="AA42" s="1813">
        <f t="shared" si="3"/>
        <v>1</v>
      </c>
      <c r="AB42" s="1813">
        <f t="shared" si="4"/>
        <v>1</v>
      </c>
      <c r="AC42" s="1813">
        <f t="shared" si="5"/>
        <v>1</v>
      </c>
    </row>
    <row r="43" spans="1:29" ht="15">
      <c r="A43" s="472"/>
      <c r="B43" s="422" t="s">
        <v>2532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49"/>
      <c r="Q43" s="1812" t="str">
        <f t="shared" si="11"/>
        <v>内部装修维护情况</v>
      </c>
      <c r="R43" s="774" t="s">
        <v>17</v>
      </c>
      <c r="S43" s="775">
        <f t="shared" si="12"/>
        <v>100</v>
      </c>
      <c r="T43" s="774" t="s">
        <v>17</v>
      </c>
      <c r="U43" s="775">
        <f t="shared" si="13"/>
        <v>100</v>
      </c>
      <c r="V43" s="774" t="s">
        <v>17</v>
      </c>
      <c r="W43" s="775">
        <f t="shared" si="14"/>
        <v>100</v>
      </c>
      <c r="X43" s="1815"/>
      <c r="Y43" s="3534"/>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49"/>
      <c r="Q44" s="1797">
        <f t="shared" si="11"/>
        <v>111</v>
      </c>
      <c r="R44" s="770" t="s">
        <v>17</v>
      </c>
      <c r="S44" s="771">
        <f t="shared" si="12"/>
        <v>100</v>
      </c>
      <c r="T44" s="770" t="s">
        <v>17</v>
      </c>
      <c r="U44" s="771">
        <f t="shared" si="13"/>
        <v>100</v>
      </c>
      <c r="V44" s="770" t="s">
        <v>17</v>
      </c>
      <c r="W44" s="771">
        <f t="shared" si="14"/>
        <v>100</v>
      </c>
      <c r="X44" s="772"/>
      <c r="Y44" s="3534"/>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49"/>
      <c r="Q45" s="1812">
        <f t="shared" si="11"/>
        <v>111</v>
      </c>
      <c r="R45" s="774" t="s">
        <v>17</v>
      </c>
      <c r="S45" s="775">
        <f t="shared" si="12"/>
        <v>100</v>
      </c>
      <c r="T45" s="774" t="s">
        <v>17</v>
      </c>
      <c r="U45" s="775">
        <f t="shared" si="13"/>
        <v>100</v>
      </c>
      <c r="V45" s="774" t="s">
        <v>17</v>
      </c>
      <c r="W45" s="775">
        <f t="shared" si="14"/>
        <v>100</v>
      </c>
      <c r="X45" s="1815"/>
      <c r="Y45" s="3534"/>
      <c r="Z45" s="1816">
        <f t="shared" si="15"/>
        <v>111</v>
      </c>
      <c r="AA45" s="1813">
        <f t="shared" si="3"/>
        <v>1</v>
      </c>
      <c r="AB45" s="1813">
        <f t="shared" si="4"/>
        <v>1</v>
      </c>
      <c r="AC45" s="1813">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50"/>
      <c r="Q46" s="1812">
        <f t="shared" si="11"/>
        <v>111</v>
      </c>
      <c r="R46" s="774" t="s">
        <v>17</v>
      </c>
      <c r="S46" s="775">
        <f t="shared" si="12"/>
        <v>100</v>
      </c>
      <c r="T46" s="774" t="s">
        <v>17</v>
      </c>
      <c r="U46" s="775">
        <f t="shared" si="13"/>
        <v>100</v>
      </c>
      <c r="V46" s="774" t="s">
        <v>17</v>
      </c>
      <c r="W46" s="775">
        <f t="shared" si="14"/>
        <v>100</v>
      </c>
      <c r="X46" s="1815"/>
      <c r="Y46" s="3551"/>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3"/>
      <c r="L47" s="1145"/>
      <c r="M47" s="1146"/>
      <c r="N47" s="1133"/>
      <c r="O47" s="1146"/>
      <c r="P47" s="3516" t="str">
        <f>A47</f>
        <v>成交单价（元/平方米）</v>
      </c>
      <c r="Q47" s="3516"/>
      <c r="R47" s="3529">
        <f>E47</f>
        <v>0</v>
      </c>
      <c r="S47" s="3529"/>
      <c r="T47" s="3529">
        <f>G47</f>
        <v>0</v>
      </c>
      <c r="U47" s="3529"/>
      <c r="V47" s="3529">
        <f>I47</f>
        <v>0</v>
      </c>
      <c r="W47" s="3529"/>
      <c r="X47" s="759"/>
      <c r="Y47" s="781"/>
      <c r="Z47" s="759"/>
      <c r="AA47" s="759"/>
      <c r="AB47" s="759"/>
      <c r="AC47" s="759"/>
    </row>
    <row r="48" spans="1:29" ht="15.75" thickBot="1">
      <c r="A48" s="486" t="s">
        <v>2625</v>
      </c>
      <c r="B48" s="487"/>
      <c r="C48" s="1415" t="e">
        <f>R49</f>
        <v>#DIV/0!</v>
      </c>
      <c r="D48" s="1416"/>
      <c r="E48" s="1417" t="e">
        <f>R48</f>
        <v>#DIV/0!</v>
      </c>
      <c r="F48" s="1417"/>
      <c r="G48" s="1415" t="e">
        <f>T48</f>
        <v>#DIV/0!</v>
      </c>
      <c r="H48" s="1416"/>
      <c r="I48" s="1417" t="e">
        <f>V48</f>
        <v>#DIV/0!</v>
      </c>
      <c r="J48" s="1416"/>
      <c r="K48" s="784"/>
      <c r="L48" s="1145"/>
      <c r="M48" s="1146"/>
      <c r="N48" s="1133"/>
      <c r="O48" s="1146"/>
      <c r="P48" s="3516" t="str">
        <f>A48</f>
        <v>比较价值（元/平方米）</v>
      </c>
      <c r="Q48" s="351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759"/>
      <c r="Y48" s="759"/>
      <c r="Z48" s="759"/>
      <c r="AA48" s="759"/>
      <c r="AB48" s="759"/>
      <c r="AC48" s="759"/>
    </row>
    <row r="49" spans="1:29" ht="15.75" thickBot="1">
      <c r="A49" s="492" t="s">
        <v>2626</v>
      </c>
      <c r="B49" s="493"/>
      <c r="C49" s="1419" t="e">
        <f>R49</f>
        <v>#DIV/0!</v>
      </c>
      <c r="D49" s="1419"/>
      <c r="E49" s="1419"/>
      <c r="F49" s="1419"/>
      <c r="G49" s="1419"/>
      <c r="H49" s="1419"/>
      <c r="I49" s="1419"/>
      <c r="J49" s="1419"/>
      <c r="K49" s="785"/>
      <c r="L49" s="1145"/>
      <c r="M49" s="1146"/>
      <c r="N49" s="1133"/>
      <c r="O49" s="1146"/>
      <c r="P49" s="3536" t="str">
        <f>A49</f>
        <v>估价对象XX用房的比较价值（楼面单价，元/平方米）</v>
      </c>
      <c r="Q49" s="3537"/>
      <c r="R49" s="3546" t="e">
        <f>IF(F1="售价",ROUND(AVERAGE(R48:V48),0),ROUND(AVERAGE(R48:V48),1))</f>
        <v>#DIV/0!</v>
      </c>
      <c r="S49" s="3546"/>
      <c r="T49" s="3546"/>
      <c r="U49" s="3546"/>
      <c r="V49" s="3546"/>
      <c r="W49" s="354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2630</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2504</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2506</v>
      </c>
      <c r="B61" s="510"/>
      <c r="C61" s="522" t="s">
        <v>2608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5"/>
      <c r="O66" s="1155"/>
      <c r="P66" s="2627"/>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2636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2519</v>
      </c>
      <c r="B100" s="528" t="s">
        <v>2637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2572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2638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2639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2640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2642</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IF(C2="——",ROUND(C50*D3/10000,0),ROUND(C50*D3/10000,0)-D2)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IF(C2="——",C50,ROUND(B2*10000/D3,0))</f>
        <v>#DIV/0!</v>
      </c>
      <c r="C3" s="400" t="s">
        <v>2600</v>
      </c>
      <c r="D3" s="399">
        <f>IF(D1="",'数据-汇总表'!E3,SUMIF('数据-汇总表'!$C19:$C33,D1,'数据-汇总表'!$E19:$E33))</f>
        <v>48502.210000000006</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2601</v>
      </c>
      <c r="B4" s="402"/>
      <c r="C4" s="3517" t="s">
        <v>2602</v>
      </c>
      <c r="D4" s="3518"/>
      <c r="E4" s="3519" t="s">
        <v>2603</v>
      </c>
      <c r="F4" s="3520"/>
      <c r="G4" s="3517" t="s">
        <v>2604</v>
      </c>
      <c r="H4" s="3518"/>
      <c r="I4" s="3517" t="s">
        <v>2605</v>
      </c>
      <c r="J4" s="3518"/>
      <c r="K4" s="610" t="s">
        <v>2606</v>
      </c>
      <c r="L4" s="1132"/>
      <c r="M4" s="1133"/>
      <c r="N4" s="1133"/>
      <c r="O4" s="1133"/>
      <c r="P4" s="3587" t="s">
        <v>2607</v>
      </c>
      <c r="Q4" s="3588"/>
      <c r="R4" s="3582" t="s">
        <v>2603</v>
      </c>
      <c r="S4" s="3583"/>
      <c r="T4" s="3582" t="s">
        <v>2604</v>
      </c>
      <c r="U4" s="3583"/>
      <c r="V4" s="3591" t="s">
        <v>2605</v>
      </c>
      <c r="W4" s="3591"/>
      <c r="X4" s="2667"/>
      <c r="Y4" s="3582" t="s">
        <v>2607</v>
      </c>
      <c r="Z4" s="3583"/>
      <c r="AA4" s="3581" t="s">
        <v>2603</v>
      </c>
      <c r="AB4" s="3581" t="s">
        <v>2604</v>
      </c>
      <c r="AC4" s="3584" t="s">
        <v>2605</v>
      </c>
    </row>
    <row r="5" spans="1:29" ht="15">
      <c r="A5" s="404"/>
      <c r="B5" s="405"/>
      <c r="C5" s="3509" t="s">
        <v>2498</v>
      </c>
      <c r="D5" s="3510"/>
      <c r="E5" s="3545" t="s">
        <v>2499</v>
      </c>
      <c r="F5" s="3508"/>
      <c r="G5" s="3509" t="s">
        <v>2500</v>
      </c>
      <c r="H5" s="3510"/>
      <c r="I5" s="3509" t="s">
        <v>2501</v>
      </c>
      <c r="J5" s="3510"/>
      <c r="K5" s="610"/>
      <c r="L5" s="1132"/>
      <c r="M5" s="1133"/>
      <c r="N5" s="1133"/>
      <c r="O5" s="1133"/>
      <c r="P5" s="3589"/>
      <c r="Q5" s="3524"/>
      <c r="R5" s="3505"/>
      <c r="S5" s="3506"/>
      <c r="T5" s="3505"/>
      <c r="U5" s="3506"/>
      <c r="V5" s="3529"/>
      <c r="W5" s="3529"/>
      <c r="X5" s="1815"/>
      <c r="Y5" s="3505"/>
      <c r="Z5" s="3506"/>
      <c r="AA5" s="3499"/>
      <c r="AB5" s="3499"/>
      <c r="AC5" s="3585"/>
    </row>
    <row r="6" spans="1:29" ht="15.75" thickBot="1">
      <c r="A6" s="406"/>
      <c r="B6" s="407"/>
      <c r="C6" s="3511" t="s">
        <v>2502</v>
      </c>
      <c r="D6" s="3512"/>
      <c r="E6" s="3514" t="s">
        <v>2502</v>
      </c>
      <c r="F6" s="3515"/>
      <c r="G6" s="3511" t="s">
        <v>2502</v>
      </c>
      <c r="H6" s="3512"/>
      <c r="I6" s="3511" t="s">
        <v>2502</v>
      </c>
      <c r="J6" s="3512"/>
      <c r="K6" s="610" t="s">
        <v>2503</v>
      </c>
      <c r="L6" s="1132"/>
      <c r="M6" s="1133"/>
      <c r="N6" s="1133"/>
      <c r="O6" s="1133"/>
      <c r="P6" s="3590"/>
      <c r="Q6" s="3526"/>
      <c r="R6" s="3505"/>
      <c r="S6" s="3506"/>
      <c r="T6" s="3527"/>
      <c r="U6" s="3528"/>
      <c r="V6" s="3529"/>
      <c r="W6" s="3529"/>
      <c r="X6" s="1815"/>
      <c r="Y6" s="3527"/>
      <c r="Z6" s="3528"/>
      <c r="AA6" s="3500"/>
      <c r="AB6" s="3500"/>
      <c r="AC6" s="3586"/>
    </row>
    <row r="7" spans="1:29" s="117" customFormat="1" ht="15.75" thickBot="1">
      <c r="A7" s="408" t="s">
        <v>2504</v>
      </c>
      <c r="B7" s="409"/>
      <c r="C7" s="410">
        <f>'数据-取费表'!B2</f>
        <v>43109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592" t="s">
        <v>2505</v>
      </c>
      <c r="Q7" s="3530"/>
      <c r="R7" s="770" t="s">
        <v>17</v>
      </c>
      <c r="S7" s="771">
        <f t="shared" ref="S7:S15" si="0">F7</f>
        <v>0</v>
      </c>
      <c r="T7" s="770" t="s">
        <v>17</v>
      </c>
      <c r="U7" s="771">
        <f t="shared" ref="U7:U15" si="1">H7</f>
        <v>0</v>
      </c>
      <c r="V7" s="770" t="s">
        <v>17</v>
      </c>
      <c r="W7" s="771">
        <f t="shared" ref="W7:W15" si="2">J7</f>
        <v>0</v>
      </c>
      <c r="X7" s="772"/>
      <c r="Y7" s="3501" t="s">
        <v>2505</v>
      </c>
      <c r="Z7" s="3502"/>
      <c r="AA7" s="773" t="e">
        <f>D7/F7</f>
        <v>#DIV/0!</v>
      </c>
      <c r="AB7" s="773" t="e">
        <f>D7/H7</f>
        <v>#DIV/0!</v>
      </c>
      <c r="AC7" s="2668"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592" t="s">
        <v>2508</v>
      </c>
      <c r="Q8" s="3502"/>
      <c r="R8" s="770" t="s">
        <v>17</v>
      </c>
      <c r="S8" s="771">
        <f t="shared" si="0"/>
        <v>0</v>
      </c>
      <c r="T8" s="770" t="s">
        <v>17</v>
      </c>
      <c r="U8" s="771">
        <f t="shared" si="1"/>
        <v>0</v>
      </c>
      <c r="V8" s="770" t="s">
        <v>17</v>
      </c>
      <c r="W8" s="771">
        <f t="shared" si="2"/>
        <v>0</v>
      </c>
      <c r="X8" s="772"/>
      <c r="Y8" s="3501" t="s">
        <v>2508</v>
      </c>
      <c r="Z8" s="3502"/>
      <c r="AA8" s="773" t="e">
        <f t="shared" ref="AA8:AA47" si="3">D8/F8</f>
        <v>#DIV/0!</v>
      </c>
      <c r="AB8" s="773" t="e">
        <f t="shared" ref="AB8:AB47" si="4">D8/H8</f>
        <v>#DIV/0!</v>
      </c>
      <c r="AC8" s="2668"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540" t="s">
        <v>2511</v>
      </c>
      <c r="Q9" s="1797" t="str">
        <f t="shared" ref="Q9:Q15" si="6">B9</f>
        <v>用途</v>
      </c>
      <c r="R9" s="770" t="s">
        <v>17</v>
      </c>
      <c r="S9" s="771">
        <f t="shared" si="0"/>
        <v>100</v>
      </c>
      <c r="T9" s="770" t="s">
        <v>17</v>
      </c>
      <c r="U9" s="771">
        <f t="shared" si="1"/>
        <v>100</v>
      </c>
      <c r="V9" s="770" t="s">
        <v>17</v>
      </c>
      <c r="W9" s="771">
        <f t="shared" si="2"/>
        <v>100</v>
      </c>
      <c r="X9" s="772"/>
      <c r="Y9" s="3378" t="s">
        <v>2512</v>
      </c>
      <c r="Z9" s="55" t="str">
        <f t="shared" ref="Z9:Z15" si="7">Q9</f>
        <v>用途</v>
      </c>
      <c r="AA9" s="773">
        <f t="shared" si="3"/>
        <v>1</v>
      </c>
      <c r="AB9" s="773">
        <f t="shared" si="4"/>
        <v>1</v>
      </c>
      <c r="AC9" s="2668">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540"/>
      <c r="Q10" s="1797" t="str">
        <f t="shared" si="6"/>
        <v>土地使用年限（年）</v>
      </c>
      <c r="R10" s="770" t="s">
        <v>17</v>
      </c>
      <c r="S10" s="771">
        <f t="shared" si="0"/>
        <v>100</v>
      </c>
      <c r="T10" s="770" t="s">
        <v>17</v>
      </c>
      <c r="U10" s="771">
        <f t="shared" si="1"/>
        <v>100</v>
      </c>
      <c r="V10" s="770" t="s">
        <v>17</v>
      </c>
      <c r="W10" s="771">
        <f t="shared" si="2"/>
        <v>100</v>
      </c>
      <c r="X10" s="772"/>
      <c r="Y10" s="3378"/>
      <c r="Z10" s="55" t="str">
        <f t="shared" si="7"/>
        <v>土地使用年限（年）</v>
      </c>
      <c r="AA10" s="773">
        <f t="shared" si="3"/>
        <v>1</v>
      </c>
      <c r="AB10" s="773">
        <f t="shared" si="4"/>
        <v>1</v>
      </c>
      <c r="AC10" s="2668">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540"/>
      <c r="Q11" s="1797" t="str">
        <f t="shared" si="6"/>
        <v>容积率</v>
      </c>
      <c r="R11" s="770" t="s">
        <v>17</v>
      </c>
      <c r="S11" s="771" t="e">
        <f t="shared" si="0"/>
        <v>#N/A</v>
      </c>
      <c r="T11" s="770" t="s">
        <v>17</v>
      </c>
      <c r="U11" s="771" t="e">
        <f t="shared" si="1"/>
        <v>#N/A</v>
      </c>
      <c r="V11" s="770" t="s">
        <v>17</v>
      </c>
      <c r="W11" s="771" t="e">
        <f t="shared" si="2"/>
        <v>#N/A</v>
      </c>
      <c r="X11" s="772"/>
      <c r="Y11" s="3378"/>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540"/>
      <c r="Q12" s="1797">
        <f t="shared" si="6"/>
        <v>111</v>
      </c>
      <c r="R12" s="770" t="s">
        <v>17</v>
      </c>
      <c r="S12" s="771">
        <f t="shared" si="0"/>
        <v>100</v>
      </c>
      <c r="T12" s="770" t="s">
        <v>17</v>
      </c>
      <c r="U12" s="771">
        <f t="shared" si="1"/>
        <v>100</v>
      </c>
      <c r="V12" s="770" t="s">
        <v>17</v>
      </c>
      <c r="W12" s="771">
        <f t="shared" si="2"/>
        <v>100</v>
      </c>
      <c r="X12" s="772"/>
      <c r="Y12" s="3378"/>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540"/>
      <c r="Q13" s="1797">
        <f t="shared" si="6"/>
        <v>111</v>
      </c>
      <c r="R13" s="770" t="s">
        <v>17</v>
      </c>
      <c r="S13" s="771">
        <f t="shared" si="0"/>
        <v>100</v>
      </c>
      <c r="T13" s="770" t="s">
        <v>17</v>
      </c>
      <c r="U13" s="771">
        <f t="shared" si="1"/>
        <v>100</v>
      </c>
      <c r="V13" s="770" t="s">
        <v>17</v>
      </c>
      <c r="W13" s="771">
        <f t="shared" si="2"/>
        <v>100</v>
      </c>
      <c r="X13" s="772"/>
      <c r="Y13" s="3378"/>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540"/>
      <c r="Q14" s="1797">
        <f t="shared" si="6"/>
        <v>111</v>
      </c>
      <c r="R14" s="770" t="s">
        <v>17</v>
      </c>
      <c r="S14" s="771">
        <f t="shared" si="0"/>
        <v>100</v>
      </c>
      <c r="T14" s="770" t="s">
        <v>17</v>
      </c>
      <c r="U14" s="771">
        <f t="shared" si="1"/>
        <v>100</v>
      </c>
      <c r="V14" s="770" t="s">
        <v>17</v>
      </c>
      <c r="W14" s="771">
        <f t="shared" si="2"/>
        <v>100</v>
      </c>
      <c r="X14" s="772"/>
      <c r="Y14" s="3378"/>
      <c r="Z14" s="55">
        <f t="shared" si="7"/>
        <v>111</v>
      </c>
      <c r="AA14" s="773">
        <f t="shared" si="3"/>
        <v>1</v>
      </c>
      <c r="AB14" s="773">
        <f t="shared" si="4"/>
        <v>1</v>
      </c>
      <c r="AC14" s="2668">
        <f t="shared" si="5"/>
        <v>1</v>
      </c>
    </row>
    <row r="15" spans="1:29" ht="71.25">
      <c r="A15" s="440" t="s">
        <v>2515</v>
      </c>
      <c r="B15" s="629" t="s">
        <v>2643</v>
      </c>
      <c r="C15" s="2670" t="str">
        <f>估价对象房地状况!C5</f>
        <v>估价对象位于三元桥商圈，周边有佳程广场、南银大厦等，入驻率高，办公集聚程度较好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552" t="s">
        <v>2516</v>
      </c>
      <c r="Q15" s="1812" t="str">
        <f t="shared" si="6"/>
        <v>办公集聚程度</v>
      </c>
      <c r="R15" s="774" t="s">
        <v>17</v>
      </c>
      <c r="S15" s="775">
        <f t="shared" si="0"/>
        <v>100</v>
      </c>
      <c r="T15" s="774" t="s">
        <v>17</v>
      </c>
      <c r="U15" s="775">
        <f t="shared" si="1"/>
        <v>100</v>
      </c>
      <c r="V15" s="774" t="s">
        <v>17</v>
      </c>
      <c r="W15" s="775">
        <f t="shared" si="2"/>
        <v>100</v>
      </c>
      <c r="X15" s="1815"/>
      <c r="Y15" s="3531" t="s">
        <v>2516</v>
      </c>
      <c r="Z15" s="1816" t="str">
        <f t="shared" si="7"/>
        <v>办公集聚程度</v>
      </c>
      <c r="AA15" s="1813">
        <f t="shared" si="3"/>
        <v>1</v>
      </c>
      <c r="AB15" s="1813">
        <f t="shared" si="4"/>
        <v>1</v>
      </c>
      <c r="AC15" s="2671">
        <f t="shared" si="5"/>
        <v>1</v>
      </c>
    </row>
    <row r="16" spans="1:29" ht="15">
      <c r="A16" s="428"/>
      <c r="B16" s="630"/>
      <c r="C16" s="2608"/>
      <c r="D16" s="448"/>
      <c r="E16" s="447"/>
      <c r="F16" s="448"/>
      <c r="G16" s="2608"/>
      <c r="H16" s="450"/>
      <c r="I16" s="447"/>
      <c r="J16" s="448"/>
      <c r="K16" s="615"/>
      <c r="L16" s="1142"/>
      <c r="M16" s="1133"/>
      <c r="N16" s="1133"/>
      <c r="O16" s="1133"/>
      <c r="P16" s="3553"/>
      <c r="Q16" s="1812"/>
      <c r="R16" s="774"/>
      <c r="S16" s="775"/>
      <c r="T16" s="774"/>
      <c r="U16" s="775"/>
      <c r="V16" s="774"/>
      <c r="W16" s="775"/>
      <c r="X16" s="1815"/>
      <c r="Y16" s="3532"/>
      <c r="Z16" s="1816"/>
      <c r="AA16" s="1813">
        <v>1</v>
      </c>
      <c r="AB16" s="1813">
        <v>1</v>
      </c>
      <c r="AC16" s="2671">
        <v>1</v>
      </c>
    </row>
    <row r="17" spans="1:29" ht="71.25">
      <c r="A17" s="428"/>
      <c r="B17" s="631" t="s">
        <v>2055</v>
      </c>
      <c r="C17" s="2672" t="str">
        <f>估价对象房地状况!C6</f>
        <v>估价对象周边有405、641等公交线路及地铁10号线经过，综合评价交通便捷度较好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553"/>
      <c r="Q17" s="1812" t="str">
        <f>B17</f>
        <v>交通便捷度</v>
      </c>
      <c r="R17" s="774" t="s">
        <v>17</v>
      </c>
      <c r="S17" s="775">
        <f>F17</f>
        <v>100</v>
      </c>
      <c r="T17" s="774" t="s">
        <v>17</v>
      </c>
      <c r="U17" s="775">
        <f>H17</f>
        <v>100</v>
      </c>
      <c r="V17" s="774" t="s">
        <v>17</v>
      </c>
      <c r="W17" s="775">
        <f>J17</f>
        <v>100</v>
      </c>
      <c r="X17" s="1815"/>
      <c r="Y17" s="3532"/>
      <c r="Z17" s="1816" t="str">
        <f>Q17</f>
        <v>交通便捷度</v>
      </c>
      <c r="AA17" s="1813">
        <f t="shared" si="3"/>
        <v>1</v>
      </c>
      <c r="AB17" s="1813">
        <f t="shared" si="4"/>
        <v>1</v>
      </c>
      <c r="AC17" s="2671">
        <f t="shared" si="5"/>
        <v>1</v>
      </c>
    </row>
    <row r="18" spans="1:29" ht="15">
      <c r="A18" s="428"/>
      <c r="B18" s="632"/>
      <c r="C18" s="2673"/>
      <c r="D18" s="450"/>
      <c r="E18" s="2606"/>
      <c r="F18" s="450"/>
      <c r="G18" s="2607"/>
      <c r="H18" s="448"/>
      <c r="I18" s="2607"/>
      <c r="J18" s="448"/>
      <c r="K18" s="615"/>
      <c r="L18" s="1142"/>
      <c r="M18" s="1133"/>
      <c r="N18" s="1133"/>
      <c r="O18" s="1133"/>
      <c r="P18" s="3553"/>
      <c r="Q18" s="1812"/>
      <c r="R18" s="774"/>
      <c r="S18" s="775"/>
      <c r="T18" s="774"/>
      <c r="U18" s="775"/>
      <c r="V18" s="774"/>
      <c r="W18" s="775"/>
      <c r="X18" s="1815"/>
      <c r="Y18" s="3532"/>
      <c r="Z18" s="1816"/>
      <c r="AA18" s="1813">
        <v>1</v>
      </c>
      <c r="AB18" s="1813">
        <v>1</v>
      </c>
      <c r="AC18" s="2671">
        <v>1</v>
      </c>
    </row>
    <row r="19" spans="1:29" ht="42.75">
      <c r="A19" s="428"/>
      <c r="B19" s="631" t="s">
        <v>2644</v>
      </c>
      <c r="C19" s="2672"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553"/>
      <c r="Q19" s="1812" t="str">
        <f>B19</f>
        <v>公共配套设施</v>
      </c>
      <c r="R19" s="774" t="s">
        <v>17</v>
      </c>
      <c r="S19" s="775">
        <f>F19</f>
        <v>100</v>
      </c>
      <c r="T19" s="774" t="s">
        <v>17</v>
      </c>
      <c r="U19" s="775">
        <f>H19</f>
        <v>100</v>
      </c>
      <c r="V19" s="774" t="s">
        <v>17</v>
      </c>
      <c r="W19" s="775">
        <f>J19</f>
        <v>100</v>
      </c>
      <c r="X19" s="1815"/>
      <c r="Y19" s="3532"/>
      <c r="Z19" s="1816" t="str">
        <f>Q19</f>
        <v>公共配套设施</v>
      </c>
      <c r="AA19" s="1813">
        <f t="shared" si="3"/>
        <v>1</v>
      </c>
      <c r="AB19" s="1813">
        <f t="shared" si="4"/>
        <v>1</v>
      </c>
      <c r="AC19" s="2671">
        <f t="shared" si="5"/>
        <v>1</v>
      </c>
    </row>
    <row r="20" spans="1:29" ht="15">
      <c r="A20" s="428"/>
      <c r="B20" s="632"/>
      <c r="C20" s="2608"/>
      <c r="D20" s="448"/>
      <c r="E20" s="2601"/>
      <c r="F20" s="448"/>
      <c r="G20" s="2602"/>
      <c r="H20" s="448"/>
      <c r="I20" s="2602"/>
      <c r="J20" s="448"/>
      <c r="K20" s="615"/>
      <c r="L20" s="1142"/>
      <c r="M20" s="1133"/>
      <c r="N20" s="1133"/>
      <c r="O20" s="1133"/>
      <c r="P20" s="3553"/>
      <c r="Q20" s="1812"/>
      <c r="R20" s="774"/>
      <c r="S20" s="775"/>
      <c r="T20" s="774"/>
      <c r="U20" s="775"/>
      <c r="V20" s="774"/>
      <c r="W20" s="775"/>
      <c r="X20" s="1815"/>
      <c r="Y20" s="3532"/>
      <c r="Z20" s="1816"/>
      <c r="AA20" s="1813">
        <v>1</v>
      </c>
      <c r="AB20" s="1813">
        <v>1</v>
      </c>
      <c r="AC20" s="2671">
        <v>1</v>
      </c>
    </row>
    <row r="21" spans="1:29" ht="28.5">
      <c r="A21" s="428"/>
      <c r="B21" s="633" t="s">
        <v>2645</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553"/>
      <c r="Q21" s="1812" t="str">
        <f>B21</f>
        <v>基础设施水平</v>
      </c>
      <c r="R21" s="774" t="s">
        <v>17</v>
      </c>
      <c r="S21" s="775">
        <f>F21</f>
        <v>100</v>
      </c>
      <c r="T21" s="774" t="s">
        <v>17</v>
      </c>
      <c r="U21" s="775">
        <f>H21</f>
        <v>100</v>
      </c>
      <c r="V21" s="774" t="s">
        <v>17</v>
      </c>
      <c r="W21" s="775">
        <f>J21</f>
        <v>100</v>
      </c>
      <c r="X21" s="1815"/>
      <c r="Y21" s="3532"/>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553"/>
      <c r="Q22" s="1812"/>
      <c r="R22" s="774"/>
      <c r="S22" s="775"/>
      <c r="T22" s="774"/>
      <c r="U22" s="775"/>
      <c r="V22" s="774"/>
      <c r="W22" s="775"/>
      <c r="X22" s="1815"/>
      <c r="Y22" s="3532"/>
      <c r="Z22" s="1816"/>
      <c r="AA22" s="1813">
        <v>1</v>
      </c>
      <c r="AB22" s="1813">
        <v>1</v>
      </c>
      <c r="AC22" s="2671">
        <v>1</v>
      </c>
    </row>
    <row r="23" spans="1:29" ht="42.75">
      <c r="A23" s="428"/>
      <c r="B23" s="631" t="s">
        <v>2646</v>
      </c>
      <c r="C23" s="267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553"/>
      <c r="Q23" s="1812" t="str">
        <f>B23</f>
        <v>环境质量</v>
      </c>
      <c r="R23" s="774" t="s">
        <v>17</v>
      </c>
      <c r="S23" s="775">
        <f>F23</f>
        <v>100</v>
      </c>
      <c r="T23" s="774" t="s">
        <v>17</v>
      </c>
      <c r="U23" s="775">
        <f>H23</f>
        <v>100</v>
      </c>
      <c r="V23" s="774" t="s">
        <v>17</v>
      </c>
      <c r="W23" s="775">
        <f>J23</f>
        <v>100</v>
      </c>
      <c r="X23" s="1815"/>
      <c r="Y23" s="3532"/>
      <c r="Z23" s="1816" t="str">
        <f>Q23</f>
        <v>环境质量</v>
      </c>
      <c r="AA23" s="1813">
        <f t="shared" si="3"/>
        <v>1</v>
      </c>
      <c r="AB23" s="1813">
        <f t="shared" si="4"/>
        <v>1</v>
      </c>
      <c r="AC23" s="2671">
        <f t="shared" si="5"/>
        <v>1</v>
      </c>
    </row>
    <row r="24" spans="1:29" ht="15">
      <c r="A24" s="428"/>
      <c r="B24" s="633"/>
      <c r="C24" s="2608"/>
      <c r="D24" s="448"/>
      <c r="E24" s="2601"/>
      <c r="F24" s="448"/>
      <c r="G24" s="2602"/>
      <c r="H24" s="448"/>
      <c r="I24" s="2602"/>
      <c r="J24" s="448"/>
      <c r="K24" s="615"/>
      <c r="L24" s="1142"/>
      <c r="M24" s="1133"/>
      <c r="N24" s="1133"/>
      <c r="O24" s="1133"/>
      <c r="P24" s="3553"/>
      <c r="Q24" s="1812"/>
      <c r="R24" s="774"/>
      <c r="S24" s="775"/>
      <c r="T24" s="774"/>
      <c r="U24" s="775"/>
      <c r="V24" s="774"/>
      <c r="W24" s="775"/>
      <c r="X24" s="1815"/>
      <c r="Y24" s="3532"/>
      <c r="Z24" s="1816"/>
      <c r="AA24" s="1813">
        <v>1</v>
      </c>
      <c r="AB24" s="1813">
        <v>1</v>
      </c>
      <c r="AC24" s="2671">
        <v>1</v>
      </c>
    </row>
    <row r="25" spans="1:29" ht="27">
      <c r="A25" s="404"/>
      <c r="B25" s="631" t="s">
        <v>2647</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553"/>
      <c r="Q25" s="1812" t="str">
        <f>B25</f>
        <v>毗邻道路的类型与等级</v>
      </c>
      <c r="R25" s="774" t="s">
        <v>17</v>
      </c>
      <c r="S25" s="775">
        <f>F25</f>
        <v>100</v>
      </c>
      <c r="T25" s="774" t="s">
        <v>17</v>
      </c>
      <c r="U25" s="775">
        <f>H25</f>
        <v>100</v>
      </c>
      <c r="V25" s="774" t="s">
        <v>17</v>
      </c>
      <c r="W25" s="775">
        <f>J25</f>
        <v>100</v>
      </c>
      <c r="X25" s="1815"/>
      <c r="Y25" s="3532"/>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2"/>
      <c r="M26" s="1133"/>
      <c r="N26" s="1133"/>
      <c r="O26" s="1133"/>
      <c r="P26" s="3553"/>
      <c r="Q26" s="1812"/>
      <c r="R26" s="774"/>
      <c r="S26" s="775"/>
      <c r="T26" s="774"/>
      <c r="U26" s="775"/>
      <c r="V26" s="774"/>
      <c r="W26" s="775"/>
      <c r="X26" s="1815"/>
      <c r="Y26" s="3532"/>
      <c r="Z26" s="1816"/>
      <c r="AA26" s="1813">
        <v>1</v>
      </c>
      <c r="AB26" s="1813">
        <v>1</v>
      </c>
      <c r="AC26" s="2671">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553"/>
      <c r="Q27" s="1812" t="str">
        <f t="shared" ref="Q27:Q47" si="11">B27</f>
        <v>楼层</v>
      </c>
      <c r="R27" s="774" t="s">
        <v>17</v>
      </c>
      <c r="S27" s="775">
        <f>F27</f>
        <v>100</v>
      </c>
      <c r="T27" s="774" t="s">
        <v>17</v>
      </c>
      <c r="U27" s="775">
        <f>H27</f>
        <v>100</v>
      </c>
      <c r="V27" s="774" t="s">
        <v>17</v>
      </c>
      <c r="W27" s="775">
        <f>J27</f>
        <v>100</v>
      </c>
      <c r="X27" s="1815"/>
      <c r="Y27" s="3532"/>
      <c r="Z27" s="1816" t="str">
        <f>Q27</f>
        <v>楼层</v>
      </c>
      <c r="AA27" s="1813">
        <f t="shared" si="3"/>
        <v>1</v>
      </c>
      <c r="AB27" s="1813">
        <f t="shared" si="4"/>
        <v>1</v>
      </c>
      <c r="AC27" s="2671">
        <f t="shared" si="5"/>
        <v>1</v>
      </c>
    </row>
    <row r="28" spans="1:29" s="117" customFormat="1" ht="15">
      <c r="A28" s="431"/>
      <c r="B28" s="631" t="s">
        <v>2648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553"/>
      <c r="Q28" s="1797" t="str">
        <f t="shared" si="11"/>
        <v>朝向</v>
      </c>
      <c r="R28" s="770" t="s">
        <v>17</v>
      </c>
      <c r="S28" s="771">
        <f>F28</f>
        <v>100</v>
      </c>
      <c r="T28" s="770" t="s">
        <v>17</v>
      </c>
      <c r="U28" s="771">
        <f>H28</f>
        <v>100</v>
      </c>
      <c r="V28" s="770" t="s">
        <v>17</v>
      </c>
      <c r="W28" s="771">
        <f>J28</f>
        <v>100</v>
      </c>
      <c r="X28" s="772"/>
      <c r="Y28" s="3532"/>
      <c r="Z28" s="55" t="str">
        <f>Q28</f>
        <v>朝向</v>
      </c>
      <c r="AA28" s="1813">
        <f>D28/F28</f>
        <v>1</v>
      </c>
      <c r="AB28" s="1813">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553"/>
      <c r="Q29" s="1812">
        <f t="shared" si="11"/>
        <v>111</v>
      </c>
      <c r="R29" s="774" t="s">
        <v>17</v>
      </c>
      <c r="S29" s="775">
        <f t="shared" ref="S29:S47" si="12">F29</f>
        <v>100</v>
      </c>
      <c r="T29" s="774" t="s">
        <v>17</v>
      </c>
      <c r="U29" s="775">
        <f t="shared" ref="U29:U47" si="13">H29</f>
        <v>100</v>
      </c>
      <c r="V29" s="774" t="s">
        <v>17</v>
      </c>
      <c r="W29" s="775">
        <f t="shared" ref="W29:W47" si="14">J29</f>
        <v>100</v>
      </c>
      <c r="X29" s="1815"/>
      <c r="Y29" s="3532"/>
      <c r="Z29" s="1816">
        <f t="shared" ref="Z29:Z47" si="15">Q29</f>
        <v>111</v>
      </c>
      <c r="AA29" s="1813">
        <f t="shared" si="3"/>
        <v>1</v>
      </c>
      <c r="AB29" s="1813">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553"/>
      <c r="Q30" s="1812">
        <f t="shared" si="11"/>
        <v>111</v>
      </c>
      <c r="R30" s="774" t="s">
        <v>17</v>
      </c>
      <c r="S30" s="775">
        <f t="shared" si="12"/>
        <v>100</v>
      </c>
      <c r="T30" s="774" t="s">
        <v>17</v>
      </c>
      <c r="U30" s="775">
        <f t="shared" si="13"/>
        <v>100</v>
      </c>
      <c r="V30" s="774" t="s">
        <v>17</v>
      </c>
      <c r="W30" s="775">
        <f t="shared" si="14"/>
        <v>100</v>
      </c>
      <c r="X30" s="1815"/>
      <c r="Y30" s="3532"/>
      <c r="Z30" s="1816">
        <f t="shared" si="15"/>
        <v>111</v>
      </c>
      <c r="AA30" s="1813">
        <f t="shared" si="3"/>
        <v>1</v>
      </c>
      <c r="AB30" s="1813">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553"/>
      <c r="Q31" s="1812">
        <f t="shared" si="11"/>
        <v>111</v>
      </c>
      <c r="R31" s="774" t="s">
        <v>17</v>
      </c>
      <c r="S31" s="775">
        <f t="shared" si="12"/>
        <v>100</v>
      </c>
      <c r="T31" s="774" t="s">
        <v>17</v>
      </c>
      <c r="U31" s="775">
        <f t="shared" si="13"/>
        <v>100</v>
      </c>
      <c r="V31" s="774" t="s">
        <v>17</v>
      </c>
      <c r="W31" s="775">
        <f t="shared" si="14"/>
        <v>100</v>
      </c>
      <c r="X31" s="1815"/>
      <c r="Y31" s="3532"/>
      <c r="Z31" s="1816">
        <f t="shared" si="15"/>
        <v>111</v>
      </c>
      <c r="AA31" s="1813">
        <f t="shared" si="3"/>
        <v>1</v>
      </c>
      <c r="AB31" s="1813">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553"/>
      <c r="Q32" s="1812">
        <f t="shared" si="11"/>
        <v>111</v>
      </c>
      <c r="R32" s="774" t="s">
        <v>17</v>
      </c>
      <c r="S32" s="775">
        <f t="shared" si="12"/>
        <v>100</v>
      </c>
      <c r="T32" s="774" t="s">
        <v>17</v>
      </c>
      <c r="U32" s="775">
        <f t="shared" si="13"/>
        <v>100</v>
      </c>
      <c r="V32" s="774" t="s">
        <v>17</v>
      </c>
      <c r="W32" s="775">
        <f t="shared" si="14"/>
        <v>100</v>
      </c>
      <c r="X32" s="1815"/>
      <c r="Y32" s="3532"/>
      <c r="Z32" s="1816">
        <f t="shared" si="15"/>
        <v>111</v>
      </c>
      <c r="AA32" s="1813">
        <f t="shared" si="3"/>
        <v>1</v>
      </c>
      <c r="AB32" s="1813">
        <f t="shared" si="4"/>
        <v>1</v>
      </c>
      <c r="AC32" s="2671">
        <f t="shared" si="5"/>
        <v>1</v>
      </c>
    </row>
    <row r="33" spans="1:29" ht="15">
      <c r="A33" s="440" t="s">
        <v>2519</v>
      </c>
      <c r="B33" s="71" t="s">
        <v>2649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48" t="s">
        <v>2521</v>
      </c>
      <c r="Q33" s="1812" t="str">
        <f t="shared" si="11"/>
        <v>建筑类型</v>
      </c>
      <c r="R33" s="774" t="s">
        <v>17</v>
      </c>
      <c r="S33" s="775">
        <f t="shared" si="12"/>
        <v>100</v>
      </c>
      <c r="T33" s="774" t="s">
        <v>17</v>
      </c>
      <c r="U33" s="775">
        <f t="shared" si="13"/>
        <v>100</v>
      </c>
      <c r="V33" s="774" t="s">
        <v>17</v>
      </c>
      <c r="W33" s="775">
        <f t="shared" si="14"/>
        <v>100</v>
      </c>
      <c r="X33" s="1815"/>
      <c r="Y33" s="3534" t="s">
        <v>2521</v>
      </c>
      <c r="Z33" s="1816" t="str">
        <f t="shared" si="15"/>
        <v>建筑类型</v>
      </c>
      <c r="AA33" s="1813">
        <f t="shared" si="3"/>
        <v>1</v>
      </c>
      <c r="AB33" s="1813">
        <f t="shared" si="4"/>
        <v>1</v>
      </c>
      <c r="AC33" s="2671">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549"/>
      <c r="Q34" s="776" t="str">
        <f t="shared" si="11"/>
        <v>项目建筑规模</v>
      </c>
      <c r="R34" s="777" t="s">
        <v>17</v>
      </c>
      <c r="S34" s="778" t="e">
        <f t="shared" si="12"/>
        <v>#N/A</v>
      </c>
      <c r="T34" s="777" t="s">
        <v>17</v>
      </c>
      <c r="U34" s="778" t="e">
        <f t="shared" si="13"/>
        <v>#N/A</v>
      </c>
      <c r="V34" s="777" t="s">
        <v>17</v>
      </c>
      <c r="W34" s="778" t="e">
        <f t="shared" si="14"/>
        <v>#N/A</v>
      </c>
      <c r="X34" s="779"/>
      <c r="Y34" s="3534"/>
      <c r="Z34" s="780" t="str">
        <f t="shared" si="15"/>
        <v>项目建筑规模</v>
      </c>
      <c r="AA34" s="1813" t="e">
        <f t="shared" si="3"/>
        <v>#N/A</v>
      </c>
      <c r="AB34" s="1813" t="e">
        <f t="shared" si="4"/>
        <v>#N/A</v>
      </c>
      <c r="AC34" s="2671"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49"/>
      <c r="Q35" s="1812" t="str">
        <f t="shared" si="11"/>
        <v>建筑结构</v>
      </c>
      <c r="R35" s="774" t="s">
        <v>17</v>
      </c>
      <c r="S35" s="775">
        <f t="shared" si="12"/>
        <v>100</v>
      </c>
      <c r="T35" s="774" t="s">
        <v>17</v>
      </c>
      <c r="U35" s="775">
        <f t="shared" si="13"/>
        <v>100</v>
      </c>
      <c r="V35" s="774" t="s">
        <v>17</v>
      </c>
      <c r="W35" s="775">
        <f t="shared" si="14"/>
        <v>100</v>
      </c>
      <c r="X35" s="1815"/>
      <c r="Y35" s="3534"/>
      <c r="Z35" s="1816" t="str">
        <f t="shared" si="15"/>
        <v>建筑结构</v>
      </c>
      <c r="AA35" s="1813">
        <f t="shared" si="3"/>
        <v>1</v>
      </c>
      <c r="AB35" s="1813">
        <f t="shared" si="4"/>
        <v>1</v>
      </c>
      <c r="AC35" s="2671">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549"/>
      <c r="Q36" s="1812" t="str">
        <f t="shared" si="11"/>
        <v>公共部分装修</v>
      </c>
      <c r="R36" s="774" t="s">
        <v>17</v>
      </c>
      <c r="S36" s="775">
        <f t="shared" si="12"/>
        <v>100</v>
      </c>
      <c r="T36" s="774" t="s">
        <v>17</v>
      </c>
      <c r="U36" s="775">
        <f t="shared" si="13"/>
        <v>100</v>
      </c>
      <c r="V36" s="774" t="s">
        <v>17</v>
      </c>
      <c r="W36" s="775">
        <f t="shared" si="14"/>
        <v>100</v>
      </c>
      <c r="X36" s="1815"/>
      <c r="Y36" s="3534"/>
      <c r="Z36" s="1816" t="str">
        <f t="shared" si="15"/>
        <v>公共部分装修</v>
      </c>
      <c r="AA36" s="1813">
        <f t="shared" si="3"/>
        <v>1</v>
      </c>
      <c r="AB36" s="1813">
        <f t="shared" si="4"/>
        <v>1</v>
      </c>
      <c r="AC36" s="2671">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549"/>
      <c r="Q37" s="1812" t="str">
        <f t="shared" si="11"/>
        <v>成新度</v>
      </c>
      <c r="R37" s="774" t="s">
        <v>17</v>
      </c>
      <c r="S37" s="775" t="e">
        <f t="shared" si="12"/>
        <v>#N/A</v>
      </c>
      <c r="T37" s="774" t="s">
        <v>17</v>
      </c>
      <c r="U37" s="775" t="e">
        <f t="shared" si="13"/>
        <v>#N/A</v>
      </c>
      <c r="V37" s="774" t="s">
        <v>17</v>
      </c>
      <c r="W37" s="775" t="e">
        <f t="shared" si="14"/>
        <v>#N/A</v>
      </c>
      <c r="X37" s="1815"/>
      <c r="Y37" s="3534"/>
      <c r="Z37" s="1816" t="str">
        <f t="shared" si="15"/>
        <v>成新度</v>
      </c>
      <c r="AA37" s="1813" t="e">
        <f t="shared" si="3"/>
        <v>#N/A</v>
      </c>
      <c r="AB37" s="1813" t="e">
        <f t="shared" si="4"/>
        <v>#N/A</v>
      </c>
      <c r="AC37" s="2671"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49"/>
      <c r="Q38" s="1797" t="str">
        <f t="shared" si="11"/>
        <v>写字楼等级</v>
      </c>
      <c r="R38" s="770" t="s">
        <v>17</v>
      </c>
      <c r="S38" s="771">
        <f t="shared" si="12"/>
        <v>100</v>
      </c>
      <c r="T38" s="770" t="s">
        <v>17</v>
      </c>
      <c r="U38" s="771">
        <f t="shared" si="13"/>
        <v>100</v>
      </c>
      <c r="V38" s="770" t="s">
        <v>17</v>
      </c>
      <c r="W38" s="771">
        <f t="shared" si="14"/>
        <v>100</v>
      </c>
      <c r="X38" s="772"/>
      <c r="Y38" s="3534"/>
      <c r="Z38" s="55" t="str">
        <f t="shared" si="15"/>
        <v>写字楼等级</v>
      </c>
      <c r="AA38" s="773">
        <f t="shared" si="3"/>
        <v>1</v>
      </c>
      <c r="AB38" s="773">
        <f t="shared" si="4"/>
        <v>1</v>
      </c>
      <c r="AC38" s="2668">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49" t="s">
        <v>2521</v>
      </c>
      <c r="Q39" s="1812" t="str">
        <f t="shared" si="11"/>
        <v>物业管理</v>
      </c>
      <c r="R39" s="774" t="s">
        <v>17</v>
      </c>
      <c r="S39" s="775">
        <f t="shared" si="12"/>
        <v>100</v>
      </c>
      <c r="T39" s="774" t="s">
        <v>17</v>
      </c>
      <c r="U39" s="775">
        <f t="shared" si="13"/>
        <v>100</v>
      </c>
      <c r="V39" s="774" t="s">
        <v>17</v>
      </c>
      <c r="W39" s="775">
        <f t="shared" si="14"/>
        <v>100</v>
      </c>
      <c r="X39" s="1815"/>
      <c r="Y39" s="3534" t="s">
        <v>2521</v>
      </c>
      <c r="Z39" s="1816" t="str">
        <f t="shared" si="15"/>
        <v>物业管理</v>
      </c>
      <c r="AA39" s="1813">
        <f t="shared" si="3"/>
        <v>1</v>
      </c>
      <c r="AB39" s="1813">
        <f t="shared" si="4"/>
        <v>1</v>
      </c>
      <c r="AC39" s="2671">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49"/>
      <c r="Q40" s="1812" t="str">
        <f t="shared" si="11"/>
        <v>市政基础设施</v>
      </c>
      <c r="R40" s="774" t="s">
        <v>17</v>
      </c>
      <c r="S40" s="775">
        <f t="shared" si="12"/>
        <v>100</v>
      </c>
      <c r="T40" s="774" t="s">
        <v>17</v>
      </c>
      <c r="U40" s="775">
        <f t="shared" si="13"/>
        <v>100</v>
      </c>
      <c r="V40" s="774" t="s">
        <v>17</v>
      </c>
      <c r="W40" s="775">
        <f t="shared" si="14"/>
        <v>100</v>
      </c>
      <c r="X40" s="1815"/>
      <c r="Y40" s="3534"/>
      <c r="Z40" s="1816" t="str">
        <f t="shared" si="15"/>
        <v>市政基础设施</v>
      </c>
      <c r="AA40" s="1813">
        <f t="shared" si="3"/>
        <v>1</v>
      </c>
      <c r="AB40" s="1813">
        <f t="shared" si="4"/>
        <v>1</v>
      </c>
      <c r="AC40" s="2671">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49"/>
      <c r="Q41" s="1812" t="str">
        <f t="shared" si="11"/>
        <v>层高</v>
      </c>
      <c r="R41" s="774" t="s">
        <v>17</v>
      </c>
      <c r="S41" s="775">
        <f t="shared" si="12"/>
        <v>100</v>
      </c>
      <c r="T41" s="774" t="s">
        <v>17</v>
      </c>
      <c r="U41" s="775">
        <f t="shared" si="13"/>
        <v>100</v>
      </c>
      <c r="V41" s="774" t="s">
        <v>17</v>
      </c>
      <c r="W41" s="775">
        <f t="shared" si="14"/>
        <v>100</v>
      </c>
      <c r="X41" s="1815"/>
      <c r="Y41" s="3534"/>
      <c r="Z41" s="1816" t="str">
        <f t="shared" si="15"/>
        <v>层高</v>
      </c>
      <c r="AA41" s="1813">
        <f t="shared" si="3"/>
        <v>1</v>
      </c>
      <c r="AB41" s="1813">
        <f t="shared" si="4"/>
        <v>1</v>
      </c>
      <c r="AC41" s="2671">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49"/>
      <c r="Q42" s="776" t="str">
        <f t="shared" si="11"/>
        <v>单套建筑面积</v>
      </c>
      <c r="R42" s="777" t="s">
        <v>17</v>
      </c>
      <c r="S42" s="778">
        <f t="shared" si="12"/>
        <v>100</v>
      </c>
      <c r="T42" s="777" t="s">
        <v>17</v>
      </c>
      <c r="U42" s="778">
        <f t="shared" si="13"/>
        <v>100</v>
      </c>
      <c r="V42" s="777" t="s">
        <v>17</v>
      </c>
      <c r="W42" s="778">
        <f t="shared" si="14"/>
        <v>100</v>
      </c>
      <c r="X42" s="779"/>
      <c r="Y42" s="3534"/>
      <c r="Z42" s="780" t="str">
        <f t="shared" si="15"/>
        <v>单套建筑面积</v>
      </c>
      <c r="AA42" s="1813">
        <f t="shared" si="3"/>
        <v>1</v>
      </c>
      <c r="AB42" s="1813">
        <f t="shared" si="4"/>
        <v>1</v>
      </c>
      <c r="AC42" s="2671">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549"/>
      <c r="Q43" s="1812" t="str">
        <f t="shared" si="11"/>
        <v>内部装修</v>
      </c>
      <c r="R43" s="774" t="s">
        <v>17</v>
      </c>
      <c r="S43" s="775">
        <f t="shared" si="12"/>
        <v>100</v>
      </c>
      <c r="T43" s="774" t="s">
        <v>17</v>
      </c>
      <c r="U43" s="775">
        <f t="shared" si="13"/>
        <v>100</v>
      </c>
      <c r="V43" s="774" t="s">
        <v>17</v>
      </c>
      <c r="W43" s="775">
        <f t="shared" si="14"/>
        <v>100</v>
      </c>
      <c r="X43" s="1815"/>
      <c r="Y43" s="3534"/>
      <c r="Z43" s="1816" t="str">
        <f t="shared" si="15"/>
        <v>内部装修</v>
      </c>
      <c r="AA43" s="1813">
        <f t="shared" si="3"/>
        <v>1</v>
      </c>
      <c r="AB43" s="1813">
        <f t="shared" si="4"/>
        <v>1</v>
      </c>
      <c r="AC43" s="2671">
        <f t="shared" si="5"/>
        <v>1</v>
      </c>
    </row>
    <row r="44" spans="1:29" ht="15">
      <c r="A44" s="472"/>
      <c r="B44" s="422" t="s">
        <v>2532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49"/>
      <c r="Q44" s="1812" t="str">
        <f t="shared" si="11"/>
        <v>内部装修维护情况</v>
      </c>
      <c r="R44" s="774" t="s">
        <v>17</v>
      </c>
      <c r="S44" s="775">
        <f t="shared" si="12"/>
        <v>100</v>
      </c>
      <c r="T44" s="774" t="s">
        <v>17</v>
      </c>
      <c r="U44" s="775">
        <f t="shared" si="13"/>
        <v>100</v>
      </c>
      <c r="V44" s="774" t="s">
        <v>17</v>
      </c>
      <c r="W44" s="775">
        <f t="shared" si="14"/>
        <v>100</v>
      </c>
      <c r="X44" s="1815"/>
      <c r="Y44" s="3534"/>
      <c r="Z44" s="1816" t="str">
        <f t="shared" si="15"/>
        <v>内部装修维护情况</v>
      </c>
      <c r="AA44" s="1813">
        <f t="shared" si="3"/>
        <v>1</v>
      </c>
      <c r="AB44" s="1813">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549"/>
      <c r="Q45" s="1797">
        <f t="shared" si="11"/>
        <v>111</v>
      </c>
      <c r="R45" s="770" t="s">
        <v>17</v>
      </c>
      <c r="S45" s="771">
        <f t="shared" si="12"/>
        <v>100</v>
      </c>
      <c r="T45" s="770" t="s">
        <v>17</v>
      </c>
      <c r="U45" s="771">
        <f t="shared" si="13"/>
        <v>100</v>
      </c>
      <c r="V45" s="770" t="s">
        <v>17</v>
      </c>
      <c r="W45" s="771">
        <f t="shared" si="14"/>
        <v>100</v>
      </c>
      <c r="X45" s="772"/>
      <c r="Y45" s="3534"/>
      <c r="Z45" s="55">
        <f t="shared" si="15"/>
        <v>111</v>
      </c>
      <c r="AA45" s="773">
        <f t="shared" si="3"/>
        <v>1</v>
      </c>
      <c r="AB45" s="773">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49"/>
      <c r="Q46" s="1812">
        <f t="shared" si="11"/>
        <v>111</v>
      </c>
      <c r="R46" s="774" t="s">
        <v>17</v>
      </c>
      <c r="S46" s="775">
        <f t="shared" si="12"/>
        <v>100</v>
      </c>
      <c r="T46" s="774" t="s">
        <v>17</v>
      </c>
      <c r="U46" s="775">
        <f t="shared" si="13"/>
        <v>100</v>
      </c>
      <c r="V46" s="774" t="s">
        <v>17</v>
      </c>
      <c r="W46" s="775">
        <f t="shared" si="14"/>
        <v>100</v>
      </c>
      <c r="X46" s="1815"/>
      <c r="Y46" s="3534"/>
      <c r="Z46" s="1816">
        <f t="shared" si="15"/>
        <v>111</v>
      </c>
      <c r="AA46" s="1813">
        <f t="shared" si="3"/>
        <v>1</v>
      </c>
      <c r="AB46" s="1813">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50"/>
      <c r="Q47" s="1812">
        <f t="shared" si="11"/>
        <v>111</v>
      </c>
      <c r="R47" s="774" t="s">
        <v>17</v>
      </c>
      <c r="S47" s="775">
        <f t="shared" si="12"/>
        <v>100</v>
      </c>
      <c r="T47" s="774" t="s">
        <v>17</v>
      </c>
      <c r="U47" s="775">
        <f t="shared" si="13"/>
        <v>100</v>
      </c>
      <c r="V47" s="774" t="s">
        <v>17</v>
      </c>
      <c r="W47" s="775">
        <f t="shared" si="14"/>
        <v>100</v>
      </c>
      <c r="X47" s="1815"/>
      <c r="Y47" s="3551"/>
      <c r="Z47" s="1816">
        <f t="shared" si="15"/>
        <v>111</v>
      </c>
      <c r="AA47" s="1813">
        <f t="shared" si="3"/>
        <v>1</v>
      </c>
      <c r="AB47" s="1813">
        <f t="shared" si="4"/>
        <v>1</v>
      </c>
      <c r="AC47" s="2671">
        <f t="shared" si="5"/>
        <v>1</v>
      </c>
    </row>
    <row r="48" spans="1:29" ht="15">
      <c r="A48" s="479" t="s">
        <v>2533</v>
      </c>
      <c r="B48" s="480"/>
      <c r="C48" s="1409" t="s">
        <v>1</v>
      </c>
      <c r="D48" s="1410"/>
      <c r="E48" s="1411"/>
      <c r="F48" s="1412"/>
      <c r="G48" s="1413"/>
      <c r="H48" s="1414"/>
      <c r="I48" s="1411"/>
      <c r="J48" s="485"/>
      <c r="K48" s="783"/>
      <c r="L48" s="1145"/>
      <c r="M48" s="1133"/>
      <c r="N48" s="1133"/>
      <c r="O48" s="1133"/>
      <c r="P48" s="3540" t="str">
        <f>A48</f>
        <v>成交单价（元/平方米）</v>
      </c>
      <c r="Q48" s="3516"/>
      <c r="R48" s="3547">
        <f>E48</f>
        <v>0</v>
      </c>
      <c r="S48" s="3547"/>
      <c r="T48" s="3547">
        <f>G48</f>
        <v>0</v>
      </c>
      <c r="U48" s="3547"/>
      <c r="V48" s="3547">
        <f>I48</f>
        <v>0</v>
      </c>
      <c r="W48" s="3547"/>
      <c r="X48" s="446"/>
      <c r="Y48" s="781"/>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4"/>
      <c r="L49" s="1145"/>
      <c r="M49" s="1133"/>
      <c r="N49" s="1133"/>
      <c r="O49" s="1133"/>
      <c r="P49" s="3540" t="str">
        <f>A49</f>
        <v>比较价值（元/平方米）</v>
      </c>
      <c r="Q49" s="3516"/>
      <c r="R49" s="3547" t="e">
        <f>IF(F1="售价",ROUND(PRODUCT(R48,AA7:AA47),0),ROUND(PRODUCT(R48,AA7:AA47),1))</f>
        <v>#DIV/0!</v>
      </c>
      <c r="S49" s="3547"/>
      <c r="T49" s="3547" t="e">
        <f>IF(F1="售价",ROUND(PRODUCT(T48,AB7:AB47),0),ROUND(PRODUCT(T48,AB7:AB47),1))</f>
        <v>#DIV/0!</v>
      </c>
      <c r="U49" s="3547"/>
      <c r="V49" s="3547" t="e">
        <f>IF(F1="售价",ROUND(PRODUCT(V48,AC7:AC47),0),ROUND(PRODUCT(V48,AC7:AC47),1))</f>
        <v>#DIV/0!</v>
      </c>
      <c r="W49" s="3547"/>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5"/>
      <c r="L50" s="1145"/>
      <c r="M50" s="1133"/>
      <c r="N50" s="1133"/>
      <c r="O50" s="1133"/>
      <c r="P50" s="3593" t="str">
        <f>A50</f>
        <v>估价对象XX用房的比较价值（楼面单价，元/平方米）</v>
      </c>
      <c r="Q50" s="3594"/>
      <c r="R50" s="3595" t="e">
        <f>IF(F1="售价",ROUND(AVERAGE(R49:V49),0),ROUND(AVERAGE(R49:V49),1))</f>
        <v>#DIV/0!</v>
      </c>
      <c r="S50" s="3595"/>
      <c r="T50" s="3595"/>
      <c r="U50" s="3595"/>
      <c r="V50" s="3595"/>
      <c r="W50" s="3595"/>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2630</v>
      </c>
      <c r="B58" s="759"/>
      <c r="C58" s="764"/>
      <c r="D58" s="764"/>
      <c r="E58" s="764"/>
      <c r="F58" s="765"/>
      <c r="G58" s="765"/>
      <c r="H58" s="764"/>
      <c r="I58" s="764"/>
      <c r="J58" s="764"/>
      <c r="K58" s="766"/>
      <c r="L58" s="1163"/>
      <c r="M58" s="1161"/>
      <c r="N58" s="1161"/>
      <c r="O58" s="1161"/>
      <c r="P58" s="2678"/>
      <c r="Q58" s="504"/>
    </row>
    <row r="59" spans="1:29" s="508" customFormat="1" ht="15">
      <c r="A59" s="505" t="s">
        <v>2504</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2541</v>
      </c>
      <c r="B61" s="516"/>
      <c r="C61" s="517"/>
      <c r="D61" s="518"/>
      <c r="E61" s="518"/>
      <c r="F61" s="518"/>
      <c r="G61" s="518"/>
      <c r="H61" s="518"/>
      <c r="I61" s="518"/>
      <c r="J61" s="518"/>
      <c r="K61" s="518"/>
      <c r="L61" s="518"/>
      <c r="M61" s="519"/>
      <c r="N61" s="518"/>
      <c r="O61" s="519"/>
      <c r="P61" s="2679"/>
      <c r="Q61" s="504"/>
    </row>
    <row r="62" spans="1:29" s="117" customFormat="1" ht="15">
      <c r="A62" s="521" t="s">
        <v>2506</v>
      </c>
      <c r="B62" s="510"/>
      <c r="C62" s="522" t="s">
        <v>2608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2544</v>
      </c>
      <c r="B64" s="528" t="s">
        <v>2510</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1"/>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2655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2519</v>
      </c>
      <c r="B101" s="528" t="s">
        <v>2568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2570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2572</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2573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2574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2657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2576</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上海尚地投资发展有限公司：</v>
      </c>
    </row>
    <row r="4" spans="1:1" ht="36">
      <c r="A4" s="1950" t="str">
        <f>"受贵公司委托，我公司对"&amp;项目基本情况!S1&amp;"进行了预评估。"</f>
        <v>受贵公司委托，我公司对北京市北京朝阳区太阳宫乡0301-616地块出让国有建设用地使用权及在建建筑物房地产抵押价值进行了预评估。</v>
      </c>
    </row>
    <row r="5" spans="1:1" ht="18.75">
      <c r="A5" s="1951" t="s">
        <v>1609</v>
      </c>
    </row>
    <row r="6" spans="1:1" ht="18.75">
      <c r="A6" s="1952" t="s">
        <v>1610</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建筑面积为48502.21平方米。</v>
      </c>
    </row>
    <row r="8" spans="1:1" ht="57.75">
      <c r="A8" s="1953" t="s">
        <v>1611</v>
      </c>
    </row>
    <row r="9" spans="1:1" ht="18.75">
      <c r="A9" s="1952" t="s">
        <v>1612</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规划建筑面积为48502.21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为估价委托人在向兴业银行股份有限公司办理贷款手续过程中，确定房地产抵押贷款额度提供参考依据而评估房地产抵押价值。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2018年1月9日（评估专业人员实地查勘之日）</v>
      </c>
    </row>
    <row r="16" spans="1:1" ht="18.75">
      <c r="A16" s="1955" t="s">
        <v>1616</v>
      </c>
    </row>
    <row r="17" spans="1:1" ht="75">
      <c r="A17" s="1950" t="s">
        <v>1617</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2658</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IF(C2="——",ROUND(C43*D3/10000,0),ROUND(C43*D3/10000,0)-D2)</f>
        <v>#DIV/0!</v>
      </c>
      <c r="C2" s="2583"/>
      <c r="D2" s="1126"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2288</v>
      </c>
      <c r="B3" s="609" t="e">
        <f ca="1">IF(C2="——",C43,ROUND(B2*10000/D3,0))</f>
        <v>#DIV/0!</v>
      </c>
      <c r="C3" s="400" t="s">
        <v>2600</v>
      </c>
      <c r="D3" s="399">
        <f>IF(D1="",'数据-汇总表'!E3,SUMIF('数据-汇总表'!$C19:$C33,D1,'数据-汇总表'!$E19:$E33))</f>
        <v>48502.210000000006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517" t="s">
        <v>2602</v>
      </c>
      <c r="D4" s="3518"/>
      <c r="E4" s="3519" t="s">
        <v>2603</v>
      </c>
      <c r="F4" s="3520"/>
      <c r="G4" s="3517" t="s">
        <v>2604</v>
      </c>
      <c r="H4" s="3518"/>
      <c r="I4" s="3517" t="s">
        <v>2605</v>
      </c>
      <c r="J4" s="3518"/>
      <c r="K4" s="610" t="s">
        <v>2606</v>
      </c>
      <c r="L4" s="1132"/>
      <c r="M4" s="1133"/>
      <c r="N4" s="1133"/>
      <c r="O4" s="1133"/>
      <c r="P4" s="3521" t="s">
        <v>2607</v>
      </c>
      <c r="Q4" s="3522"/>
      <c r="R4" s="3503" t="s">
        <v>2603</v>
      </c>
      <c r="S4" s="3504"/>
      <c r="T4" s="3503" t="s">
        <v>2604</v>
      </c>
      <c r="U4" s="3504"/>
      <c r="V4" s="3529" t="s">
        <v>2605</v>
      </c>
      <c r="W4" s="3529"/>
      <c r="X4" s="1815"/>
      <c r="Y4" s="3503" t="s">
        <v>2607</v>
      </c>
      <c r="Z4" s="3504"/>
      <c r="AA4" s="3498" t="s">
        <v>2603</v>
      </c>
      <c r="AB4" s="3499" t="s">
        <v>2604</v>
      </c>
      <c r="AC4" s="3498" t="s">
        <v>2605</v>
      </c>
    </row>
    <row r="5" spans="1:29" ht="15">
      <c r="A5" s="404"/>
      <c r="B5" s="405"/>
      <c r="C5" s="3509" t="s">
        <v>2498</v>
      </c>
      <c r="D5" s="3510"/>
      <c r="E5" s="3545" t="s">
        <v>2499</v>
      </c>
      <c r="F5" s="3508"/>
      <c r="G5" s="3509" t="s">
        <v>2500</v>
      </c>
      <c r="H5" s="3510"/>
      <c r="I5" s="3509" t="s">
        <v>2501</v>
      </c>
      <c r="J5" s="3510"/>
      <c r="K5" s="610"/>
      <c r="L5" s="1132"/>
      <c r="M5" s="1133"/>
      <c r="N5" s="1133"/>
      <c r="O5" s="1133"/>
      <c r="P5" s="3523"/>
      <c r="Q5" s="3524"/>
      <c r="R5" s="3505"/>
      <c r="S5" s="3506"/>
      <c r="T5" s="3505"/>
      <c r="U5" s="3506"/>
      <c r="V5" s="3529"/>
      <c r="W5" s="3529"/>
      <c r="X5" s="1815"/>
      <c r="Y5" s="3505"/>
      <c r="Z5" s="3506"/>
      <c r="AA5" s="3499"/>
      <c r="AB5" s="3499"/>
      <c r="AC5" s="3499"/>
    </row>
    <row r="6" spans="1:29" ht="15.75" thickBot="1">
      <c r="A6" s="406"/>
      <c r="B6" s="407"/>
      <c r="C6" s="3511" t="s">
        <v>2502</v>
      </c>
      <c r="D6" s="3512"/>
      <c r="E6" s="3514" t="s">
        <v>2502</v>
      </c>
      <c r="F6" s="3515"/>
      <c r="G6" s="3511" t="s">
        <v>2502</v>
      </c>
      <c r="H6" s="3512"/>
      <c r="I6" s="3511" t="s">
        <v>2502</v>
      </c>
      <c r="J6" s="3512"/>
      <c r="K6" s="610" t="s">
        <v>2503</v>
      </c>
      <c r="L6" s="1132"/>
      <c r="M6" s="1133"/>
      <c r="N6" s="1133"/>
      <c r="O6" s="1133"/>
      <c r="P6" s="3525"/>
      <c r="Q6" s="3526"/>
      <c r="R6" s="3505"/>
      <c r="S6" s="3506"/>
      <c r="T6" s="3527"/>
      <c r="U6" s="3528"/>
      <c r="V6" s="3529"/>
      <c r="W6" s="3529"/>
      <c r="X6" s="1815"/>
      <c r="Y6" s="3527"/>
      <c r="Z6" s="3528"/>
      <c r="AA6" s="3500"/>
      <c r="AB6" s="3500"/>
      <c r="AC6" s="3500"/>
    </row>
    <row r="7" spans="1:29" s="117" customFormat="1" ht="15.75" thickBot="1">
      <c r="A7" s="408" t="s">
        <v>2504</v>
      </c>
      <c r="B7" s="409"/>
      <c r="C7" s="410">
        <f>'数据-取费表'!B2</f>
        <v>43109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01" t="s">
        <v>2505</v>
      </c>
      <c r="Q7" s="3530"/>
      <c r="R7" s="770" t="s">
        <v>17</v>
      </c>
      <c r="S7" s="771">
        <f t="shared" ref="S7:S15" si="0">F7</f>
        <v>0</v>
      </c>
      <c r="T7" s="770" t="s">
        <v>17</v>
      </c>
      <c r="U7" s="771">
        <f t="shared" ref="U7:U15" si="1">H7</f>
        <v>0</v>
      </c>
      <c r="V7" s="770" t="s">
        <v>17</v>
      </c>
      <c r="W7" s="771">
        <f t="shared" ref="W7:W15" si="2">J7</f>
        <v>0</v>
      </c>
      <c r="X7" s="772"/>
      <c r="Y7" s="3501" t="s">
        <v>2505</v>
      </c>
      <c r="Z7" s="3502"/>
      <c r="AA7" s="773" t="e">
        <f>D7/F7</f>
        <v>#DIV/0!</v>
      </c>
      <c r="AB7" s="773" t="e">
        <f>D7/H7</f>
        <v>#DIV/0!</v>
      </c>
      <c r="AC7" s="773" t="e">
        <f>D7/J7</f>
        <v>#DIV/0!</v>
      </c>
    </row>
    <row r="8" spans="1:29" s="117" customFormat="1" ht="15.7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01" t="s">
        <v>2508</v>
      </c>
      <c r="Q8" s="3502"/>
      <c r="R8" s="770" t="s">
        <v>17</v>
      </c>
      <c r="S8" s="771">
        <f t="shared" si="0"/>
        <v>0</v>
      </c>
      <c r="T8" s="770" t="s">
        <v>17</v>
      </c>
      <c r="U8" s="771">
        <f t="shared" si="1"/>
        <v>0</v>
      </c>
      <c r="V8" s="770" t="s">
        <v>17</v>
      </c>
      <c r="W8" s="771">
        <f t="shared" si="2"/>
        <v>0</v>
      </c>
      <c r="X8" s="772"/>
      <c r="Y8" s="3501" t="s">
        <v>2508</v>
      </c>
      <c r="Z8" s="3502"/>
      <c r="AA8" s="773" t="e">
        <f t="shared" ref="AA8:AA40" si="3">D8/F8</f>
        <v>#DIV/0!</v>
      </c>
      <c r="AB8" s="773" t="e">
        <f t="shared" ref="AB8:AB40" si="4">D8/H8</f>
        <v>#DIV/0!</v>
      </c>
      <c r="AC8" s="773" t="e">
        <f t="shared" ref="AC8:AC40" si="5">D8/J8</f>
        <v>#DIV/0!</v>
      </c>
    </row>
    <row r="9" spans="1:29" s="117" customFormat="1">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516" t="s">
        <v>2511</v>
      </c>
      <c r="Q9" s="1797" t="str">
        <f t="shared" ref="Q9:Q15" si="6">B9</f>
        <v>用途</v>
      </c>
      <c r="R9" s="770" t="s">
        <v>17</v>
      </c>
      <c r="S9" s="771">
        <f t="shared" si="0"/>
        <v>100</v>
      </c>
      <c r="T9" s="770" t="s">
        <v>17</v>
      </c>
      <c r="U9" s="771">
        <f t="shared" si="1"/>
        <v>100</v>
      </c>
      <c r="V9" s="770" t="s">
        <v>17</v>
      </c>
      <c r="W9" s="771">
        <f t="shared" si="2"/>
        <v>100</v>
      </c>
      <c r="X9" s="772"/>
      <c r="Y9" s="3378"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516"/>
      <c r="Q10" s="1797" t="str">
        <f t="shared" si="6"/>
        <v>土地使用年限（年）</v>
      </c>
      <c r="R10" s="770" t="s">
        <v>17</v>
      </c>
      <c r="S10" s="771">
        <f t="shared" si="0"/>
        <v>100</v>
      </c>
      <c r="T10" s="770" t="s">
        <v>17</v>
      </c>
      <c r="U10" s="771">
        <f t="shared" si="1"/>
        <v>100</v>
      </c>
      <c r="V10" s="770" t="s">
        <v>17</v>
      </c>
      <c r="W10" s="771">
        <f t="shared" si="2"/>
        <v>100</v>
      </c>
      <c r="X10" s="772"/>
      <c r="Y10" s="3378"/>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516"/>
      <c r="Q11" s="1797" t="str">
        <f t="shared" si="6"/>
        <v>容积率</v>
      </c>
      <c r="R11" s="770" t="s">
        <v>17</v>
      </c>
      <c r="S11" s="771" t="e">
        <f t="shared" si="0"/>
        <v>#N/A</v>
      </c>
      <c r="T11" s="770" t="s">
        <v>17</v>
      </c>
      <c r="U11" s="771" t="e">
        <f t="shared" si="1"/>
        <v>#N/A</v>
      </c>
      <c r="V11" s="770" t="s">
        <v>17</v>
      </c>
      <c r="W11" s="771" t="e">
        <f t="shared" si="2"/>
        <v>#N/A</v>
      </c>
      <c r="X11" s="772"/>
      <c r="Y11" s="337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516"/>
      <c r="Q12" s="1797">
        <f t="shared" si="6"/>
        <v>111</v>
      </c>
      <c r="R12" s="770" t="s">
        <v>17</v>
      </c>
      <c r="S12" s="771">
        <f t="shared" si="0"/>
        <v>100</v>
      </c>
      <c r="T12" s="770" t="s">
        <v>17</v>
      </c>
      <c r="U12" s="771">
        <f t="shared" si="1"/>
        <v>100</v>
      </c>
      <c r="V12" s="770" t="s">
        <v>17</v>
      </c>
      <c r="W12" s="771">
        <f t="shared" si="2"/>
        <v>100</v>
      </c>
      <c r="X12" s="772"/>
      <c r="Y12" s="3378"/>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516"/>
      <c r="Q13" s="1797">
        <f t="shared" si="6"/>
        <v>111</v>
      </c>
      <c r="R13" s="770" t="s">
        <v>17</v>
      </c>
      <c r="S13" s="771">
        <f t="shared" si="0"/>
        <v>100</v>
      </c>
      <c r="T13" s="770" t="s">
        <v>17</v>
      </c>
      <c r="U13" s="771">
        <f t="shared" si="1"/>
        <v>100</v>
      </c>
      <c r="V13" s="770" t="s">
        <v>17</v>
      </c>
      <c r="W13" s="771">
        <f t="shared" si="2"/>
        <v>100</v>
      </c>
      <c r="X13" s="772"/>
      <c r="Y13" s="3378"/>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516"/>
      <c r="Q14" s="1797">
        <f t="shared" si="6"/>
        <v>111</v>
      </c>
      <c r="R14" s="770" t="s">
        <v>17</v>
      </c>
      <c r="S14" s="771">
        <f t="shared" si="0"/>
        <v>100</v>
      </c>
      <c r="T14" s="770" t="s">
        <v>17</v>
      </c>
      <c r="U14" s="771">
        <f t="shared" si="1"/>
        <v>100</v>
      </c>
      <c r="V14" s="770" t="s">
        <v>17</v>
      </c>
      <c r="W14" s="771">
        <f t="shared" si="2"/>
        <v>100</v>
      </c>
      <c r="X14" s="772"/>
      <c r="Y14" s="3378"/>
      <c r="Z14" s="55">
        <f t="shared" si="7"/>
        <v>111</v>
      </c>
      <c r="AA14" s="773">
        <f t="shared" si="3"/>
        <v>1</v>
      </c>
      <c r="AB14" s="773">
        <f t="shared" si="4"/>
        <v>1</v>
      </c>
      <c r="AC14" s="773">
        <f t="shared" si="5"/>
        <v>1</v>
      </c>
    </row>
    <row r="15" spans="1:29" ht="57">
      <c r="A15" s="440" t="s">
        <v>2515</v>
      </c>
      <c r="B15" s="69" t="s">
        <v>2659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531" t="s">
        <v>2516</v>
      </c>
      <c r="Q15" s="1812" t="str">
        <f t="shared" si="6"/>
        <v>产业集聚程度</v>
      </c>
      <c r="R15" s="774" t="s">
        <v>17</v>
      </c>
      <c r="S15" s="775">
        <f t="shared" si="0"/>
        <v>100</v>
      </c>
      <c r="T15" s="774" t="s">
        <v>17</v>
      </c>
      <c r="U15" s="775">
        <f t="shared" si="1"/>
        <v>100</v>
      </c>
      <c r="V15" s="774" t="s">
        <v>17</v>
      </c>
      <c r="W15" s="775">
        <f t="shared" si="2"/>
        <v>100</v>
      </c>
      <c r="X15" s="1815"/>
      <c r="Y15" s="3531" t="s">
        <v>2516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532"/>
      <c r="Q16" s="1812"/>
      <c r="R16" s="774"/>
      <c r="S16" s="775"/>
      <c r="T16" s="774"/>
      <c r="U16" s="775"/>
      <c r="V16" s="774"/>
      <c r="W16" s="775"/>
      <c r="X16" s="1815"/>
      <c r="Y16" s="3532"/>
      <c r="Z16" s="1816"/>
      <c r="AA16" s="1813">
        <v>1</v>
      </c>
      <c r="AB16" s="1813">
        <v>1</v>
      </c>
      <c r="AC16" s="1813">
        <v>1</v>
      </c>
    </row>
    <row r="17" spans="1:29" ht="85.5">
      <c r="A17" s="428"/>
      <c r="B17" s="451" t="s">
        <v>2055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32"/>
      <c r="Q17" s="1812" t="str">
        <f>B17</f>
        <v>交通便捷度</v>
      </c>
      <c r="R17" s="774" t="s">
        <v>17</v>
      </c>
      <c r="S17" s="775">
        <f>F17</f>
        <v>100</v>
      </c>
      <c r="T17" s="774" t="s">
        <v>17</v>
      </c>
      <c r="U17" s="775">
        <f>H17</f>
        <v>100</v>
      </c>
      <c r="V17" s="774" t="s">
        <v>17</v>
      </c>
      <c r="W17" s="775">
        <f>J17</f>
        <v>100</v>
      </c>
      <c r="X17" s="1815"/>
      <c r="Y17" s="3532"/>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41"/>
      <c r="P18" s="3532"/>
      <c r="Q18" s="1812"/>
      <c r="R18" s="774"/>
      <c r="S18" s="775"/>
      <c r="T18" s="774"/>
      <c r="U18" s="775"/>
      <c r="V18" s="774"/>
      <c r="W18" s="775"/>
      <c r="X18" s="1815"/>
      <c r="Y18" s="3532"/>
      <c r="Z18" s="1816"/>
      <c r="AA18" s="1813">
        <v>1</v>
      </c>
      <c r="AB18" s="1813">
        <v>1</v>
      </c>
      <c r="AC18" s="1813">
        <v>1</v>
      </c>
    </row>
    <row r="19" spans="1:29" ht="42.75">
      <c r="A19" s="428"/>
      <c r="B19" s="451" t="s">
        <v>2644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32"/>
      <c r="Q19" s="1812" t="str">
        <f>B19</f>
        <v>公共配套设施</v>
      </c>
      <c r="R19" s="774" t="s">
        <v>17</v>
      </c>
      <c r="S19" s="775">
        <f>F19</f>
        <v>100</v>
      </c>
      <c r="T19" s="774" t="s">
        <v>17</v>
      </c>
      <c r="U19" s="775">
        <f>H19</f>
        <v>100</v>
      </c>
      <c r="V19" s="774" t="s">
        <v>17</v>
      </c>
      <c r="W19" s="775">
        <f>J19</f>
        <v>100</v>
      </c>
      <c r="X19" s="1815"/>
      <c r="Y19" s="3532"/>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41"/>
      <c r="P20" s="3532"/>
      <c r="Q20" s="1812"/>
      <c r="R20" s="774"/>
      <c r="S20" s="775"/>
      <c r="T20" s="774"/>
      <c r="U20" s="775"/>
      <c r="V20" s="774"/>
      <c r="W20" s="775"/>
      <c r="X20" s="1815"/>
      <c r="Y20" s="3532"/>
      <c r="Z20" s="1816"/>
      <c r="AA20" s="1813">
        <v>1</v>
      </c>
      <c r="AB20" s="1813">
        <v>1</v>
      </c>
      <c r="AC20" s="1813">
        <v>1</v>
      </c>
    </row>
    <row r="21" spans="1:29" ht="28.5">
      <c r="A21" s="428"/>
      <c r="B21" s="1386" t="s">
        <v>2645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32"/>
      <c r="Q21" s="1812" t="str">
        <f>B21</f>
        <v>基础设施水平</v>
      </c>
      <c r="R21" s="774" t="s">
        <v>17</v>
      </c>
      <c r="S21" s="775">
        <f>F21</f>
        <v>100</v>
      </c>
      <c r="T21" s="774" t="s">
        <v>17</v>
      </c>
      <c r="U21" s="775">
        <f>H21</f>
        <v>100</v>
      </c>
      <c r="V21" s="774" t="s">
        <v>17</v>
      </c>
      <c r="W21" s="775">
        <f>J21</f>
        <v>100</v>
      </c>
      <c r="X21" s="1815"/>
      <c r="Y21" s="3532"/>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41"/>
      <c r="P22" s="3532"/>
      <c r="Q22" s="1812"/>
      <c r="R22" s="774"/>
      <c r="S22" s="775"/>
      <c r="T22" s="774"/>
      <c r="U22" s="775"/>
      <c r="V22" s="774"/>
      <c r="W22" s="775"/>
      <c r="X22" s="1815"/>
      <c r="Y22" s="3532"/>
      <c r="Z22" s="1816"/>
      <c r="AA22" s="1813">
        <v>1</v>
      </c>
      <c r="AB22" s="1813">
        <v>1</v>
      </c>
      <c r="AC22" s="1813">
        <v>1</v>
      </c>
    </row>
    <row r="23" spans="1:29" ht="71.25">
      <c r="A23" s="428"/>
      <c r="B23" s="451" t="s">
        <v>2646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32"/>
      <c r="Q23" s="1812" t="str">
        <f>B23</f>
        <v>环境质量</v>
      </c>
      <c r="R23" s="774" t="s">
        <v>17</v>
      </c>
      <c r="S23" s="775">
        <f>F23</f>
        <v>100</v>
      </c>
      <c r="T23" s="774" t="s">
        <v>17</v>
      </c>
      <c r="U23" s="775">
        <f>H23</f>
        <v>100</v>
      </c>
      <c r="V23" s="774" t="s">
        <v>17</v>
      </c>
      <c r="W23" s="775">
        <f>J23</f>
        <v>100</v>
      </c>
      <c r="X23" s="1815"/>
      <c r="Y23" s="3532"/>
      <c r="Z23" s="1816" t="str">
        <f>Q23</f>
        <v>环境质量</v>
      </c>
      <c r="AA23" s="1813">
        <f t="shared" si="3"/>
        <v>1</v>
      </c>
      <c r="AB23" s="1813">
        <f t="shared" si="4"/>
        <v>1</v>
      </c>
      <c r="AC23" s="1813">
        <f t="shared" si="5"/>
        <v>1</v>
      </c>
    </row>
    <row r="24" spans="1:29" ht="15">
      <c r="A24" s="428"/>
      <c r="B24" s="1386"/>
      <c r="C24" s="447"/>
      <c r="D24" s="448"/>
      <c r="E24" s="2602"/>
      <c r="F24" s="449"/>
      <c r="G24" s="2601"/>
      <c r="H24" s="448"/>
      <c r="I24" s="2602"/>
      <c r="J24" s="448"/>
      <c r="K24" s="615"/>
      <c r="L24" s="1142"/>
      <c r="M24" s="1133"/>
      <c r="N24" s="1133"/>
      <c r="O24" s="1141"/>
      <c r="P24" s="3532"/>
      <c r="Q24" s="1812"/>
      <c r="R24" s="774"/>
      <c r="S24" s="775"/>
      <c r="T24" s="774"/>
      <c r="U24" s="775"/>
      <c r="V24" s="774"/>
      <c r="W24" s="775"/>
      <c r="X24" s="1815"/>
      <c r="Y24" s="3532"/>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32"/>
      <c r="Q25" s="1812">
        <f>B25</f>
        <v>111</v>
      </c>
      <c r="R25" s="774" t="s">
        <v>17</v>
      </c>
      <c r="S25" s="775">
        <f>F25</f>
        <v>100</v>
      </c>
      <c r="T25" s="774" t="s">
        <v>17</v>
      </c>
      <c r="U25" s="775">
        <f>H25</f>
        <v>100</v>
      </c>
      <c r="V25" s="774" t="s">
        <v>17</v>
      </c>
      <c r="W25" s="775">
        <f>J25</f>
        <v>100</v>
      </c>
      <c r="X25" s="1815"/>
      <c r="Y25" s="3532"/>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32"/>
      <c r="Q26" s="1812">
        <f t="shared" ref="Q26:Q40" si="11">B26</f>
        <v>111</v>
      </c>
      <c r="R26" s="774" t="s">
        <v>17</v>
      </c>
      <c r="S26" s="775">
        <f>F26</f>
        <v>100</v>
      </c>
      <c r="T26" s="774" t="s">
        <v>17</v>
      </c>
      <c r="U26" s="775">
        <f>H26</f>
        <v>100</v>
      </c>
      <c r="V26" s="774" t="s">
        <v>17</v>
      </c>
      <c r="W26" s="775">
        <f>J26</f>
        <v>100</v>
      </c>
      <c r="X26" s="1815"/>
      <c r="Y26" s="3532"/>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32"/>
      <c r="Q27" s="1797">
        <f t="shared" si="11"/>
        <v>111</v>
      </c>
      <c r="R27" s="770" t="s">
        <v>17</v>
      </c>
      <c r="S27" s="771">
        <f>F27</f>
        <v>100</v>
      </c>
      <c r="T27" s="770" t="s">
        <v>17</v>
      </c>
      <c r="U27" s="771">
        <f>H27</f>
        <v>100</v>
      </c>
      <c r="V27" s="770" t="s">
        <v>17</v>
      </c>
      <c r="W27" s="771">
        <f>J27</f>
        <v>100</v>
      </c>
      <c r="X27" s="772"/>
      <c r="Y27" s="3532"/>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32"/>
      <c r="Q28" s="1812">
        <f t="shared" si="11"/>
        <v>111</v>
      </c>
      <c r="R28" s="774" t="s">
        <v>17</v>
      </c>
      <c r="S28" s="775">
        <f t="shared" ref="S28:S40" si="12">F28</f>
        <v>100</v>
      </c>
      <c r="T28" s="774" t="s">
        <v>17</v>
      </c>
      <c r="U28" s="775">
        <f t="shared" ref="U28:U40" si="13">H28</f>
        <v>100</v>
      </c>
      <c r="V28" s="774" t="s">
        <v>17</v>
      </c>
      <c r="W28" s="775">
        <f t="shared" ref="W28:W40" si="14">J28</f>
        <v>100</v>
      </c>
      <c r="X28" s="1815"/>
      <c r="Y28" s="3532"/>
      <c r="Z28" s="1816">
        <f t="shared" ref="Z28:Z40" si="15">Q28</f>
        <v>111</v>
      </c>
      <c r="AA28" s="1813">
        <f t="shared" si="3"/>
        <v>1</v>
      </c>
      <c r="AB28" s="1813">
        <f t="shared" si="4"/>
        <v>1</v>
      </c>
      <c r="AC28" s="1813">
        <f t="shared" si="5"/>
        <v>1</v>
      </c>
    </row>
    <row r="29" spans="1:29" ht="15">
      <c r="A29" s="466" t="s">
        <v>2519</v>
      </c>
      <c r="B29" s="71" t="s">
        <v>2649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33" t="s">
        <v>2521</v>
      </c>
      <c r="Q29" s="1812" t="str">
        <f t="shared" si="11"/>
        <v>建筑类型</v>
      </c>
      <c r="R29" s="774" t="s">
        <v>17</v>
      </c>
      <c r="S29" s="775">
        <f t="shared" si="12"/>
        <v>100</v>
      </c>
      <c r="T29" s="774" t="s">
        <v>17</v>
      </c>
      <c r="U29" s="775">
        <f t="shared" si="13"/>
        <v>100</v>
      </c>
      <c r="V29" s="774" t="s">
        <v>17</v>
      </c>
      <c r="W29" s="775">
        <f t="shared" si="14"/>
        <v>100</v>
      </c>
      <c r="X29" s="1815"/>
      <c r="Y29" s="3534" t="s">
        <v>2521</v>
      </c>
      <c r="Z29" s="1816" t="str">
        <f t="shared" si="15"/>
        <v>建筑类型</v>
      </c>
      <c r="AA29" s="1813">
        <f t="shared" si="3"/>
        <v>1</v>
      </c>
      <c r="AB29" s="1813">
        <f t="shared" si="4"/>
        <v>1</v>
      </c>
      <c r="AC29" s="1813">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34"/>
      <c r="Q30" s="776" t="str">
        <f t="shared" si="11"/>
        <v>项目建筑规模</v>
      </c>
      <c r="R30" s="777" t="s">
        <v>17</v>
      </c>
      <c r="S30" s="778" t="e">
        <f t="shared" si="12"/>
        <v>#N/A</v>
      </c>
      <c r="T30" s="777" t="s">
        <v>17</v>
      </c>
      <c r="U30" s="778" t="e">
        <f t="shared" si="13"/>
        <v>#N/A</v>
      </c>
      <c r="V30" s="777" t="s">
        <v>17</v>
      </c>
      <c r="W30" s="778" t="e">
        <f t="shared" si="14"/>
        <v>#N/A</v>
      </c>
      <c r="X30" s="779"/>
      <c r="Y30" s="3534"/>
      <c r="Z30" s="780" t="str">
        <f t="shared" si="15"/>
        <v>项目建筑规模</v>
      </c>
      <c r="AA30" s="1813" t="e">
        <f t="shared" si="3"/>
        <v>#N/A</v>
      </c>
      <c r="AB30" s="1813" t="e">
        <f t="shared" si="4"/>
        <v>#N/A</v>
      </c>
      <c r="AC30" s="1813"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34"/>
      <c r="Q31" s="1812" t="str">
        <f t="shared" si="11"/>
        <v>建筑结构</v>
      </c>
      <c r="R31" s="774" t="s">
        <v>17</v>
      </c>
      <c r="S31" s="775">
        <f t="shared" si="12"/>
        <v>100</v>
      </c>
      <c r="T31" s="774" t="s">
        <v>17</v>
      </c>
      <c r="U31" s="775">
        <f t="shared" si="13"/>
        <v>100</v>
      </c>
      <c r="V31" s="774" t="s">
        <v>17</v>
      </c>
      <c r="W31" s="775">
        <f t="shared" si="14"/>
        <v>100</v>
      </c>
      <c r="X31" s="1815"/>
      <c r="Y31" s="3534"/>
      <c r="Z31" s="1816" t="str">
        <f t="shared" si="15"/>
        <v>建筑结构</v>
      </c>
      <c r="AA31" s="1813">
        <f t="shared" si="3"/>
        <v>1</v>
      </c>
      <c r="AB31" s="1813">
        <f t="shared" si="4"/>
        <v>1</v>
      </c>
      <c r="AC31" s="1813">
        <f t="shared" si="5"/>
        <v>1</v>
      </c>
    </row>
    <row r="32" spans="1:29" ht="15">
      <c r="A32" s="472"/>
      <c r="B32" s="422" t="s">
        <v>2617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34"/>
      <c r="Q32" s="1812" t="str">
        <f t="shared" si="11"/>
        <v>公共部分装修</v>
      </c>
      <c r="R32" s="774" t="s">
        <v>17</v>
      </c>
      <c r="S32" s="775">
        <f t="shared" si="12"/>
        <v>100</v>
      </c>
      <c r="T32" s="774" t="s">
        <v>17</v>
      </c>
      <c r="U32" s="775">
        <f t="shared" si="13"/>
        <v>100</v>
      </c>
      <c r="V32" s="774" t="s">
        <v>17</v>
      </c>
      <c r="W32" s="775">
        <f t="shared" si="14"/>
        <v>100</v>
      </c>
      <c r="X32" s="1815"/>
      <c r="Y32" s="3534"/>
      <c r="Z32" s="1816" t="str">
        <f t="shared" si="15"/>
        <v>公共部分装修</v>
      </c>
      <c r="AA32" s="1813">
        <f t="shared" si="3"/>
        <v>1</v>
      </c>
      <c r="AB32" s="1813">
        <f t="shared" si="4"/>
        <v>1</v>
      </c>
      <c r="AC32" s="1813">
        <f t="shared" si="5"/>
        <v>1</v>
      </c>
    </row>
    <row r="33" spans="1:29" ht="15">
      <c r="A33" s="472"/>
      <c r="B33" s="422" t="s">
        <v>2618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34"/>
      <c r="Q33" s="1812" t="str">
        <f t="shared" si="11"/>
        <v>成新度</v>
      </c>
      <c r="R33" s="774" t="s">
        <v>17</v>
      </c>
      <c r="S33" s="775" t="e">
        <f t="shared" si="12"/>
        <v>#N/A</v>
      </c>
      <c r="T33" s="774" t="s">
        <v>17</v>
      </c>
      <c r="U33" s="775" t="e">
        <f t="shared" si="13"/>
        <v>#N/A</v>
      </c>
      <c r="V33" s="774" t="s">
        <v>17</v>
      </c>
      <c r="W33" s="775" t="e">
        <f t="shared" si="14"/>
        <v>#N/A</v>
      </c>
      <c r="X33" s="1815"/>
      <c r="Y33" s="3534"/>
      <c r="Z33" s="1816" t="str">
        <f t="shared" si="15"/>
        <v>成新度</v>
      </c>
      <c r="AA33" s="1813" t="e">
        <f t="shared" si="3"/>
        <v>#N/A</v>
      </c>
      <c r="AB33" s="1813" t="e">
        <f t="shared" si="4"/>
        <v>#N/A</v>
      </c>
      <c r="AC33" s="1813" t="e">
        <f t="shared" si="5"/>
        <v>#N/A</v>
      </c>
    </row>
    <row r="34" spans="1:29" s="117" customFormat="1" ht="15">
      <c r="A34" s="473"/>
      <c r="B34" s="422" t="s">
        <v>2651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34"/>
      <c r="Q34" s="1797" t="str">
        <f t="shared" si="11"/>
        <v>物业管理</v>
      </c>
      <c r="R34" s="770" t="s">
        <v>17</v>
      </c>
      <c r="S34" s="771">
        <f t="shared" si="12"/>
        <v>100</v>
      </c>
      <c r="T34" s="770" t="s">
        <v>17</v>
      </c>
      <c r="U34" s="771">
        <f t="shared" si="13"/>
        <v>100</v>
      </c>
      <c r="V34" s="770" t="s">
        <v>17</v>
      </c>
      <c r="W34" s="771">
        <f t="shared" si="14"/>
        <v>100</v>
      </c>
      <c r="X34" s="772"/>
      <c r="Y34" s="3534"/>
      <c r="Z34" s="55" t="str">
        <f t="shared" si="15"/>
        <v>物业管理</v>
      </c>
      <c r="AA34" s="773">
        <f t="shared" si="3"/>
        <v>1</v>
      </c>
      <c r="AB34" s="773">
        <f t="shared" si="4"/>
        <v>1</v>
      </c>
      <c r="AC34" s="773">
        <f t="shared" si="5"/>
        <v>1</v>
      </c>
    </row>
    <row r="35" spans="1:29" ht="15">
      <c r="A35" s="472"/>
      <c r="B35" s="422" t="s">
        <v>2619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34" t="s">
        <v>2521</v>
      </c>
      <c r="Q35" s="1812" t="str">
        <f t="shared" si="11"/>
        <v>市政基础设施</v>
      </c>
      <c r="R35" s="774" t="s">
        <v>17</v>
      </c>
      <c r="S35" s="775">
        <f t="shared" si="12"/>
        <v>100</v>
      </c>
      <c r="T35" s="774" t="s">
        <v>17</v>
      </c>
      <c r="U35" s="775">
        <f t="shared" si="13"/>
        <v>100</v>
      </c>
      <c r="V35" s="774" t="s">
        <v>17</v>
      </c>
      <c r="W35" s="775">
        <f t="shared" si="14"/>
        <v>100</v>
      </c>
      <c r="X35" s="1815"/>
      <c r="Y35" s="3534" t="s">
        <v>2521</v>
      </c>
      <c r="Z35" s="1816" t="str">
        <f t="shared" si="15"/>
        <v>市政基础设施</v>
      </c>
      <c r="AA35" s="1813">
        <f t="shared" si="3"/>
        <v>1</v>
      </c>
      <c r="AB35" s="1813">
        <f t="shared" si="4"/>
        <v>1</v>
      </c>
      <c r="AC35" s="1813">
        <f t="shared" si="5"/>
        <v>1</v>
      </c>
    </row>
    <row r="36" spans="1:29" ht="15">
      <c r="A36" s="472"/>
      <c r="B36" s="422" t="s">
        <v>2624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34"/>
      <c r="Q36" s="1812" t="str">
        <f t="shared" si="11"/>
        <v>内部装修</v>
      </c>
      <c r="R36" s="774" t="s">
        <v>17</v>
      </c>
      <c r="S36" s="775">
        <f t="shared" si="12"/>
        <v>100</v>
      </c>
      <c r="T36" s="774" t="s">
        <v>17</v>
      </c>
      <c r="U36" s="775">
        <f t="shared" si="13"/>
        <v>100</v>
      </c>
      <c r="V36" s="774" t="s">
        <v>17</v>
      </c>
      <c r="W36" s="775">
        <f t="shared" si="14"/>
        <v>100</v>
      </c>
      <c r="X36" s="1815"/>
      <c r="Y36" s="3534"/>
      <c r="Z36" s="1816" t="str">
        <f t="shared" si="15"/>
        <v>内部装修</v>
      </c>
      <c r="AA36" s="1813">
        <f t="shared" si="3"/>
        <v>1</v>
      </c>
      <c r="AB36" s="1813">
        <f t="shared" si="4"/>
        <v>1</v>
      </c>
      <c r="AC36" s="1813">
        <f t="shared" si="5"/>
        <v>1</v>
      </c>
    </row>
    <row r="37" spans="1:29" ht="15">
      <c r="A37" s="472"/>
      <c r="B37" s="422" t="s">
        <v>2660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34"/>
      <c r="Q37" s="1812" t="str">
        <f t="shared" si="11"/>
        <v>内部装修状况</v>
      </c>
      <c r="R37" s="774" t="s">
        <v>17</v>
      </c>
      <c r="S37" s="775">
        <f t="shared" si="12"/>
        <v>100</v>
      </c>
      <c r="T37" s="774" t="s">
        <v>17</v>
      </c>
      <c r="U37" s="775">
        <f t="shared" si="13"/>
        <v>100</v>
      </c>
      <c r="V37" s="774" t="s">
        <v>17</v>
      </c>
      <c r="W37" s="775">
        <f t="shared" si="14"/>
        <v>100</v>
      </c>
      <c r="X37" s="1815"/>
      <c r="Y37" s="3534"/>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34"/>
      <c r="Q38" s="776">
        <f t="shared" si="11"/>
        <v>111</v>
      </c>
      <c r="R38" s="777" t="s">
        <v>17</v>
      </c>
      <c r="S38" s="778">
        <f t="shared" si="12"/>
        <v>100</v>
      </c>
      <c r="T38" s="777" t="s">
        <v>17</v>
      </c>
      <c r="U38" s="778">
        <f t="shared" si="13"/>
        <v>100</v>
      </c>
      <c r="V38" s="777" t="s">
        <v>17</v>
      </c>
      <c r="W38" s="778">
        <f t="shared" si="14"/>
        <v>100</v>
      </c>
      <c r="X38" s="779"/>
      <c r="Y38" s="3534"/>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34"/>
      <c r="Q39" s="1812">
        <f t="shared" si="11"/>
        <v>111</v>
      </c>
      <c r="R39" s="774" t="s">
        <v>17</v>
      </c>
      <c r="S39" s="775">
        <f t="shared" si="12"/>
        <v>100</v>
      </c>
      <c r="T39" s="774" t="s">
        <v>17</v>
      </c>
      <c r="U39" s="775">
        <f t="shared" si="13"/>
        <v>100</v>
      </c>
      <c r="V39" s="774" t="s">
        <v>17</v>
      </c>
      <c r="W39" s="775">
        <f t="shared" si="14"/>
        <v>100</v>
      </c>
      <c r="X39" s="1815"/>
      <c r="Y39" s="3534"/>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51"/>
      <c r="Q40" s="1812">
        <f t="shared" si="11"/>
        <v>111</v>
      </c>
      <c r="R40" s="774" t="s">
        <v>17</v>
      </c>
      <c r="S40" s="775">
        <f t="shared" si="12"/>
        <v>100</v>
      </c>
      <c r="T40" s="774" t="s">
        <v>17</v>
      </c>
      <c r="U40" s="775">
        <f t="shared" si="13"/>
        <v>100</v>
      </c>
      <c r="V40" s="774" t="s">
        <v>17</v>
      </c>
      <c r="W40" s="775">
        <f t="shared" si="14"/>
        <v>100</v>
      </c>
      <c r="X40" s="1815"/>
      <c r="Y40" s="3551"/>
      <c r="Z40" s="1816">
        <f t="shared" si="15"/>
        <v>111</v>
      </c>
      <c r="AA40" s="1813">
        <f t="shared" si="3"/>
        <v>1</v>
      </c>
      <c r="AB40" s="1813">
        <f t="shared" si="4"/>
        <v>1</v>
      </c>
      <c r="AC40" s="1813">
        <f t="shared" si="5"/>
        <v>1</v>
      </c>
    </row>
    <row r="41" spans="1:29" ht="15">
      <c r="A41" s="479" t="s">
        <v>2533</v>
      </c>
      <c r="B41" s="480"/>
      <c r="C41" s="1409" t="s">
        <v>1</v>
      </c>
      <c r="D41" s="1410"/>
      <c r="E41" s="1411"/>
      <c r="F41" s="1412"/>
      <c r="G41" s="1413"/>
      <c r="H41" s="1414"/>
      <c r="I41" s="1411"/>
      <c r="J41" s="1414"/>
      <c r="K41" s="783"/>
      <c r="L41" s="1145"/>
      <c r="M41" s="1146"/>
      <c r="N41" s="1133"/>
      <c r="O41" s="1146"/>
      <c r="P41" s="3516" t="str">
        <f>A41</f>
        <v>成交单价（元/平方米）</v>
      </c>
      <c r="Q41" s="3516"/>
      <c r="R41" s="3547">
        <f>E41</f>
        <v>0</v>
      </c>
      <c r="S41" s="3547"/>
      <c r="T41" s="3547">
        <f>G41</f>
        <v>0</v>
      </c>
      <c r="U41" s="3547"/>
      <c r="V41" s="3547">
        <f>I41</f>
        <v>0</v>
      </c>
      <c r="W41" s="3547"/>
      <c r="X41" s="759"/>
      <c r="Y41" s="781"/>
      <c r="Z41" s="759"/>
      <c r="AA41" s="759"/>
      <c r="AB41" s="759"/>
      <c r="AC41" s="759"/>
    </row>
    <row r="42" spans="1:29" ht="15.75" thickBot="1">
      <c r="A42" s="486" t="s">
        <v>2625</v>
      </c>
      <c r="B42" s="487"/>
      <c r="C42" s="1415" t="e">
        <f>R43</f>
        <v>#DIV/0!</v>
      </c>
      <c r="D42" s="1416"/>
      <c r="E42" s="1417" t="e">
        <f>R42</f>
        <v>#DIV/0!</v>
      </c>
      <c r="F42" s="1417"/>
      <c r="G42" s="1415" t="e">
        <f>T42</f>
        <v>#DIV/0!</v>
      </c>
      <c r="H42" s="1416"/>
      <c r="I42" s="1417" t="e">
        <f>V42</f>
        <v>#DIV/0!</v>
      </c>
      <c r="J42" s="1416"/>
      <c r="K42" s="784"/>
      <c r="L42" s="1145"/>
      <c r="M42" s="1146"/>
      <c r="N42" s="1133"/>
      <c r="O42" s="1146"/>
      <c r="P42" s="3516" t="str">
        <f>A42</f>
        <v>比较价值（元/平方米）</v>
      </c>
      <c r="Q42" s="3516"/>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759"/>
      <c r="Y42" s="759"/>
      <c r="Z42" s="759"/>
      <c r="AA42" s="759"/>
      <c r="AB42" s="759"/>
      <c r="AC42" s="759"/>
    </row>
    <row r="43" spans="1:29" ht="15.75" thickBot="1">
      <c r="A43" s="492" t="s">
        <v>2626</v>
      </c>
      <c r="B43" s="493"/>
      <c r="C43" s="1419" t="e">
        <f>R43</f>
        <v>#DIV/0!</v>
      </c>
      <c r="D43" s="1419"/>
      <c r="E43" s="1419"/>
      <c r="F43" s="1419"/>
      <c r="G43" s="1419"/>
      <c r="H43" s="1419"/>
      <c r="I43" s="1419"/>
      <c r="J43" s="1419"/>
      <c r="K43" s="785"/>
      <c r="L43" s="1145"/>
      <c r="M43" s="1146"/>
      <c r="N43" s="1146"/>
      <c r="O43" s="1146"/>
      <c r="P43" s="3536" t="str">
        <f>A43</f>
        <v>估价对象XX用房的比较价值（楼面单价，元/平方米）</v>
      </c>
      <c r="Q43" s="3537"/>
      <c r="R43" s="3546" t="e">
        <f>IF(F1="售价",ROUND(AVERAGE(R42:V42),0),ROUND(AVERAGE(R42:V42),1))</f>
        <v>#DIV/0!</v>
      </c>
      <c r="S43" s="3546"/>
      <c r="T43" s="3546"/>
      <c r="U43" s="3546"/>
      <c r="V43" s="3546"/>
      <c r="W43" s="3546"/>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2630</v>
      </c>
      <c r="B51" s="759"/>
      <c r="C51" s="764"/>
      <c r="D51" s="764"/>
      <c r="E51" s="764"/>
      <c r="F51" s="765"/>
      <c r="G51" s="765"/>
      <c r="H51" s="764"/>
      <c r="I51" s="764"/>
      <c r="J51" s="764"/>
      <c r="K51" s="1162"/>
      <c r="L51" s="1163"/>
      <c r="M51" s="1161"/>
      <c r="N51" s="1161"/>
      <c r="O51" s="1161"/>
      <c r="P51" s="503"/>
      <c r="Q51" s="504"/>
    </row>
    <row r="52" spans="1:17" s="508" customFormat="1" ht="15">
      <c r="A52" s="505" t="s">
        <v>2504</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2519</v>
      </c>
      <c r="B88" s="528" t="s">
        <v>2568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2569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2570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5" priority="16" stopIfTrue="1" operator="containsText" text="超过">
      <formula>NOT(ISERROR(SEARCH("超过",F46)))</formula>
    </cfRule>
  </conditionalFormatting>
  <conditionalFormatting sqref="H48">
    <cfRule type="containsText" dxfId="114" priority="15" stopIfTrue="1" operator="containsText" text="超过">
      <formula>NOT(ISERROR(SEARCH("超过",H48)))</formula>
    </cfRule>
  </conditionalFormatting>
  <conditionalFormatting sqref="F48">
    <cfRule type="containsText" dxfId="113" priority="14" stopIfTrue="1" operator="containsText" text="超过">
      <formula>NOT(ISERROR(SEARCH("超过",F48)))</formula>
    </cfRule>
  </conditionalFormatting>
  <conditionalFormatting sqref="F47 H47">
    <cfRule type="containsText" dxfId="112" priority="13" stopIfTrue="1" operator="containsText" text="超过">
      <formula>NOT(ISERROR(SEARCH("超过",F47)))</formula>
    </cfRule>
  </conditionalFormatting>
  <conditionalFormatting sqref="E46">
    <cfRule type="expression" dxfId="111" priority="12" stopIfTrue="1">
      <formula>$F$46="超过30%"</formula>
    </cfRule>
  </conditionalFormatting>
  <conditionalFormatting sqref="E47">
    <cfRule type="expression" dxfId="110" priority="11" stopIfTrue="1">
      <formula>$F$47="超过20%"</formula>
    </cfRule>
  </conditionalFormatting>
  <conditionalFormatting sqref="E48">
    <cfRule type="expression" dxfId="109" priority="10" stopIfTrue="1">
      <formula>$F$48="超过30%"</formula>
    </cfRule>
  </conditionalFormatting>
  <conditionalFormatting sqref="G48">
    <cfRule type="expression" dxfId="108" priority="9" stopIfTrue="1">
      <formula>$H$48="超过30%"</formula>
    </cfRule>
  </conditionalFormatting>
  <conditionalFormatting sqref="G46">
    <cfRule type="expression" dxfId="107" priority="8" stopIfTrue="1">
      <formula>$H$46="超过30%"</formula>
    </cfRule>
  </conditionalFormatting>
  <conditionalFormatting sqref="G47">
    <cfRule type="expression" dxfId="106" priority="7" stopIfTrue="1">
      <formula>$H$47="超过20%"</formula>
    </cfRule>
  </conditionalFormatting>
  <conditionalFormatting sqref="J46">
    <cfRule type="containsText" dxfId="105" priority="6" stopIfTrue="1" operator="containsText" text="超过">
      <formula>NOT(ISERROR(SEARCH("超过",J46)))</formula>
    </cfRule>
  </conditionalFormatting>
  <conditionalFormatting sqref="J48">
    <cfRule type="containsText" dxfId="104" priority="5" stopIfTrue="1" operator="containsText" text="超过">
      <formula>NOT(ISERROR(SEARCH("超过",J48)))</formula>
    </cfRule>
  </conditionalFormatting>
  <conditionalFormatting sqref="J47">
    <cfRule type="containsText" dxfId="103" priority="4" stopIfTrue="1" operator="containsText" text="超过">
      <formula>NOT(ISERROR(SEARCH("超过",J47)))</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517" t="s">
        <v>2492</v>
      </c>
      <c r="D4" s="3518"/>
      <c r="E4" s="3519" t="s">
        <v>2493</v>
      </c>
      <c r="F4" s="3520"/>
      <c r="G4" s="3517" t="s">
        <v>2494</v>
      </c>
      <c r="H4" s="3518"/>
      <c r="I4" s="3517" t="s">
        <v>2495</v>
      </c>
      <c r="J4" s="3518"/>
      <c r="K4" s="2593" t="s">
        <v>2496</v>
      </c>
      <c r="L4" s="1132"/>
      <c r="M4" s="1133"/>
      <c r="N4" s="1133"/>
      <c r="O4" s="1133"/>
      <c r="P4" s="3521" t="s">
        <v>2497</v>
      </c>
      <c r="Q4" s="3522"/>
      <c r="R4" s="3503" t="s">
        <v>2493</v>
      </c>
      <c r="S4" s="3504"/>
      <c r="T4" s="3503" t="s">
        <v>2494</v>
      </c>
      <c r="U4" s="3504"/>
      <c r="V4" s="3529" t="s">
        <v>2495</v>
      </c>
      <c r="W4" s="3529"/>
      <c r="X4" s="2937"/>
      <c r="Y4" s="3503" t="s">
        <v>2497</v>
      </c>
      <c r="Z4" s="3504"/>
      <c r="AA4" s="3498" t="s">
        <v>2493</v>
      </c>
      <c r="AB4" s="3498" t="s">
        <v>2494</v>
      </c>
      <c r="AC4" s="3498" t="s">
        <v>2495</v>
      </c>
    </row>
    <row r="5" spans="1:29" ht="15">
      <c r="A5" s="404"/>
      <c r="B5" s="405"/>
      <c r="C5" s="3509" t="s">
        <v>2498</v>
      </c>
      <c r="D5" s="3510"/>
      <c r="E5" s="3545" t="s">
        <v>2499</v>
      </c>
      <c r="F5" s="3508"/>
      <c r="G5" s="3509" t="s">
        <v>2500</v>
      </c>
      <c r="H5" s="3510"/>
      <c r="I5" s="3509" t="s">
        <v>2501</v>
      </c>
      <c r="J5" s="3510"/>
      <c r="K5" s="2594"/>
      <c r="L5" s="1132"/>
      <c r="M5" s="1133"/>
      <c r="N5" s="1133"/>
      <c r="O5" s="1133"/>
      <c r="P5" s="3523"/>
      <c r="Q5" s="3524"/>
      <c r="R5" s="3505"/>
      <c r="S5" s="3506"/>
      <c r="T5" s="3505"/>
      <c r="U5" s="3506"/>
      <c r="V5" s="3529"/>
      <c r="W5" s="3529"/>
      <c r="X5" s="2937"/>
      <c r="Y5" s="3505"/>
      <c r="Z5" s="3506"/>
      <c r="AA5" s="3499"/>
      <c r="AB5" s="3499"/>
      <c r="AC5" s="3499"/>
    </row>
    <row r="6" spans="1:29" ht="15.75" thickBot="1">
      <c r="A6" s="406"/>
      <c r="B6" s="407"/>
      <c r="C6" s="3511" t="s">
        <v>2502</v>
      </c>
      <c r="D6" s="3512"/>
      <c r="E6" s="3514" t="s">
        <v>2502</v>
      </c>
      <c r="F6" s="3515"/>
      <c r="G6" s="3511" t="s">
        <v>2502</v>
      </c>
      <c r="H6" s="3512"/>
      <c r="I6" s="3511" t="s">
        <v>2502</v>
      </c>
      <c r="J6" s="3512"/>
      <c r="K6" s="2594" t="s">
        <v>2503</v>
      </c>
      <c r="L6" s="1132"/>
      <c r="M6" s="1133"/>
      <c r="N6" s="1133"/>
      <c r="O6" s="1133"/>
      <c r="P6" s="3525"/>
      <c r="Q6" s="3526"/>
      <c r="R6" s="3505"/>
      <c r="S6" s="3506"/>
      <c r="T6" s="3527"/>
      <c r="U6" s="3528"/>
      <c r="V6" s="3529"/>
      <c r="W6" s="3529"/>
      <c r="X6" s="2937"/>
      <c r="Y6" s="3527"/>
      <c r="Z6" s="3528"/>
      <c r="AA6" s="3500"/>
      <c r="AB6" s="3500"/>
      <c r="AC6" s="3500"/>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01" t="s">
        <v>2505</v>
      </c>
      <c r="Q7" s="3530"/>
      <c r="R7" s="770" t="s">
        <v>22</v>
      </c>
      <c r="S7" s="771">
        <f t="shared" ref="S7:S15" si="0">F7</f>
        <v>0</v>
      </c>
      <c r="T7" s="770" t="s">
        <v>22</v>
      </c>
      <c r="U7" s="771">
        <f t="shared" ref="U7:U15" si="1">H7</f>
        <v>0</v>
      </c>
      <c r="V7" s="770" t="s">
        <v>22</v>
      </c>
      <c r="W7" s="771">
        <f t="shared" ref="W7:W15" si="2">J7</f>
        <v>0</v>
      </c>
      <c r="X7" s="772"/>
      <c r="Y7" s="3501" t="s">
        <v>2505</v>
      </c>
      <c r="Z7" s="3502"/>
      <c r="AA7" s="773" t="e">
        <f>D7/F7</f>
        <v>#DIV/0!</v>
      </c>
      <c r="AB7" s="773" t="e">
        <f>D7/H7</f>
        <v>#DIV/0!</v>
      </c>
      <c r="AC7" s="773" t="e">
        <f>D7/J7</f>
        <v>#DIV/0!</v>
      </c>
    </row>
    <row r="8" spans="1:29" s="117" customFormat="1" ht="15.75" thickBot="1">
      <c r="A8" s="408" t="s">
        <v>2506</v>
      </c>
      <c r="B8" s="409"/>
      <c r="C8" s="414" t="s">
        <v>2507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01" t="s">
        <v>2508</v>
      </c>
      <c r="Q8" s="3502"/>
      <c r="R8" s="770" t="s">
        <v>22</v>
      </c>
      <c r="S8" s="771">
        <f t="shared" si="0"/>
        <v>0</v>
      </c>
      <c r="T8" s="770" t="s">
        <v>22</v>
      </c>
      <c r="U8" s="771">
        <f t="shared" si="1"/>
        <v>0</v>
      </c>
      <c r="V8" s="770" t="s">
        <v>22</v>
      </c>
      <c r="W8" s="771">
        <f t="shared" si="2"/>
        <v>0</v>
      </c>
      <c r="X8" s="772"/>
      <c r="Y8" s="3501" t="s">
        <v>2508</v>
      </c>
      <c r="Z8" s="3502"/>
      <c r="AA8" s="773" t="e">
        <f t="shared" ref="AA8:AA19" si="3">D8/F8</f>
        <v>#DIV/0!</v>
      </c>
      <c r="AB8" s="773" t="e">
        <f t="shared" ref="AB8:AB19" si="4">D8/H8</f>
        <v>#DIV/0!</v>
      </c>
      <c r="AC8" s="773"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40" t="s">
        <v>2511</v>
      </c>
      <c r="Q9" s="2923" t="str">
        <f t="shared" ref="Q9:Q15" si="6">B9</f>
        <v>用途</v>
      </c>
      <c r="R9" s="770" t="s">
        <v>17</v>
      </c>
      <c r="S9" s="771">
        <f t="shared" si="0"/>
        <v>100</v>
      </c>
      <c r="T9" s="770" t="s">
        <v>17</v>
      </c>
      <c r="U9" s="771">
        <f t="shared" si="1"/>
        <v>100</v>
      </c>
      <c r="V9" s="770" t="s">
        <v>17</v>
      </c>
      <c r="W9" s="771">
        <f t="shared" si="2"/>
        <v>100</v>
      </c>
      <c r="X9" s="772"/>
      <c r="Y9" s="3378" t="s">
        <v>2512</v>
      </c>
      <c r="Z9" s="2924" t="str">
        <f t="shared" ref="Z9:Z15" si="7">Q9</f>
        <v>用途</v>
      </c>
      <c r="AA9" s="773">
        <f t="shared" si="3"/>
        <v>1</v>
      </c>
      <c r="AB9" s="773">
        <f t="shared" si="4"/>
        <v>1</v>
      </c>
      <c r="AC9" s="773">
        <f t="shared" si="5"/>
        <v>1</v>
      </c>
    </row>
    <row r="10" spans="1:29" s="427" customFormat="1" ht="27">
      <c r="A10" s="421"/>
      <c r="B10" s="2929"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40"/>
      <c r="Q10" s="2923" t="str">
        <f t="shared" si="6"/>
        <v>土地使用年限（年）</v>
      </c>
      <c r="R10" s="770" t="s">
        <v>17</v>
      </c>
      <c r="S10" s="771">
        <f t="shared" si="0"/>
        <v>100</v>
      </c>
      <c r="T10" s="770" t="s">
        <v>17</v>
      </c>
      <c r="U10" s="771">
        <f t="shared" si="1"/>
        <v>100</v>
      </c>
      <c r="V10" s="770" t="s">
        <v>17</v>
      </c>
      <c r="W10" s="771">
        <f t="shared" si="2"/>
        <v>100</v>
      </c>
      <c r="X10" s="772"/>
      <c r="Y10" s="3378"/>
      <c r="Z10" s="2924" t="str">
        <f t="shared" si="7"/>
        <v>土地使用年限（年）</v>
      </c>
      <c r="AA10" s="773">
        <f t="shared" si="3"/>
        <v>1</v>
      </c>
      <c r="AB10" s="773">
        <f t="shared" si="4"/>
        <v>1</v>
      </c>
      <c r="AC10" s="773">
        <f t="shared" si="5"/>
        <v>1</v>
      </c>
    </row>
    <row r="11" spans="1:29" ht="15">
      <c r="A11" s="428"/>
      <c r="B11" s="2929"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540"/>
      <c r="Q11" s="2923" t="str">
        <f t="shared" si="6"/>
        <v>容积率</v>
      </c>
      <c r="R11" s="770" t="s">
        <v>21</v>
      </c>
      <c r="S11" s="771" t="e">
        <f t="shared" si="0"/>
        <v>#N/A</v>
      </c>
      <c r="T11" s="770" t="s">
        <v>21</v>
      </c>
      <c r="U11" s="771" t="e">
        <f t="shared" si="1"/>
        <v>#N/A</v>
      </c>
      <c r="V11" s="770" t="s">
        <v>21</v>
      </c>
      <c r="W11" s="771" t="e">
        <f t="shared" si="2"/>
        <v>#N/A</v>
      </c>
      <c r="X11" s="772"/>
      <c r="Y11" s="3378"/>
      <c r="Z11" s="2924"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40"/>
      <c r="Q12" s="2923">
        <f t="shared" si="6"/>
        <v>111</v>
      </c>
      <c r="R12" s="770" t="s">
        <v>21</v>
      </c>
      <c r="S12" s="771">
        <f t="shared" si="0"/>
        <v>100</v>
      </c>
      <c r="T12" s="770" t="s">
        <v>21</v>
      </c>
      <c r="U12" s="771">
        <f t="shared" si="1"/>
        <v>100</v>
      </c>
      <c r="V12" s="770" t="s">
        <v>21</v>
      </c>
      <c r="W12" s="771">
        <f t="shared" si="2"/>
        <v>100</v>
      </c>
      <c r="X12" s="772"/>
      <c r="Y12" s="3378"/>
      <c r="Z12" s="2924">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40"/>
      <c r="Q13" s="2923">
        <f t="shared" si="6"/>
        <v>111</v>
      </c>
      <c r="R13" s="770" t="s">
        <v>21</v>
      </c>
      <c r="S13" s="771">
        <f t="shared" si="0"/>
        <v>100</v>
      </c>
      <c r="T13" s="770" t="s">
        <v>21</v>
      </c>
      <c r="U13" s="771">
        <f t="shared" si="1"/>
        <v>100</v>
      </c>
      <c r="V13" s="770" t="s">
        <v>21</v>
      </c>
      <c r="W13" s="771">
        <f t="shared" si="2"/>
        <v>100</v>
      </c>
      <c r="X13" s="772"/>
      <c r="Y13" s="3378"/>
      <c r="Z13" s="2924">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40"/>
      <c r="Q14" s="2923">
        <f t="shared" si="6"/>
        <v>111</v>
      </c>
      <c r="R14" s="770" t="s">
        <v>21</v>
      </c>
      <c r="S14" s="771">
        <f t="shared" si="0"/>
        <v>100</v>
      </c>
      <c r="T14" s="770" t="s">
        <v>21</v>
      </c>
      <c r="U14" s="771">
        <f t="shared" si="1"/>
        <v>100</v>
      </c>
      <c r="V14" s="770" t="s">
        <v>21</v>
      </c>
      <c r="W14" s="771">
        <f t="shared" si="2"/>
        <v>100</v>
      </c>
      <c r="X14" s="772"/>
      <c r="Y14" s="3378"/>
      <c r="Z14" s="2924">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52" t="s">
        <v>2516</v>
      </c>
      <c r="Q15" s="2935" t="str">
        <f t="shared" si="6"/>
        <v>居住社区成熟度</v>
      </c>
      <c r="R15" s="774" t="s">
        <v>21</v>
      </c>
      <c r="S15" s="775">
        <f t="shared" si="0"/>
        <v>100</v>
      </c>
      <c r="T15" s="774" t="s">
        <v>21</v>
      </c>
      <c r="U15" s="775">
        <f t="shared" si="1"/>
        <v>100</v>
      </c>
      <c r="V15" s="774" t="s">
        <v>21</v>
      </c>
      <c r="W15" s="775">
        <f t="shared" si="2"/>
        <v>100</v>
      </c>
      <c r="X15" s="2937"/>
      <c r="Y15" s="3531" t="s">
        <v>2516</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2"/>
      <c r="M16" s="1133"/>
      <c r="N16" s="1133"/>
      <c r="O16" s="1133"/>
      <c r="P16" s="3553"/>
      <c r="Q16" s="2935"/>
      <c r="R16" s="774"/>
      <c r="S16" s="775"/>
      <c r="T16" s="774"/>
      <c r="U16" s="775"/>
      <c r="V16" s="774"/>
      <c r="W16" s="775"/>
      <c r="X16" s="2937"/>
      <c r="Y16" s="3532"/>
      <c r="Z16" s="2938"/>
      <c r="AA16" s="2936">
        <v>1</v>
      </c>
      <c r="AB16" s="2936">
        <v>1</v>
      </c>
      <c r="AC16" s="2936">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53"/>
      <c r="Q17" s="2935" t="str">
        <f>B17</f>
        <v>交通便捷度</v>
      </c>
      <c r="R17" s="774" t="s">
        <v>21</v>
      </c>
      <c r="S17" s="775">
        <f>F17</f>
        <v>100</v>
      </c>
      <c r="T17" s="774" t="s">
        <v>21</v>
      </c>
      <c r="U17" s="775">
        <f>H17</f>
        <v>100</v>
      </c>
      <c r="V17" s="774" t="s">
        <v>21</v>
      </c>
      <c r="W17" s="775">
        <f>J17</f>
        <v>100</v>
      </c>
      <c r="X17" s="2937"/>
      <c r="Y17" s="3532"/>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2"/>
      <c r="M18" s="1133"/>
      <c r="N18" s="1133"/>
      <c r="O18" s="1133"/>
      <c r="P18" s="3553"/>
      <c r="Q18" s="2935"/>
      <c r="R18" s="774"/>
      <c r="S18" s="775"/>
      <c r="T18" s="774"/>
      <c r="U18" s="775"/>
      <c r="V18" s="774"/>
      <c r="W18" s="775"/>
      <c r="X18" s="2937"/>
      <c r="Y18" s="3532"/>
      <c r="Z18" s="2938"/>
      <c r="AA18" s="2936">
        <v>1</v>
      </c>
      <c r="AB18" s="2936">
        <v>1</v>
      </c>
      <c r="AC18" s="2936">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53"/>
      <c r="Q19" s="2935" t="str">
        <f>B19</f>
        <v>公共配套设施</v>
      </c>
      <c r="R19" s="774" t="s">
        <v>21</v>
      </c>
      <c r="S19" s="775">
        <f>F19</f>
        <v>100</v>
      </c>
      <c r="T19" s="774" t="s">
        <v>21</v>
      </c>
      <c r="U19" s="775">
        <f>H19</f>
        <v>100</v>
      </c>
      <c r="V19" s="774" t="s">
        <v>21</v>
      </c>
      <c r="W19" s="775">
        <f>J19</f>
        <v>100</v>
      </c>
      <c r="X19" s="2937"/>
      <c r="Y19" s="3532"/>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2"/>
      <c r="M20" s="1133"/>
      <c r="N20" s="1133"/>
      <c r="O20" s="1133"/>
      <c r="P20" s="3553"/>
      <c r="Q20" s="2935"/>
      <c r="R20" s="774"/>
      <c r="S20" s="775"/>
      <c r="T20" s="774"/>
      <c r="U20" s="775"/>
      <c r="V20" s="774"/>
      <c r="W20" s="775"/>
      <c r="X20" s="2937"/>
      <c r="Y20" s="3532"/>
      <c r="Z20" s="2938"/>
      <c r="AA20" s="2936">
        <v>1</v>
      </c>
      <c r="AB20" s="2936">
        <v>1</v>
      </c>
      <c r="AC20" s="2936">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53"/>
      <c r="Q21" s="2935" t="str">
        <f>B21</f>
        <v>基础设施水平</v>
      </c>
      <c r="R21" s="774" t="s">
        <v>17</v>
      </c>
      <c r="S21" s="775">
        <f>F21</f>
        <v>100</v>
      </c>
      <c r="T21" s="774" t="s">
        <v>17</v>
      </c>
      <c r="U21" s="775">
        <f>H21</f>
        <v>100</v>
      </c>
      <c r="V21" s="774" t="s">
        <v>17</v>
      </c>
      <c r="W21" s="775">
        <f>J21</f>
        <v>100</v>
      </c>
      <c r="X21" s="2937"/>
      <c r="Y21" s="3532"/>
      <c r="Z21" s="2938" t="str">
        <f>Q21</f>
        <v>基础设施水平</v>
      </c>
      <c r="AA21" s="2936">
        <f t="shared" ref="AA21" si="8">D21/F21</f>
        <v>1</v>
      </c>
      <c r="AB21" s="2936">
        <f t="shared" ref="AB21" si="9">D21/H21</f>
        <v>1</v>
      </c>
      <c r="AC21" s="2936">
        <f t="shared" ref="AC21" si="10">D21/J21</f>
        <v>1</v>
      </c>
    </row>
    <row r="22" spans="1:29" ht="15">
      <c r="A22" s="428"/>
      <c r="B22" s="1386"/>
      <c r="C22" s="2605"/>
      <c r="D22" s="448"/>
      <c r="E22" s="447"/>
      <c r="F22" s="448"/>
      <c r="G22" s="2608"/>
      <c r="H22" s="448"/>
      <c r="I22" s="447"/>
      <c r="J22" s="448"/>
      <c r="K22" s="2609"/>
      <c r="L22" s="1142"/>
      <c r="M22" s="1133"/>
      <c r="N22" s="1133"/>
      <c r="O22" s="1133"/>
      <c r="P22" s="3553"/>
      <c r="Q22" s="2935"/>
      <c r="R22" s="774"/>
      <c r="S22" s="775"/>
      <c r="T22" s="774"/>
      <c r="U22" s="775"/>
      <c r="V22" s="774"/>
      <c r="W22" s="775"/>
      <c r="X22" s="2937"/>
      <c r="Y22" s="3532"/>
      <c r="Z22" s="2938"/>
      <c r="AA22" s="2936">
        <v>1</v>
      </c>
      <c r="AB22" s="2936">
        <v>1</v>
      </c>
      <c r="AC22" s="2936">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53"/>
      <c r="Q23" s="2935" t="str">
        <f>B23</f>
        <v>自然及人文环境</v>
      </c>
      <c r="R23" s="774" t="s">
        <v>21</v>
      </c>
      <c r="S23" s="775">
        <f>F23</f>
        <v>100</v>
      </c>
      <c r="T23" s="774" t="s">
        <v>21</v>
      </c>
      <c r="U23" s="775">
        <f>H23</f>
        <v>100</v>
      </c>
      <c r="V23" s="774" t="s">
        <v>21</v>
      </c>
      <c r="W23" s="775">
        <f>J23</f>
        <v>100</v>
      </c>
      <c r="X23" s="2937"/>
      <c r="Y23" s="3532"/>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2"/>
      <c r="M24" s="1133"/>
      <c r="N24" s="1133"/>
      <c r="O24" s="1133"/>
      <c r="P24" s="3553"/>
      <c r="Q24" s="2935"/>
      <c r="R24" s="774"/>
      <c r="S24" s="775"/>
      <c r="T24" s="774"/>
      <c r="U24" s="775"/>
      <c r="V24" s="774"/>
      <c r="W24" s="775"/>
      <c r="X24" s="2937"/>
      <c r="Y24" s="3532"/>
      <c r="Z24" s="2938"/>
      <c r="AA24" s="2936">
        <v>1</v>
      </c>
      <c r="AB24" s="2936">
        <v>1</v>
      </c>
      <c r="AC24" s="2936">
        <v>1</v>
      </c>
    </row>
    <row r="25" spans="1:29" ht="15">
      <c r="A25" s="428"/>
      <c r="B25" s="2929"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53"/>
      <c r="Q25" s="2935" t="str">
        <f t="shared" ref="Q25:Q46" si="11">B25</f>
        <v>楼层-1</v>
      </c>
      <c r="R25" s="774" t="s">
        <v>21</v>
      </c>
      <c r="S25" s="775">
        <f t="shared" ref="S25:S46" si="12">F25</f>
        <v>100</v>
      </c>
      <c r="T25" s="774" t="s">
        <v>21</v>
      </c>
      <c r="U25" s="775">
        <f t="shared" ref="U25:U46" si="13">H25</f>
        <v>100</v>
      </c>
      <c r="V25" s="774" t="s">
        <v>21</v>
      </c>
      <c r="W25" s="775">
        <f t="shared" ref="W25:W46" si="14">J25</f>
        <v>100</v>
      </c>
      <c r="X25" s="2937"/>
      <c r="Y25" s="3532"/>
      <c r="Z25" s="2938" t="str">
        <f>Q25</f>
        <v>楼层-1</v>
      </c>
      <c r="AA25" s="2936">
        <f t="shared" ref="AA25:AA46" si="15">D25/F25</f>
        <v>1</v>
      </c>
      <c r="AB25" s="2936">
        <f t="shared" ref="AB25:AB46" si="16">D25/H25</f>
        <v>1</v>
      </c>
      <c r="AC25" s="2936">
        <f t="shared" ref="AC25:AC46" si="17">D25/J25</f>
        <v>1</v>
      </c>
    </row>
    <row r="26" spans="1:29" ht="15">
      <c r="A26" s="428"/>
      <c r="B26" s="2929"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53"/>
      <c r="Q26" s="2935" t="str">
        <f t="shared" si="11"/>
        <v>朝向</v>
      </c>
      <c r="R26" s="774" t="s">
        <v>21</v>
      </c>
      <c r="S26" s="775">
        <f t="shared" si="12"/>
        <v>100</v>
      </c>
      <c r="T26" s="774" t="s">
        <v>21</v>
      </c>
      <c r="U26" s="775">
        <f t="shared" si="13"/>
        <v>100</v>
      </c>
      <c r="V26" s="774" t="s">
        <v>21</v>
      </c>
      <c r="W26" s="775">
        <f t="shared" si="14"/>
        <v>100</v>
      </c>
      <c r="X26" s="2937"/>
      <c r="Y26" s="3532"/>
      <c r="Z26" s="2938" t="str">
        <f>Q26</f>
        <v>朝向</v>
      </c>
      <c r="AA26" s="2936">
        <f t="shared" si="15"/>
        <v>1</v>
      </c>
      <c r="AB26" s="2936">
        <f t="shared" si="16"/>
        <v>1</v>
      </c>
      <c r="AC26" s="2936">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53"/>
      <c r="Q27" s="2923">
        <f t="shared" si="11"/>
        <v>111</v>
      </c>
      <c r="R27" s="770" t="s">
        <v>21</v>
      </c>
      <c r="S27" s="771">
        <f t="shared" si="12"/>
        <v>100</v>
      </c>
      <c r="T27" s="770" t="s">
        <v>21</v>
      </c>
      <c r="U27" s="771">
        <f t="shared" si="13"/>
        <v>100</v>
      </c>
      <c r="V27" s="770" t="s">
        <v>21</v>
      </c>
      <c r="W27" s="771">
        <f t="shared" si="14"/>
        <v>100</v>
      </c>
      <c r="X27" s="772"/>
      <c r="Y27" s="3532"/>
      <c r="Z27" s="2924">
        <f>Q27</f>
        <v>111</v>
      </c>
      <c r="AA27" s="2936">
        <f t="shared" si="15"/>
        <v>1</v>
      </c>
      <c r="AB27" s="2936">
        <f t="shared" si="16"/>
        <v>1</v>
      </c>
      <c r="AC27" s="2936">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53"/>
      <c r="Q28" s="2935">
        <f t="shared" si="11"/>
        <v>111</v>
      </c>
      <c r="R28" s="774" t="s">
        <v>21</v>
      </c>
      <c r="S28" s="775">
        <f t="shared" si="12"/>
        <v>100</v>
      </c>
      <c r="T28" s="774" t="s">
        <v>21</v>
      </c>
      <c r="U28" s="775">
        <f t="shared" si="13"/>
        <v>100</v>
      </c>
      <c r="V28" s="774" t="s">
        <v>21</v>
      </c>
      <c r="W28" s="775">
        <f t="shared" si="14"/>
        <v>100</v>
      </c>
      <c r="X28" s="2937"/>
      <c r="Y28" s="3532"/>
      <c r="Z28" s="2938">
        <f t="shared" ref="Z28:Z46" si="18">Q28</f>
        <v>111</v>
      </c>
      <c r="AA28" s="2936">
        <f t="shared" si="15"/>
        <v>1</v>
      </c>
      <c r="AB28" s="2936">
        <f t="shared" si="16"/>
        <v>1</v>
      </c>
      <c r="AC28" s="2936">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53"/>
      <c r="Q29" s="2935">
        <f t="shared" si="11"/>
        <v>111</v>
      </c>
      <c r="R29" s="774" t="s">
        <v>21</v>
      </c>
      <c r="S29" s="775">
        <f t="shared" si="12"/>
        <v>100</v>
      </c>
      <c r="T29" s="774" t="s">
        <v>21</v>
      </c>
      <c r="U29" s="775">
        <f t="shared" si="13"/>
        <v>100</v>
      </c>
      <c r="V29" s="774" t="s">
        <v>21</v>
      </c>
      <c r="W29" s="775">
        <f t="shared" si="14"/>
        <v>100</v>
      </c>
      <c r="X29" s="2937"/>
      <c r="Y29" s="3532"/>
      <c r="Z29" s="2938">
        <f t="shared" si="18"/>
        <v>111</v>
      </c>
      <c r="AA29" s="2936">
        <f t="shared" si="15"/>
        <v>1</v>
      </c>
      <c r="AB29" s="2936">
        <f t="shared" si="16"/>
        <v>1</v>
      </c>
      <c r="AC29" s="2936">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53"/>
      <c r="Q30" s="2935">
        <f t="shared" si="11"/>
        <v>111</v>
      </c>
      <c r="R30" s="774" t="s">
        <v>21</v>
      </c>
      <c r="S30" s="775">
        <f t="shared" si="12"/>
        <v>100</v>
      </c>
      <c r="T30" s="774" t="s">
        <v>21</v>
      </c>
      <c r="U30" s="775">
        <f t="shared" si="13"/>
        <v>100</v>
      </c>
      <c r="V30" s="774" t="s">
        <v>21</v>
      </c>
      <c r="W30" s="775">
        <f t="shared" si="14"/>
        <v>100</v>
      </c>
      <c r="X30" s="2937"/>
      <c r="Y30" s="3532"/>
      <c r="Z30" s="2938">
        <f t="shared" si="18"/>
        <v>111</v>
      </c>
      <c r="AA30" s="2936">
        <f t="shared" si="15"/>
        <v>1</v>
      </c>
      <c r="AB30" s="2936">
        <f t="shared" si="16"/>
        <v>1</v>
      </c>
      <c r="AC30" s="2936">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53"/>
      <c r="Q31" s="2935">
        <f t="shared" si="11"/>
        <v>111</v>
      </c>
      <c r="R31" s="774" t="s">
        <v>21</v>
      </c>
      <c r="S31" s="775">
        <f t="shared" si="12"/>
        <v>100</v>
      </c>
      <c r="T31" s="774" t="s">
        <v>21</v>
      </c>
      <c r="U31" s="775">
        <f t="shared" si="13"/>
        <v>100</v>
      </c>
      <c r="V31" s="774" t="s">
        <v>21</v>
      </c>
      <c r="W31" s="775">
        <f t="shared" si="14"/>
        <v>100</v>
      </c>
      <c r="X31" s="2937"/>
      <c r="Y31" s="3532"/>
      <c r="Z31" s="2938">
        <f t="shared" si="18"/>
        <v>111</v>
      </c>
      <c r="AA31" s="2936">
        <f t="shared" si="15"/>
        <v>1</v>
      </c>
      <c r="AB31" s="2936">
        <f t="shared" si="16"/>
        <v>1</v>
      </c>
      <c r="AC31" s="2936">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48" t="s">
        <v>2521</v>
      </c>
      <c r="Q32" s="2935" t="str">
        <f t="shared" si="11"/>
        <v>建筑类型</v>
      </c>
      <c r="R32" s="774" t="s">
        <v>21</v>
      </c>
      <c r="S32" s="775">
        <f t="shared" si="12"/>
        <v>100</v>
      </c>
      <c r="T32" s="774" t="s">
        <v>21</v>
      </c>
      <c r="U32" s="775">
        <f t="shared" si="13"/>
        <v>100</v>
      </c>
      <c r="V32" s="774" t="s">
        <v>21</v>
      </c>
      <c r="W32" s="775">
        <f t="shared" si="14"/>
        <v>100</v>
      </c>
      <c r="X32" s="2937"/>
      <c r="Y32" s="3534" t="s">
        <v>2521</v>
      </c>
      <c r="Z32" s="2938" t="str">
        <f t="shared" si="18"/>
        <v>建筑类型</v>
      </c>
      <c r="AA32" s="2936">
        <f t="shared" si="15"/>
        <v>1</v>
      </c>
      <c r="AB32" s="2936">
        <f t="shared" si="16"/>
        <v>1</v>
      </c>
      <c r="AC32" s="2936">
        <f t="shared" si="17"/>
        <v>1</v>
      </c>
    </row>
    <row r="33" spans="1:29" s="471" customFormat="1" ht="15">
      <c r="A33" s="468"/>
      <c r="B33" s="2929"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49"/>
      <c r="Q33" s="776" t="str">
        <f t="shared" si="11"/>
        <v>项目建筑规模</v>
      </c>
      <c r="R33" s="777" t="s">
        <v>21</v>
      </c>
      <c r="S33" s="778" t="e">
        <f t="shared" si="12"/>
        <v>#N/A</v>
      </c>
      <c r="T33" s="777" t="s">
        <v>21</v>
      </c>
      <c r="U33" s="778" t="e">
        <f t="shared" si="13"/>
        <v>#N/A</v>
      </c>
      <c r="V33" s="777" t="s">
        <v>21</v>
      </c>
      <c r="W33" s="778" t="e">
        <f t="shared" si="14"/>
        <v>#N/A</v>
      </c>
      <c r="X33" s="779"/>
      <c r="Y33" s="3534"/>
      <c r="Z33" s="780" t="str">
        <f t="shared" si="18"/>
        <v>项目建筑规模</v>
      </c>
      <c r="AA33" s="2936" t="e">
        <f t="shared" si="15"/>
        <v>#N/A</v>
      </c>
      <c r="AB33" s="2936" t="e">
        <f t="shared" si="16"/>
        <v>#N/A</v>
      </c>
      <c r="AC33" s="2936" t="e">
        <f t="shared" si="17"/>
        <v>#N/A</v>
      </c>
    </row>
    <row r="34" spans="1:29" ht="15">
      <c r="A34" s="472"/>
      <c r="B34" s="2929"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49"/>
      <c r="Q34" s="2935" t="str">
        <f t="shared" si="11"/>
        <v>建筑结构</v>
      </c>
      <c r="R34" s="774" t="s">
        <v>21</v>
      </c>
      <c r="S34" s="775">
        <f t="shared" si="12"/>
        <v>100</v>
      </c>
      <c r="T34" s="774" t="s">
        <v>21</v>
      </c>
      <c r="U34" s="775">
        <f t="shared" si="13"/>
        <v>100</v>
      </c>
      <c r="V34" s="774" t="s">
        <v>21</v>
      </c>
      <c r="W34" s="775">
        <f t="shared" si="14"/>
        <v>100</v>
      </c>
      <c r="X34" s="2937"/>
      <c r="Y34" s="3534"/>
      <c r="Z34" s="2938" t="str">
        <f t="shared" si="18"/>
        <v>建筑结构</v>
      </c>
      <c r="AA34" s="2936">
        <f t="shared" si="15"/>
        <v>1</v>
      </c>
      <c r="AB34" s="2936">
        <f t="shared" si="16"/>
        <v>1</v>
      </c>
      <c r="AC34" s="2936">
        <f t="shared" si="17"/>
        <v>1</v>
      </c>
    </row>
    <row r="35" spans="1:29" ht="15">
      <c r="A35" s="472"/>
      <c r="B35" s="2929"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49"/>
      <c r="Q35" s="2935" t="str">
        <f t="shared" si="11"/>
        <v>建筑品质</v>
      </c>
      <c r="R35" s="774" t="s">
        <v>21</v>
      </c>
      <c r="S35" s="775">
        <f t="shared" si="12"/>
        <v>100</v>
      </c>
      <c r="T35" s="774" t="s">
        <v>21</v>
      </c>
      <c r="U35" s="775">
        <f t="shared" si="13"/>
        <v>100</v>
      </c>
      <c r="V35" s="774" t="s">
        <v>21</v>
      </c>
      <c r="W35" s="775">
        <f t="shared" si="14"/>
        <v>100</v>
      </c>
      <c r="X35" s="2937"/>
      <c r="Y35" s="3534"/>
      <c r="Z35" s="2938" t="str">
        <f t="shared" si="18"/>
        <v>建筑品质</v>
      </c>
      <c r="AA35" s="2936">
        <f t="shared" si="15"/>
        <v>1</v>
      </c>
      <c r="AB35" s="2936">
        <f t="shared" si="16"/>
        <v>1</v>
      </c>
      <c r="AC35" s="2936">
        <f t="shared" si="17"/>
        <v>1</v>
      </c>
    </row>
    <row r="36" spans="1:29" ht="15">
      <c r="A36" s="472"/>
      <c r="B36" s="2929"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49"/>
      <c r="Q36" s="2935" t="str">
        <f t="shared" si="11"/>
        <v>公共部分装修</v>
      </c>
      <c r="R36" s="774" t="s">
        <v>21</v>
      </c>
      <c r="S36" s="775">
        <f t="shared" si="12"/>
        <v>100</v>
      </c>
      <c r="T36" s="774" t="s">
        <v>21</v>
      </c>
      <c r="U36" s="775">
        <f t="shared" si="13"/>
        <v>100</v>
      </c>
      <c r="V36" s="774" t="s">
        <v>21</v>
      </c>
      <c r="W36" s="775">
        <f t="shared" si="14"/>
        <v>100</v>
      </c>
      <c r="X36" s="2937"/>
      <c r="Y36" s="3534"/>
      <c r="Z36" s="2938" t="str">
        <f t="shared" si="18"/>
        <v>公共部分装修</v>
      </c>
      <c r="AA36" s="2936">
        <f t="shared" si="15"/>
        <v>1</v>
      </c>
      <c r="AB36" s="2936">
        <f t="shared" si="16"/>
        <v>1</v>
      </c>
      <c r="AC36" s="2936">
        <f t="shared" si="17"/>
        <v>1</v>
      </c>
    </row>
    <row r="37" spans="1:29" s="117" customFormat="1" ht="15">
      <c r="A37" s="473"/>
      <c r="B37" s="2929"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49"/>
      <c r="Q37" s="2923" t="str">
        <f t="shared" si="11"/>
        <v>成新度</v>
      </c>
      <c r="R37" s="770" t="s">
        <v>21</v>
      </c>
      <c r="S37" s="771" t="e">
        <f t="shared" si="12"/>
        <v>#N/A</v>
      </c>
      <c r="T37" s="770" t="s">
        <v>21</v>
      </c>
      <c r="U37" s="771" t="e">
        <f t="shared" si="13"/>
        <v>#N/A</v>
      </c>
      <c r="V37" s="770" t="s">
        <v>21</v>
      </c>
      <c r="W37" s="771" t="e">
        <f t="shared" si="14"/>
        <v>#N/A</v>
      </c>
      <c r="X37" s="772"/>
      <c r="Y37" s="3534"/>
      <c r="Z37" s="2924" t="str">
        <f t="shared" si="18"/>
        <v>成新度</v>
      </c>
      <c r="AA37" s="773" t="e">
        <f t="shared" si="15"/>
        <v>#N/A</v>
      </c>
      <c r="AB37" s="773" t="e">
        <f t="shared" si="16"/>
        <v>#N/A</v>
      </c>
      <c r="AC37" s="773" t="e">
        <f t="shared" si="17"/>
        <v>#N/A</v>
      </c>
    </row>
    <row r="38" spans="1:29" ht="15">
      <c r="A38" s="472"/>
      <c r="B38" s="2929"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49" t="s">
        <v>2521</v>
      </c>
      <c r="Q38" s="2935" t="str">
        <f t="shared" si="11"/>
        <v>物业管理</v>
      </c>
      <c r="R38" s="774" t="s">
        <v>21</v>
      </c>
      <c r="S38" s="775">
        <f t="shared" si="12"/>
        <v>100</v>
      </c>
      <c r="T38" s="774" t="s">
        <v>21</v>
      </c>
      <c r="U38" s="775">
        <f t="shared" si="13"/>
        <v>100</v>
      </c>
      <c r="V38" s="774" t="s">
        <v>21</v>
      </c>
      <c r="W38" s="775">
        <f t="shared" si="14"/>
        <v>100</v>
      </c>
      <c r="X38" s="2937"/>
      <c r="Y38" s="3534" t="s">
        <v>2521</v>
      </c>
      <c r="Z38" s="2938" t="str">
        <f t="shared" si="18"/>
        <v>物业管理</v>
      </c>
      <c r="AA38" s="2936">
        <f t="shared" si="15"/>
        <v>1</v>
      </c>
      <c r="AB38" s="2936">
        <f t="shared" si="16"/>
        <v>1</v>
      </c>
      <c r="AC38" s="2936">
        <f t="shared" si="17"/>
        <v>1</v>
      </c>
    </row>
    <row r="39" spans="1:29" ht="15">
      <c r="A39" s="472"/>
      <c r="B39" s="2929"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49"/>
      <c r="Q39" s="2935" t="str">
        <f t="shared" si="11"/>
        <v>市政基础设施</v>
      </c>
      <c r="R39" s="774" t="s">
        <v>21</v>
      </c>
      <c r="S39" s="775">
        <f t="shared" si="12"/>
        <v>100</v>
      </c>
      <c r="T39" s="774" t="s">
        <v>21</v>
      </c>
      <c r="U39" s="775">
        <f t="shared" si="13"/>
        <v>100</v>
      </c>
      <c r="V39" s="774" t="s">
        <v>21</v>
      </c>
      <c r="W39" s="775">
        <f t="shared" si="14"/>
        <v>100</v>
      </c>
      <c r="X39" s="2937"/>
      <c r="Y39" s="3534"/>
      <c r="Z39" s="2938" t="str">
        <f t="shared" si="18"/>
        <v>市政基础设施</v>
      </c>
      <c r="AA39" s="2936">
        <f t="shared" si="15"/>
        <v>1</v>
      </c>
      <c r="AB39" s="2936">
        <f t="shared" si="16"/>
        <v>1</v>
      </c>
      <c r="AC39" s="2936">
        <f t="shared" si="17"/>
        <v>1</v>
      </c>
    </row>
    <row r="40" spans="1:29" ht="15">
      <c r="A40" s="472"/>
      <c r="B40" s="2929"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49"/>
      <c r="Q40" s="2935" t="str">
        <f t="shared" si="11"/>
        <v>房型</v>
      </c>
      <c r="R40" s="774" t="s">
        <v>21</v>
      </c>
      <c r="S40" s="775">
        <f t="shared" si="12"/>
        <v>100</v>
      </c>
      <c r="T40" s="774" t="s">
        <v>21</v>
      </c>
      <c r="U40" s="775">
        <f t="shared" si="13"/>
        <v>100</v>
      </c>
      <c r="V40" s="774" t="s">
        <v>21</v>
      </c>
      <c r="W40" s="775">
        <f t="shared" si="14"/>
        <v>100</v>
      </c>
      <c r="X40" s="2937"/>
      <c r="Y40" s="3534"/>
      <c r="Z40" s="2938" t="str">
        <f t="shared" si="18"/>
        <v>房型</v>
      </c>
      <c r="AA40" s="2936">
        <f t="shared" si="15"/>
        <v>1</v>
      </c>
      <c r="AB40" s="2936">
        <f t="shared" si="16"/>
        <v>1</v>
      </c>
      <c r="AC40" s="2936">
        <f t="shared" si="17"/>
        <v>1</v>
      </c>
    </row>
    <row r="41" spans="1:29" s="471" customFormat="1" ht="28.5">
      <c r="A41" s="468"/>
      <c r="B41" s="2929"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49"/>
      <c r="Q41" s="776" t="str">
        <f t="shared" si="11"/>
        <v>单套/主力户型建筑面积</v>
      </c>
      <c r="R41" s="777" t="s">
        <v>21</v>
      </c>
      <c r="S41" s="778">
        <f t="shared" si="12"/>
        <v>100</v>
      </c>
      <c r="T41" s="777" t="s">
        <v>21</v>
      </c>
      <c r="U41" s="778">
        <f t="shared" si="13"/>
        <v>100</v>
      </c>
      <c r="V41" s="777" t="s">
        <v>21</v>
      </c>
      <c r="W41" s="778">
        <f t="shared" si="14"/>
        <v>100</v>
      </c>
      <c r="X41" s="779"/>
      <c r="Y41" s="3534"/>
      <c r="Z41" s="780" t="str">
        <f t="shared" si="18"/>
        <v>单套/主力户型建筑面积</v>
      </c>
      <c r="AA41" s="2936">
        <f t="shared" si="15"/>
        <v>1</v>
      </c>
      <c r="AB41" s="2936">
        <f t="shared" si="16"/>
        <v>1</v>
      </c>
      <c r="AC41" s="2936">
        <f t="shared" si="17"/>
        <v>1</v>
      </c>
    </row>
    <row r="42" spans="1:29" ht="15">
      <c r="A42" s="472"/>
      <c r="B42" s="2929"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49"/>
      <c r="Q42" s="2935" t="str">
        <f t="shared" si="11"/>
        <v>内部装修</v>
      </c>
      <c r="R42" s="774" t="s">
        <v>21</v>
      </c>
      <c r="S42" s="775">
        <f t="shared" si="12"/>
        <v>100</v>
      </c>
      <c r="T42" s="774" t="s">
        <v>21</v>
      </c>
      <c r="U42" s="775">
        <f t="shared" si="13"/>
        <v>100</v>
      </c>
      <c r="V42" s="774" t="s">
        <v>21</v>
      </c>
      <c r="W42" s="775">
        <f t="shared" si="14"/>
        <v>100</v>
      </c>
      <c r="X42" s="2937"/>
      <c r="Y42" s="3534"/>
      <c r="Z42" s="2938" t="str">
        <f t="shared" si="18"/>
        <v>内部装修</v>
      </c>
      <c r="AA42" s="2936">
        <f t="shared" si="15"/>
        <v>1</v>
      </c>
      <c r="AB42" s="2936">
        <f t="shared" si="16"/>
        <v>1</v>
      </c>
      <c r="AC42" s="2936">
        <f t="shared" si="17"/>
        <v>1</v>
      </c>
    </row>
    <row r="43" spans="1:29" ht="15">
      <c r="A43" s="472"/>
      <c r="B43" s="2929"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49"/>
      <c r="Q43" s="2935" t="str">
        <f t="shared" si="11"/>
        <v>内部装修维护情况</v>
      </c>
      <c r="R43" s="774" t="s">
        <v>21</v>
      </c>
      <c r="S43" s="775">
        <f t="shared" si="12"/>
        <v>100</v>
      </c>
      <c r="T43" s="774" t="s">
        <v>21</v>
      </c>
      <c r="U43" s="775">
        <f t="shared" si="13"/>
        <v>100</v>
      </c>
      <c r="V43" s="774" t="s">
        <v>21</v>
      </c>
      <c r="W43" s="775">
        <f t="shared" si="14"/>
        <v>100</v>
      </c>
      <c r="X43" s="2937"/>
      <c r="Y43" s="3534"/>
      <c r="Z43" s="2938" t="str">
        <f t="shared" si="18"/>
        <v>内部装修维护情况</v>
      </c>
      <c r="AA43" s="2936">
        <f t="shared" si="15"/>
        <v>1</v>
      </c>
      <c r="AB43" s="2936">
        <f t="shared" si="16"/>
        <v>1</v>
      </c>
      <c r="AC43" s="2936">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49"/>
      <c r="Q44" s="2923">
        <f t="shared" si="11"/>
        <v>111</v>
      </c>
      <c r="R44" s="770" t="s">
        <v>21</v>
      </c>
      <c r="S44" s="771">
        <f t="shared" si="12"/>
        <v>100</v>
      </c>
      <c r="T44" s="770" t="s">
        <v>21</v>
      </c>
      <c r="U44" s="771">
        <f t="shared" si="13"/>
        <v>100</v>
      </c>
      <c r="V44" s="770" t="s">
        <v>21</v>
      </c>
      <c r="W44" s="771">
        <f t="shared" si="14"/>
        <v>100</v>
      </c>
      <c r="X44" s="772"/>
      <c r="Y44" s="3534"/>
      <c r="Z44" s="292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49"/>
      <c r="Q45" s="2935">
        <f t="shared" si="11"/>
        <v>111</v>
      </c>
      <c r="R45" s="774" t="s">
        <v>21</v>
      </c>
      <c r="S45" s="775">
        <f t="shared" si="12"/>
        <v>100</v>
      </c>
      <c r="T45" s="774" t="s">
        <v>21</v>
      </c>
      <c r="U45" s="775">
        <f t="shared" si="13"/>
        <v>100</v>
      </c>
      <c r="V45" s="774" t="s">
        <v>21</v>
      </c>
      <c r="W45" s="775">
        <f t="shared" si="14"/>
        <v>100</v>
      </c>
      <c r="X45" s="2937"/>
      <c r="Y45" s="3534"/>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50"/>
      <c r="Q46" s="2935">
        <f t="shared" si="11"/>
        <v>111</v>
      </c>
      <c r="R46" s="774" t="s">
        <v>20</v>
      </c>
      <c r="S46" s="775">
        <f t="shared" si="12"/>
        <v>100</v>
      </c>
      <c r="T46" s="774" t="s">
        <v>20</v>
      </c>
      <c r="U46" s="775">
        <f t="shared" si="13"/>
        <v>100</v>
      </c>
      <c r="V46" s="774" t="s">
        <v>20</v>
      </c>
      <c r="W46" s="775">
        <f t="shared" si="14"/>
        <v>100</v>
      </c>
      <c r="X46" s="2937"/>
      <c r="Y46" s="3551"/>
      <c r="Z46" s="2938">
        <f t="shared" si="18"/>
        <v>111</v>
      </c>
      <c r="AA46" s="2936">
        <f t="shared" si="15"/>
        <v>1</v>
      </c>
      <c r="AB46" s="2936">
        <f t="shared" si="16"/>
        <v>1</v>
      </c>
      <c r="AC46" s="2936">
        <f t="shared" si="17"/>
        <v>1</v>
      </c>
    </row>
    <row r="47" spans="1:29" ht="15">
      <c r="A47" s="479" t="s">
        <v>2533</v>
      </c>
      <c r="B47" s="480"/>
      <c r="C47" s="1409" t="s">
        <v>19</v>
      </c>
      <c r="D47" s="1410"/>
      <c r="E47" s="1411"/>
      <c r="F47" s="1412"/>
      <c r="G47" s="1413"/>
      <c r="H47" s="1414"/>
      <c r="I47" s="1411"/>
      <c r="J47" s="1414"/>
      <c r="K47" s="2618"/>
      <c r="L47" s="1145"/>
      <c r="M47" s="1146"/>
      <c r="N47" s="1133"/>
      <c r="O47" s="1146"/>
      <c r="P47" s="3516" t="str">
        <f>A47</f>
        <v>成交单价（元/平方米）</v>
      </c>
      <c r="Q47" s="3516"/>
      <c r="R47" s="3547">
        <f>E47</f>
        <v>0</v>
      </c>
      <c r="S47" s="3547"/>
      <c r="T47" s="3547">
        <f>G47</f>
        <v>0</v>
      </c>
      <c r="U47" s="3547"/>
      <c r="V47" s="3547">
        <f>I47</f>
        <v>0</v>
      </c>
      <c r="W47" s="3547"/>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516" t="str">
        <f>A48</f>
        <v>比较价值（元/平方米）</v>
      </c>
      <c r="Q48" s="351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536" t="str">
        <f>A49</f>
        <v>估价对象XX用房的比较价值（楼面单价，元/平方米）</v>
      </c>
      <c r="Q49" s="3537"/>
      <c r="R49" s="3546" t="e">
        <f>IF(F1="售价",ROUND(AVERAGE(R48:V48),0),ROUND(AVERAGE(R48:V48),1))</f>
        <v>#DIV/0!</v>
      </c>
      <c r="S49" s="3546"/>
      <c r="T49" s="3546"/>
      <c r="U49" s="3546"/>
      <c r="V49" s="3546"/>
      <c r="W49" s="354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99" priority="14" stopIfTrue="1" operator="containsText" text="超过">
      <formula>NOT(ISERROR(SEARCH("超过",F52)))</formula>
    </cfRule>
  </conditionalFormatting>
  <conditionalFormatting sqref="J54">
    <cfRule type="containsText" dxfId="98" priority="13" stopIfTrue="1" operator="containsText" text="超过">
      <formula>NOT(ISERROR(SEARCH("超过",J54)))</formula>
    </cfRule>
  </conditionalFormatting>
  <conditionalFormatting sqref="H54">
    <cfRule type="containsText" dxfId="97" priority="12" stopIfTrue="1" operator="containsText" text="超过">
      <formula>NOT(ISERROR(SEARCH("超过",H54)))</formula>
    </cfRule>
  </conditionalFormatting>
  <conditionalFormatting sqref="F54">
    <cfRule type="containsText" dxfId="96" priority="11" stopIfTrue="1" operator="containsText" text="超过">
      <formula>NOT(ISERROR(SEARCH("超过",F54)))</formula>
    </cfRule>
  </conditionalFormatting>
  <conditionalFormatting sqref="F53 H53 J53">
    <cfRule type="containsText" dxfId="95" priority="10" stopIfTrue="1" operator="containsText" text="超过">
      <formula>NOT(ISERROR(SEARCH("超过",F53)))</formula>
    </cfRule>
  </conditionalFormatting>
  <conditionalFormatting sqref="E52">
    <cfRule type="expression" dxfId="94" priority="9"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0</v>
      </c>
      <c r="D6" s="164" t="s">
        <v>2990</v>
      </c>
      <c r="E6" s="347" t="s">
        <v>1401</v>
      </c>
      <c r="F6" s="348">
        <f ca="1">INDIRECT("'数据-取费表'!u"&amp;$G$1)</f>
        <v>0</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2934" t="s">
        <v>1402</v>
      </c>
      <c r="F7" s="348">
        <f ca="1">IF(INDIRECT("'数据-取费表'!ah"&amp;$G$1)="",INDIRECT("'数据-取费表'!k"&amp;$G$1),INDIRECT("'数据-取费表'!ah"&amp;$G$1))</f>
        <v>0</v>
      </c>
      <c r="G7" s="1853"/>
      <c r="H7" s="349"/>
      <c r="I7" s="3557"/>
      <c r="J7" s="351"/>
      <c r="K7" s="352"/>
      <c r="L7" s="347" t="s">
        <v>1402</v>
      </c>
      <c r="M7" s="348">
        <f ca="1">F7</f>
        <v>0</v>
      </c>
    </row>
    <row r="8" spans="1:37" ht="18" customHeight="1">
      <c r="A8" s="349"/>
      <c r="B8" s="3557"/>
      <c r="C8" s="351"/>
      <c r="D8" s="352"/>
      <c r="E8" s="347" t="s">
        <v>1403</v>
      </c>
      <c r="F8" s="348">
        <f ca="1">INDIRECT("'数据-取费表'!ai"&amp;$G$1)</f>
        <v>0</v>
      </c>
      <c r="G8" s="1853"/>
      <c r="H8" s="349"/>
      <c r="I8" s="3557"/>
      <c r="J8" s="351"/>
      <c r="K8" s="352"/>
      <c r="L8" s="347" t="s">
        <v>1403</v>
      </c>
      <c r="M8" s="348">
        <f ca="1">INDIRECT("'数据-取费表'!ai"&amp;$G$1)</f>
        <v>0</v>
      </c>
    </row>
    <row r="9" spans="1:37" ht="18" customHeight="1">
      <c r="A9" s="349"/>
      <c r="B9" s="3558"/>
      <c r="C9" s="351"/>
      <c r="D9" s="352"/>
      <c r="E9" s="347" t="s">
        <v>1404</v>
      </c>
      <c r="F9" s="357">
        <f ca="1">INDIRECT("'数据-取费表'!w"&amp;$G$1)</f>
        <v>0</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54" t="s">
        <v>1545</v>
      </c>
      <c r="L53" s="3555"/>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1373</v>
      </c>
      <c r="D1" s="1822" t="s">
        <v>3128</v>
      </c>
      <c r="E1" s="1823" t="s">
        <v>1383</v>
      </c>
      <c r="F1" s="1285">
        <f ca="1">J53</f>
        <v>35.700000000000003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28345</v>
      </c>
      <c r="C2" s="1847" t="s">
        <v>1513</v>
      </c>
      <c r="D2" s="1847"/>
      <c r="E2" s="1848"/>
      <c r="F2" s="1849"/>
      <c r="G2" s="1850"/>
      <c r="H2" s="1842"/>
      <c r="I2" s="1842"/>
      <c r="J2" s="1842"/>
      <c r="K2" s="1843"/>
      <c r="L2" s="1842"/>
      <c r="M2" s="1842"/>
    </row>
    <row r="3" spans="1:37" ht="18" customHeight="1" thickBot="1">
      <c r="A3" s="1851" t="s">
        <v>1514</v>
      </c>
      <c r="B3" s="1852">
        <f ca="1">IF(ISERROR(B2*10000/F43),0,ROUND(B2*10000/F43,0))</f>
        <v>73774</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1294</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1292</v>
      </c>
      <c r="D6" s="164" t="s">
        <v>2990</v>
      </c>
      <c r="E6" s="347" t="s">
        <v>1401</v>
      </c>
      <c r="F6" s="348">
        <f ca="1">INDIRECT("'数据-取费表'!u"&amp;$G$1)</f>
        <v>9.6999999999999993</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2955" t="s">
        <v>1402</v>
      </c>
      <c r="F7" s="348">
        <f ca="1">IF(INDIRECT("'数据-取费表'!ah"&amp;$G$1)="",INDIRECT("'数据-取费表'!k"&amp;$G$1),INDIRECT("'数据-取费表'!ah"&amp;$G$1))</f>
        <v>3842.1499999999996</v>
      </c>
      <c r="G7" s="1853"/>
      <c r="H7" s="349"/>
      <c r="I7" s="3557"/>
      <c r="J7" s="351"/>
      <c r="K7" s="352"/>
      <c r="L7" s="347" t="s">
        <v>1402</v>
      </c>
      <c r="M7" s="348">
        <f ca="1">F7</f>
        <v>3842.1499999999996</v>
      </c>
    </row>
    <row r="8" spans="1:37" ht="18" customHeight="1">
      <c r="A8" s="349"/>
      <c r="B8" s="3557"/>
      <c r="C8" s="351"/>
      <c r="D8" s="352"/>
      <c r="E8" s="347" t="s">
        <v>1403</v>
      </c>
      <c r="F8" s="348">
        <f ca="1">INDIRECT("'数据-取费表'!ai"&amp;$G$1)</f>
        <v>365</v>
      </c>
      <c r="G8" s="1853"/>
      <c r="H8" s="349"/>
      <c r="I8" s="3557"/>
      <c r="J8" s="351"/>
      <c r="K8" s="352"/>
      <c r="L8" s="347" t="s">
        <v>1403</v>
      </c>
      <c r="M8" s="348">
        <f ca="1">INDIRECT("'数据-取费表'!ai"&amp;$G$1)</f>
        <v>365</v>
      </c>
    </row>
    <row r="9" spans="1:37" ht="18" customHeight="1">
      <c r="A9" s="349"/>
      <c r="B9" s="3558"/>
      <c r="C9" s="351"/>
      <c r="D9" s="352"/>
      <c r="E9" s="347" t="s">
        <v>1404</v>
      </c>
      <c r="F9" s="357">
        <f ca="1">INDIRECT("'数据-取费表'!w"&amp;$G$1)</f>
        <v>0.05</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2</v>
      </c>
      <c r="D10" s="1826" t="s">
        <v>2986</v>
      </c>
      <c r="E10" s="358" t="s">
        <v>1407</v>
      </c>
      <c r="F10" s="1368" t="s">
        <v>3004</v>
      </c>
      <c r="G10" s="1853"/>
      <c r="H10" s="1293" t="s">
        <v>1037</v>
      </c>
      <c r="I10" s="1825" t="s">
        <v>1405</v>
      </c>
      <c r="J10" s="346">
        <f ca="1">ROUND(IF(M10="押一",M6*M8*M7/12*M11,IF(M10="押二",M6*M8*M7/12*2*M11,IF(M10="押三",M6*M8*M7/12*3*M11,J11*M11)))/10000,0)</f>
        <v>0</v>
      </c>
      <c r="K10" s="1826" t="s">
        <v>2986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2501</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1566</v>
      </c>
      <c r="D14" s="2946" t="s">
        <v>1415</v>
      </c>
      <c r="E14" s="2944"/>
      <c r="F14" s="364"/>
      <c r="G14" s="1853"/>
      <c r="H14" s="1203" t="s">
        <v>1033</v>
      </c>
      <c r="I14" s="347" t="s">
        <v>1416</v>
      </c>
      <c r="J14" s="24">
        <f ca="1">C29</f>
        <v>2501</v>
      </c>
      <c r="K14" s="2954"/>
      <c r="L14" s="981"/>
      <c r="M14" s="982"/>
    </row>
    <row r="15" spans="1:37" s="1860" customFormat="1" ht="18" customHeight="1" thickBot="1">
      <c r="A15" s="1203" t="s">
        <v>1034</v>
      </c>
      <c r="B15" s="347" t="s">
        <v>1417</v>
      </c>
      <c r="C15" s="24">
        <f ca="1">ROUND(C14*F15,0)</f>
        <v>47</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59</v>
      </c>
      <c r="K16" s="1339" t="s">
        <v>1422</v>
      </c>
      <c r="L16" s="2948"/>
      <c r="M16" s="1296"/>
    </row>
    <row r="17" spans="1:37" s="1860" customFormat="1" ht="18" customHeight="1">
      <c r="A17" s="1203" t="s">
        <v>1386</v>
      </c>
      <c r="B17" s="347" t="s">
        <v>1423</v>
      </c>
      <c r="C17" s="24">
        <f ca="1">ROUND(F17*(F43+INDIRECT("'数据-取费表'!S"&amp;$G$1))/10000,0)</f>
        <v>79</v>
      </c>
      <c r="D17" s="347" t="s">
        <v>1424</v>
      </c>
      <c r="E17" s="347" t="s">
        <v>1425</v>
      </c>
      <c r="F17" s="26">
        <f>'数据-取费表'!B35</f>
        <v>200</v>
      </c>
      <c r="G17" s="1856"/>
      <c r="H17" s="1203" t="s">
        <v>1033</v>
      </c>
      <c r="I17" s="347" t="s">
        <v>1426</v>
      </c>
      <c r="J17" s="24">
        <f ca="1">ROUND(IF(项目基本情况!B11="自然人",J5*M17,J18+J19+J20),1)</f>
        <v>21.7</v>
      </c>
      <c r="K17" s="2946" t="s">
        <v>1427</v>
      </c>
      <c r="L17" s="2945"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23</v>
      </c>
      <c r="D18" s="347" t="s">
        <v>1418</v>
      </c>
      <c r="E18" s="347" t="s">
        <v>1419</v>
      </c>
      <c r="F18" s="367">
        <f>'数据-取费表'!B36</f>
        <v>1.4999999999999999E-2</v>
      </c>
      <c r="G18" s="1856"/>
      <c r="H18" s="1203" t="s">
        <v>1032</v>
      </c>
      <c r="I18" s="347" t="s">
        <v>1430</v>
      </c>
      <c r="J18" s="24">
        <f ca="1">ROUND(J5*M18/(1+'数据-取费表'!C42),2)</f>
        <v>0</v>
      </c>
      <c r="K18" s="2945"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1715</v>
      </c>
      <c r="D19" s="140" t="s">
        <v>1433</v>
      </c>
      <c r="E19" s="2953"/>
      <c r="F19" s="26"/>
      <c r="G19" s="1853"/>
      <c r="H19" s="1203" t="s">
        <v>1034</v>
      </c>
      <c r="I19" s="347" t="s">
        <v>1434</v>
      </c>
      <c r="J19" s="24">
        <f ca="1">IF(K19="按租金收入计税",ROUND(J5*M19,2),ROUND(C29*M19*0.7,2))</f>
        <v>21.01</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26</v>
      </c>
      <c r="D20" s="369" t="s">
        <v>1437</v>
      </c>
      <c r="E20" s="347" t="s">
        <v>1419</v>
      </c>
      <c r="F20" s="367">
        <f>'数据-取费表'!B37</f>
        <v>1.4999999999999999E-2</v>
      </c>
      <c r="G20" s="1856"/>
      <c r="H20" s="1203" t="s">
        <v>1385</v>
      </c>
      <c r="I20" s="164" t="s">
        <v>1438</v>
      </c>
      <c r="J20" s="25">
        <f ca="1">ROUND(M20*M21/10000,2)</f>
        <v>0.73</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604.78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53"/>
      <c r="F22" s="26"/>
      <c r="G22" s="1853"/>
      <c r="H22" s="1203" t="s">
        <v>1037</v>
      </c>
      <c r="I22" s="347" t="s">
        <v>1446</v>
      </c>
      <c r="J22" s="24">
        <f ca="1">ROUND(J14*M22,1)</f>
        <v>37.5</v>
      </c>
      <c r="K22" s="2945"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126</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45"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53"/>
      <c r="F25" s="26"/>
      <c r="G25" s="1853"/>
      <c r="H25" s="1331" t="s">
        <v>1029</v>
      </c>
      <c r="I25" s="1346" t="s">
        <v>1460</v>
      </c>
      <c r="J25" s="355">
        <f ca="1">J5-J16</f>
        <v>-59</v>
      </c>
      <c r="K25" s="1347" t="s">
        <v>1461</v>
      </c>
      <c r="L25" s="1348"/>
      <c r="M25" s="1349"/>
    </row>
    <row r="26" spans="1:37">
      <c r="A26" s="1203" t="s">
        <v>1032</v>
      </c>
      <c r="B26" s="347" t="s">
        <v>1462</v>
      </c>
      <c r="C26" s="24">
        <f ca="1">ROUND((C19+C20)*F26,0)</f>
        <v>435</v>
      </c>
      <c r="D26" s="369" t="s">
        <v>1463</v>
      </c>
      <c r="E26" s="358" t="s">
        <v>1464</v>
      </c>
      <c r="F26" s="357">
        <f ca="1">INDIRECT("'数据-取费表'!q"&amp;$G$1)</f>
        <v>0.25</v>
      </c>
      <c r="G26" s="1853"/>
      <c r="H26" s="344" t="s">
        <v>1030</v>
      </c>
      <c r="I26" s="345" t="s">
        <v>1465</v>
      </c>
      <c r="J26" s="346">
        <f ca="1">IF(J5&lt;&gt;0,ROUND(J25*(1-((1+M28)/(1+M26))^M27)/(M26-M28),0),0)</f>
        <v>0</v>
      </c>
      <c r="K26" s="370" t="s">
        <v>1466</v>
      </c>
      <c r="L26" s="347" t="s">
        <v>1467</v>
      </c>
      <c r="M26" s="357">
        <f ca="1">INDIRECT("'数据-取费表'!I"&amp;$G$1)</f>
        <v>0.06</v>
      </c>
    </row>
    <row r="27" spans="1:37" ht="18" customHeight="1">
      <c r="A27" s="1203" t="s">
        <v>1034</v>
      </c>
      <c r="B27" s="347" t="s">
        <v>1468</v>
      </c>
      <c r="C27" s="24">
        <f ca="1">ROUND(F21*F26,4)</f>
        <v>5.0000000000000001E-3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2501</v>
      </c>
      <c r="D29" s="1344"/>
      <c r="E29" s="1342"/>
      <c r="F29" s="1345"/>
      <c r="G29" s="1856"/>
      <c r="H29" s="380" t="s">
        <v>1031</v>
      </c>
      <c r="I29" s="381" t="s">
        <v>1476</v>
      </c>
      <c r="J29" s="382">
        <f ca="1">ROUND(J26/(1+F40)^F41,0)</f>
        <v>0</v>
      </c>
      <c r="K29" s="383" t="s">
        <v>1477</v>
      </c>
      <c r="L29" s="384"/>
      <c r="M29" s="385">
        <f ca="1">INDIRECT("'数据-取费表'!k"&amp;$G$1)</f>
        <v>3842.1499999999996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145</v>
      </c>
      <c r="D30" s="1339" t="s">
        <v>1422</v>
      </c>
      <c r="E30" s="2948"/>
      <c r="F30" s="1296"/>
      <c r="G30" s="1853"/>
      <c r="H30" s="745"/>
      <c r="I30" s="746"/>
      <c r="J30" s="747"/>
      <c r="K30" s="748"/>
      <c r="L30" s="749"/>
      <c r="M30" s="750"/>
    </row>
    <row r="31" spans="1:37" ht="18" customHeight="1">
      <c r="A31" s="1203" t="s">
        <v>1033</v>
      </c>
      <c r="B31" s="347" t="s">
        <v>1426</v>
      </c>
      <c r="C31" s="24">
        <f ca="1">ROUND(IF(项目基本情况!B11="自然人",C5*F31,C32+C33+C34),1)</f>
        <v>90.8</v>
      </c>
      <c r="D31" s="2946" t="s">
        <v>1427</v>
      </c>
      <c r="E31" s="2945"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69.010000000000005</v>
      </c>
      <c r="D32" s="2945"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21.01</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0.73</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604.78</v>
      </c>
      <c r="G35" s="1853"/>
      <c r="H35" s="745"/>
      <c r="I35" s="1862"/>
      <c r="J35" s="1863"/>
      <c r="K35" s="1864"/>
      <c r="L35" s="1861"/>
      <c r="M35" s="1861"/>
    </row>
    <row r="36" spans="1:18" ht="18" customHeight="1">
      <c r="A36" s="1354" t="s">
        <v>1037</v>
      </c>
      <c r="B36" s="347" t="s">
        <v>1446</v>
      </c>
      <c r="C36" s="24">
        <f ca="1">ROUND(C29*F36,1)</f>
        <v>37.5</v>
      </c>
      <c r="D36" s="2945"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3.8</v>
      </c>
      <c r="D37" s="2945"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12.9</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1149</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28345</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73774</v>
      </c>
      <c r="D43" s="383" t="s">
        <v>1485</v>
      </c>
      <c r="E43" s="384" t="s">
        <v>1486</v>
      </c>
      <c r="F43" s="385">
        <f ca="1">INDIRECT("'数据-取费表'!k"&amp;$G$1)</f>
        <v>3842.1499999999996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-29264</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3129</v>
      </c>
      <c r="K47" s="1884" t="s">
        <v>1524</v>
      </c>
      <c r="L47" s="1885">
        <f ca="1">INDIRECT("'数据-取费表'!d"&amp;$G$1)</f>
        <v>40</v>
      </c>
      <c r="M47" s="1840" t="str">
        <f>IF(ISNUMBER(FIND("住宅",C1)),"住宅","非住宅")</f>
        <v>非住宅</v>
      </c>
      <c r="O47" s="1886" t="s">
        <v>1038</v>
      </c>
      <c r="P47" s="1887" t="s">
        <v>1525</v>
      </c>
      <c r="Q47" s="1888">
        <f ca="1">C40+J29</f>
        <v>28345</v>
      </c>
      <c r="R47" s="1888" t="s">
        <v>1526</v>
      </c>
    </row>
    <row r="48" spans="1:18" s="1844" customFormat="1" ht="28.5" thickBot="1">
      <c r="A48" s="1362" t="s">
        <v>1133</v>
      </c>
      <c r="B48" s="345" t="s">
        <v>1397</v>
      </c>
      <c r="C48" s="2952">
        <f ca="1">C49+C53+C55</f>
        <v>0</v>
      </c>
      <c r="D48" s="1364"/>
      <c r="E48" s="1365"/>
      <c r="F48" s="1183"/>
      <c r="G48" s="792"/>
      <c r="H48" s="793"/>
      <c r="I48" s="1889" t="s">
        <v>1527</v>
      </c>
      <c r="J48" s="1890" t="s">
        <v>3130</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2989</v>
      </c>
      <c r="E49" s="1832" t="s">
        <v>1488</v>
      </c>
      <c r="F49" s="1283"/>
      <c r="G49" s="1893"/>
      <c r="H49" s="793"/>
      <c r="I49" s="1889" t="s">
        <v>1531</v>
      </c>
      <c r="J49" s="1894">
        <v>2020</v>
      </c>
      <c r="K49" s="1891" t="s">
        <v>1532</v>
      </c>
      <c r="L49" s="1895"/>
      <c r="O49" s="1896" t="s">
        <v>1040</v>
      </c>
      <c r="P49" s="1887" t="s">
        <v>1533</v>
      </c>
      <c r="Q49" s="1888">
        <f ca="1">C29</f>
        <v>2501</v>
      </c>
      <c r="R49" s="1888" t="s">
        <v>1526</v>
      </c>
    </row>
    <row r="50" spans="1:18" s="1844" customFormat="1" ht="13.5" thickBot="1">
      <c r="A50" s="1197"/>
      <c r="B50" s="1200"/>
      <c r="C50" s="1370"/>
      <c r="D50" s="1174"/>
      <c r="E50" s="1279" t="s">
        <v>1402</v>
      </c>
      <c r="F50" s="1280">
        <f ca="1">F7</f>
        <v>3842.1499999999996</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15679</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f ca="1">IF(M47="住宅",J51,IF(D1="——",MIN(J51,L48),IF(D1="在建（套用方法）",MIN(J51,L48-'数据-取费表'!B24),IF(D1="土地（套用方法）",MIN(J51,L48-'数据-取费表'!B20)))))</f>
        <v>35.700000000000003</v>
      </c>
      <c r="K53" s="3554" t="s">
        <v>1545</v>
      </c>
      <c r="L53" s="3555"/>
      <c r="O53" s="1886" t="s">
        <v>1044</v>
      </c>
      <c r="P53" s="1887" t="s">
        <v>1546</v>
      </c>
      <c r="Q53" s="1888">
        <f ca="1">Q47+Q48</f>
        <v>28345</v>
      </c>
      <c r="R53" s="1888" t="s">
        <v>1045</v>
      </c>
    </row>
    <row r="54" spans="1:18" s="1844" customFormat="1" ht="13.5" thickBot="1">
      <c r="A54" s="1408"/>
      <c r="B54" s="1827" t="s">
        <v>1384</v>
      </c>
      <c r="C54" s="1180"/>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2949"/>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2501</v>
      </c>
      <c r="D56" s="1916"/>
      <c r="E56" s="1917"/>
      <c r="F56" s="1909"/>
      <c r="I56" s="1918" t="s">
        <v>1551</v>
      </c>
      <c r="J56" s="1919" t="s">
        <v>2998</v>
      </c>
      <c r="K56" s="1889" t="s">
        <v>1552</v>
      </c>
      <c r="L56" s="1892" t="str">
        <f ca="1">IF(L48&lt;J51,"——",L48-J53)</f>
        <v>——</v>
      </c>
      <c r="O56" s="1886" t="s">
        <v>1038</v>
      </c>
      <c r="P56" s="1887" t="s">
        <v>1525</v>
      </c>
      <c r="Q56" s="1888">
        <f ca="1">C40+J29</f>
        <v>28345</v>
      </c>
      <c r="R56" s="1888" t="s">
        <v>1526</v>
      </c>
    </row>
    <row r="57" spans="1:18" s="1844" customFormat="1" ht="24.75" thickBot="1">
      <c r="A57" s="1920"/>
      <c r="B57" s="1171" t="s">
        <v>1475</v>
      </c>
      <c r="C57" s="282">
        <f ca="1">C29</f>
        <v>2501</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63</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21.7</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21.01</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0.73</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28345</v>
      </c>
      <c r="R62" s="1888" t="s">
        <v>1045</v>
      </c>
    </row>
    <row r="63" spans="1:18" s="1844" customFormat="1" ht="13.5" thickBot="1">
      <c r="A63" s="372"/>
      <c r="B63" s="1177"/>
      <c r="C63" s="29"/>
      <c r="D63" s="1187"/>
      <c r="E63" s="1171" t="s">
        <v>1444</v>
      </c>
      <c r="F63" s="348">
        <f t="shared" ca="1" si="0"/>
        <v>604.78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37.5</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3.8</v>
      </c>
      <c r="D65" s="1185" t="s">
        <v>1451</v>
      </c>
      <c r="E65" s="1171" t="s">
        <v>1419</v>
      </c>
      <c r="F65" s="376">
        <f t="shared" ca="1" si="0"/>
        <v>1.5E-3</v>
      </c>
      <c r="I65" s="1931" t="s">
        <v>1576</v>
      </c>
      <c r="J65" s="1932">
        <v>40</v>
      </c>
      <c r="K65" s="1932">
        <v>30</v>
      </c>
      <c r="L65" s="1932">
        <v>50</v>
      </c>
      <c r="M65" s="1934">
        <v>0.02</v>
      </c>
      <c r="O65" s="1886" t="s">
        <v>1038</v>
      </c>
      <c r="P65" s="1887" t="s">
        <v>1525</v>
      </c>
      <c r="Q65" s="1888">
        <f ca="1">C40+J29</f>
        <v>28345</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-63</v>
      </c>
      <c r="D67" s="1184" t="s">
        <v>1461</v>
      </c>
      <c r="E67" s="1189"/>
      <c r="F67" s="1190"/>
      <c r="O67" s="1896" t="s">
        <v>1040</v>
      </c>
      <c r="P67" s="1887" t="s">
        <v>1559</v>
      </c>
      <c r="Q67" s="1935">
        <f ca="1">L51</f>
        <v>15679</v>
      </c>
      <c r="R67" s="1888" t="s">
        <v>1579</v>
      </c>
    </row>
    <row r="68" spans="1:18" s="1844" customFormat="1" ht="16.5" thickBot="1">
      <c r="A68" s="1168" t="s">
        <v>1030</v>
      </c>
      <c r="B68" s="1169" t="s">
        <v>1482</v>
      </c>
      <c r="C68" s="346">
        <f ca="1">ROUND(C67*(1-((1+F70)/(1+F68))^F69)/(F68-F70),0)</f>
        <v>-919</v>
      </c>
      <c r="D68" s="1186" t="s">
        <v>1466</v>
      </c>
      <c r="E68" s="1171" t="s">
        <v>1467</v>
      </c>
      <c r="F68" s="357">
        <f ca="1">F40</f>
        <v>0.06</v>
      </c>
      <c r="O68" s="1896" t="s">
        <v>1041</v>
      </c>
      <c r="P68" s="1936" t="s">
        <v>1580</v>
      </c>
      <c r="Q68" s="1888">
        <f ca="1">ROUND(Q69-Q70*Q71,0)</f>
        <v>936</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1149</v>
      </c>
      <c r="R69" s="1888" t="s">
        <v>1526</v>
      </c>
    </row>
    <row r="70" spans="1:18" s="1844" customFormat="1" ht="13.5" thickBot="1">
      <c r="A70" s="1175"/>
      <c r="B70" s="1176"/>
      <c r="C70" s="355"/>
      <c r="D70" s="1187"/>
      <c r="E70" s="1171" t="s">
        <v>1474</v>
      </c>
      <c r="F70" s="1277"/>
      <c r="O70" s="1896" t="s">
        <v>1047</v>
      </c>
      <c r="P70" s="1936" t="s">
        <v>1582</v>
      </c>
      <c r="Q70" s="1888">
        <f ca="1">C13</f>
        <v>2501</v>
      </c>
      <c r="R70" s="1888" t="s">
        <v>1526</v>
      </c>
    </row>
    <row r="71" spans="1:18" s="1844" customFormat="1" ht="13.5" thickBot="1">
      <c r="A71" s="1192" t="s">
        <v>1031</v>
      </c>
      <c r="B71" s="1193" t="s">
        <v>1484</v>
      </c>
      <c r="C71" s="382">
        <f ca="1">ROUND(C68*10000/F71,0)</f>
        <v>-2392</v>
      </c>
      <c r="D71" s="1194" t="s">
        <v>1485</v>
      </c>
      <c r="E71" s="1195" t="s">
        <v>1486</v>
      </c>
      <c r="F71" s="385">
        <f ca="1">F43</f>
        <v>3842.1499999999996</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213</v>
      </c>
      <c r="D75" s="1844"/>
      <c r="E75" s="1844"/>
      <c r="F75" s="1844"/>
      <c r="K75" s="1870"/>
      <c r="L75" s="1844"/>
      <c r="O75" s="1886" t="s">
        <v>1044</v>
      </c>
      <c r="P75" s="1887" t="s">
        <v>1546</v>
      </c>
      <c r="Q75" s="1888">
        <f ca="1">Q65+Q66</f>
        <v>28345</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0.81499999999999995</v>
      </c>
    </row>
    <row r="80" spans="1:18">
      <c r="B80" s="386" t="s">
        <v>1508</v>
      </c>
      <c r="C80" s="318">
        <f ca="1">ROUND(C75/C39,3)</f>
        <v>0.185</v>
      </c>
    </row>
    <row r="81" spans="2:3">
      <c r="B81" s="314" t="s">
        <v>1509</v>
      </c>
      <c r="C81" s="282"/>
    </row>
    <row r="82" spans="2:3">
      <c r="B82" s="317" t="s">
        <v>1510</v>
      </c>
      <c r="C82" s="319">
        <f ca="1">1-C83</f>
        <v>0.91200000000000003</v>
      </c>
    </row>
    <row r="83" spans="2:3">
      <c r="B83" s="317" t="s">
        <v>1511</v>
      </c>
      <c r="C83" s="318">
        <f ca="1">ROUND(C13/C40,3)</f>
        <v>8.7999999999999995E-2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93" zoomScaleNormal="93" workbookViewId="0">
      <selection activeCell="K9" sqref="K9"/>
    </sheetView>
  </sheetViews>
  <sheetFormatPr defaultRowHeight="14.25"/>
  <cols>
    <col min="1" max="1" width="10.5" style="3027" customWidth="1"/>
    <col min="2" max="2" width="15.75" style="3027" customWidth="1"/>
    <col min="3" max="3" width="14.375" style="3027" customWidth="1"/>
    <col min="4" max="4" width="12.25" style="3027" customWidth="1"/>
    <col min="5" max="5" width="14.375" style="3027" customWidth="1"/>
    <col min="6" max="6" width="12.25" style="3027" customWidth="1"/>
    <col min="7" max="7" width="14.5" style="3027" customWidth="1"/>
    <col min="8" max="8" width="12.25" style="3027" customWidth="1"/>
    <col min="9" max="9" width="15.5" style="3027" customWidth="1"/>
    <col min="10" max="10" width="12.25" style="3027" customWidth="1"/>
    <col min="11" max="11" width="12.25" style="3293" customWidth="1"/>
    <col min="12" max="12" width="12.25" style="3294" customWidth="1"/>
    <col min="13" max="15" width="12.25" style="3027" customWidth="1"/>
    <col min="16" max="16" width="4.75" style="3295" customWidth="1"/>
    <col min="17" max="17" width="19.5" style="3027" customWidth="1"/>
    <col min="18" max="22" width="6.125" style="3027" customWidth="1"/>
    <col min="23" max="23" width="5.75" style="3027" customWidth="1"/>
    <col min="24" max="24" width="4.25" style="3027" customWidth="1"/>
    <col min="25" max="25" width="3.5" style="3027" customWidth="1"/>
    <col min="26" max="26" width="19.75" style="3027" customWidth="1"/>
    <col min="27" max="28" width="9.375" style="3027" customWidth="1"/>
    <col min="29" max="16384" width="9" style="3027"/>
  </cols>
  <sheetData>
    <row r="1" spans="1:29" s="3002" customFormat="1" ht="28.5" customHeight="1" thickBot="1">
      <c r="A1" s="2990" t="s">
        <v>3131</v>
      </c>
      <c r="B1" s="2991" t="s">
        <v>26</v>
      </c>
      <c r="C1" s="2992" t="s">
        <v>3132</v>
      </c>
      <c r="D1" s="2993" t="s">
        <v>47</v>
      </c>
      <c r="E1" s="2994"/>
      <c r="F1" s="2995" t="s">
        <v>3133</v>
      </c>
      <c r="G1" s="2996" t="s">
        <v>3134</v>
      </c>
      <c r="H1" s="2994"/>
      <c r="I1" s="2994"/>
      <c r="J1" s="2994"/>
      <c r="K1" s="2997"/>
      <c r="L1" s="2998"/>
      <c r="M1" s="2999"/>
      <c r="N1" s="2999"/>
      <c r="O1" s="2999"/>
      <c r="P1" s="3000"/>
      <c r="Q1" s="2992"/>
      <c r="R1" s="2992"/>
      <c r="S1" s="2992"/>
      <c r="T1" s="2992"/>
      <c r="U1" s="2992"/>
      <c r="V1" s="2992"/>
      <c r="W1" s="2992"/>
      <c r="X1" s="2992"/>
      <c r="Y1" s="2992"/>
      <c r="Z1" s="2992"/>
      <c r="AA1" s="2992"/>
      <c r="AB1" s="2992"/>
      <c r="AC1" s="3001"/>
    </row>
    <row r="2" spans="1:29" s="3015" customFormat="1" ht="28.5" customHeight="1" thickTop="1">
      <c r="A2" s="1619" t="s">
        <v>3135</v>
      </c>
      <c r="B2" s="3003">
        <f>IF(C2="——",IF(B37="元/平方米",ROUND(C39*D3/10000,0),ROUND(F3*C39/10000,0)),IF(B37="元/平方米",ROUND(C39*D3/10000,0),ROUND(F3*C39/10000,0))-D2)</f>
        <v>4565</v>
      </c>
      <c r="C2" s="3004" t="s">
        <v>69</v>
      </c>
      <c r="D2" s="3005" t="e">
        <f ca="1">SUMIF(INDIRECT("'"&amp;F2&amp;"'"&amp;"!A:A"),"承租人权益价值",INDIRECT("'"&amp;F2&amp;"'"&amp;"!c:c"))</f>
        <v>#REF!</v>
      </c>
      <c r="E2" s="3006" t="s">
        <v>3136</v>
      </c>
      <c r="F2" s="3007"/>
      <c r="G2" s="3008"/>
      <c r="H2" s="3008"/>
      <c r="I2" s="3008"/>
      <c r="J2" s="3008"/>
      <c r="K2" s="3009"/>
      <c r="L2" s="3010"/>
      <c r="M2" s="3011"/>
      <c r="N2" s="3011"/>
      <c r="O2" s="3011"/>
      <c r="P2" s="3012"/>
      <c r="Q2" s="3013"/>
      <c r="R2" s="3013"/>
      <c r="S2" s="3013"/>
      <c r="T2" s="3013"/>
      <c r="U2" s="3013"/>
      <c r="V2" s="3013"/>
      <c r="W2" s="3013"/>
      <c r="X2" s="3013"/>
      <c r="Y2" s="3013"/>
      <c r="Z2" s="3013"/>
      <c r="AA2" s="3013"/>
      <c r="AB2" s="3013"/>
      <c r="AC2" s="3014"/>
    </row>
    <row r="3" spans="1:29" s="3015" customFormat="1" ht="28.5" customHeight="1" thickBot="1">
      <c r="A3" s="247" t="s">
        <v>3137</v>
      </c>
      <c r="B3" s="3016">
        <f>IF(AND(C2="——",B37="元/平方米"),C39,ROUND(B2*10000/D3,0))</f>
        <v>8202</v>
      </c>
      <c r="C3" s="3017" t="s">
        <v>3138</v>
      </c>
      <c r="D3" s="3018">
        <f>SUMIF('[1]数据-汇总表'!$C19:$C33,D1,'[1]数据-汇总表'!$E19:$E33)</f>
        <v>5565.64</v>
      </c>
      <c r="E3" s="3017" t="s">
        <v>3139</v>
      </c>
      <c r="F3" s="3018">
        <f>SUMIF('[1]数据-取费表'!A5:A15,D1,'[1]数据-取费表'!AH5:AH15)</f>
        <v>98</v>
      </c>
      <c r="G3" s="3008"/>
      <c r="H3" s="3008"/>
      <c r="I3" s="3008"/>
      <c r="J3" s="3008"/>
      <c r="K3" s="3009"/>
      <c r="L3" s="3010"/>
      <c r="M3" s="3011"/>
      <c r="N3" s="3011"/>
      <c r="O3" s="3011"/>
      <c r="P3" s="3012"/>
      <c r="Q3" s="3013"/>
      <c r="R3" s="3013"/>
      <c r="S3" s="3013"/>
      <c r="T3" s="3013"/>
      <c r="U3" s="3013"/>
      <c r="V3" s="3013"/>
      <c r="W3" s="3013"/>
      <c r="X3" s="3013"/>
      <c r="Y3" s="3013"/>
      <c r="Z3" s="3013"/>
      <c r="AA3" s="3013"/>
      <c r="AB3" s="3019"/>
      <c r="AC3" s="3020"/>
    </row>
    <row r="4" spans="1:29" ht="15">
      <c r="A4" s="3021" t="s">
        <v>3140</v>
      </c>
      <c r="B4" s="3022"/>
      <c r="C4" s="3599" t="s">
        <v>3141</v>
      </c>
      <c r="D4" s="3600"/>
      <c r="E4" s="3601" t="s">
        <v>3142</v>
      </c>
      <c r="F4" s="3602"/>
      <c r="G4" s="3599" t="s">
        <v>3143</v>
      </c>
      <c r="H4" s="3600"/>
      <c r="I4" s="3599" t="s">
        <v>3144</v>
      </c>
      <c r="J4" s="3600"/>
      <c r="K4" s="3023" t="s">
        <v>3145</v>
      </c>
      <c r="L4" s="3024"/>
      <c r="M4" s="3025"/>
      <c r="N4" s="3025"/>
      <c r="O4" s="3025"/>
      <c r="P4" s="3603" t="s">
        <v>3146</v>
      </c>
      <c r="Q4" s="3604"/>
      <c r="R4" s="3609" t="s">
        <v>3142</v>
      </c>
      <c r="S4" s="3610"/>
      <c r="T4" s="3609" t="s">
        <v>3143</v>
      </c>
      <c r="U4" s="3610"/>
      <c r="V4" s="3623" t="s">
        <v>3144</v>
      </c>
      <c r="W4" s="3623"/>
      <c r="X4" s="3026"/>
      <c r="Y4" s="3609" t="s">
        <v>3146</v>
      </c>
      <c r="Z4" s="3610"/>
      <c r="AA4" s="3596" t="s">
        <v>3142</v>
      </c>
      <c r="AB4" s="3597" t="s">
        <v>3143</v>
      </c>
      <c r="AC4" s="3596" t="s">
        <v>3144</v>
      </c>
    </row>
    <row r="5" spans="1:29" ht="15">
      <c r="A5" s="3028"/>
      <c r="B5" s="3029"/>
      <c r="C5" s="3613"/>
      <c r="D5" s="3614"/>
      <c r="E5" s="3615" t="s">
        <v>3147</v>
      </c>
      <c r="F5" s="3616"/>
      <c r="G5" s="3615" t="s">
        <v>3148</v>
      </c>
      <c r="H5" s="3616"/>
      <c r="I5" s="3615" t="s">
        <v>3149</v>
      </c>
      <c r="J5" s="3616"/>
      <c r="K5" s="3023"/>
      <c r="L5" s="3024"/>
      <c r="M5" s="3025"/>
      <c r="N5" s="3025"/>
      <c r="O5" s="3025"/>
      <c r="P5" s="3605"/>
      <c r="Q5" s="3606"/>
      <c r="R5" s="3611"/>
      <c r="S5" s="3612"/>
      <c r="T5" s="3611"/>
      <c r="U5" s="3612"/>
      <c r="V5" s="3623"/>
      <c r="W5" s="3623"/>
      <c r="X5" s="3026"/>
      <c r="Y5" s="3611"/>
      <c r="Z5" s="3612"/>
      <c r="AA5" s="3597"/>
      <c r="AB5" s="3597"/>
      <c r="AC5" s="3597"/>
    </row>
    <row r="6" spans="1:29" ht="15.75" thickBot="1">
      <c r="A6" s="3030"/>
      <c r="B6" s="3031"/>
      <c r="C6" s="3617"/>
      <c r="D6" s="3618"/>
      <c r="E6" s="3619"/>
      <c r="F6" s="3620"/>
      <c r="G6" s="3617"/>
      <c r="H6" s="3618"/>
      <c r="I6" s="3617"/>
      <c r="J6" s="3618"/>
      <c r="K6" s="3023" t="s">
        <v>3150</v>
      </c>
      <c r="L6" s="3024"/>
      <c r="M6" s="3025"/>
      <c r="N6" s="3025"/>
      <c r="O6" s="3025"/>
      <c r="P6" s="3607"/>
      <c r="Q6" s="3608"/>
      <c r="R6" s="3611"/>
      <c r="S6" s="3612"/>
      <c r="T6" s="3621"/>
      <c r="U6" s="3622"/>
      <c r="V6" s="3623"/>
      <c r="W6" s="3623"/>
      <c r="X6" s="3026"/>
      <c r="Y6" s="3621"/>
      <c r="Z6" s="3622"/>
      <c r="AA6" s="3598"/>
      <c r="AB6" s="3598"/>
      <c r="AC6" s="3598"/>
    </row>
    <row r="7" spans="1:29" s="3046" customFormat="1" ht="15.75" thickBot="1">
      <c r="A7" s="3032" t="s">
        <v>3151</v>
      </c>
      <c r="B7" s="3033"/>
      <c r="C7" s="3034">
        <f>'[1]数据-取费表'!B2</f>
        <v>42936</v>
      </c>
      <c r="D7" s="3035">
        <v>100</v>
      </c>
      <c r="E7" s="3036">
        <v>42856</v>
      </c>
      <c r="F7" s="3037">
        <f>SUMIF(48:48,YEAR(E7)&amp;"-"&amp;MONTH(E7),49:49)</f>
        <v>99.5</v>
      </c>
      <c r="G7" s="3038">
        <v>42826</v>
      </c>
      <c r="H7" s="3035">
        <f>SUMIF(48:48,YEAR(G7)&amp;"-"&amp;MONTH(G7),49:49)</f>
        <v>99.5</v>
      </c>
      <c r="I7" s="3038">
        <v>42826</v>
      </c>
      <c r="J7" s="3035">
        <f>SUMIF(48:48,YEAR(I7)&amp;"-"&amp;MONTH(I7),49:49)</f>
        <v>99.5</v>
      </c>
      <c r="K7" s="3039"/>
      <c r="L7" s="3040"/>
      <c r="M7" s="3041"/>
      <c r="N7" s="3041"/>
      <c r="O7" s="3041"/>
      <c r="P7" s="3624" t="s">
        <v>3152</v>
      </c>
      <c r="Q7" s="3625"/>
      <c r="R7" s="3042" t="s">
        <v>3153</v>
      </c>
      <c r="S7" s="3043">
        <f t="shared" ref="S7:S14" si="0">F7</f>
        <v>99.5</v>
      </c>
      <c r="T7" s="3042" t="s">
        <v>3153</v>
      </c>
      <c r="U7" s="3043">
        <f t="shared" ref="U7:U14" si="1">H7</f>
        <v>99.5</v>
      </c>
      <c r="V7" s="3042" t="s">
        <v>3153</v>
      </c>
      <c r="W7" s="3043">
        <f t="shared" ref="W7:W14" si="2">J7</f>
        <v>99.5</v>
      </c>
      <c r="X7" s="3044"/>
      <c r="Y7" s="3624" t="s">
        <v>3152</v>
      </c>
      <c r="Z7" s="3626"/>
      <c r="AA7" s="3045">
        <f>D7/F7</f>
        <v>1.0050251256281406</v>
      </c>
      <c r="AB7" s="3045">
        <f>D7/H7</f>
        <v>1.0050251256281406</v>
      </c>
      <c r="AC7" s="3045">
        <f>D7/J7</f>
        <v>1.0050251256281406</v>
      </c>
    </row>
    <row r="8" spans="1:29" s="3046" customFormat="1" ht="15.75" thickBot="1">
      <c r="A8" s="3032" t="s">
        <v>3154</v>
      </c>
      <c r="B8" s="3033"/>
      <c r="C8" s="3047" t="s">
        <v>3155</v>
      </c>
      <c r="D8" s="3035">
        <v>100</v>
      </c>
      <c r="E8" s="3047" t="s">
        <v>3155</v>
      </c>
      <c r="F8" s="3037">
        <f>SUMIF(51:51,E8,52:52)-SUMIF(51:51,C8,52:52)+100</f>
        <v>100</v>
      </c>
      <c r="G8" s="3047" t="s">
        <v>3155</v>
      </c>
      <c r="H8" s="3035">
        <f>SUMIF(51:51,G8,52:52)-SUMIF(51:51,C8,52:52)+100</f>
        <v>100</v>
      </c>
      <c r="I8" s="3047" t="s">
        <v>3155</v>
      </c>
      <c r="J8" s="3035">
        <f>SUMIF(51:51,I8,52:52)-SUMIF(51:51,C8,52:52)+100</f>
        <v>100</v>
      </c>
      <c r="K8" s="3039"/>
      <c r="L8" s="3040"/>
      <c r="M8" s="3041"/>
      <c r="N8" s="3041"/>
      <c r="O8" s="3041"/>
      <c r="P8" s="3624" t="s">
        <v>3156</v>
      </c>
      <c r="Q8" s="3626"/>
      <c r="R8" s="3042" t="s">
        <v>3157</v>
      </c>
      <c r="S8" s="3043">
        <f t="shared" si="0"/>
        <v>100</v>
      </c>
      <c r="T8" s="3042" t="s">
        <v>3157</v>
      </c>
      <c r="U8" s="3043">
        <f t="shared" si="1"/>
        <v>100</v>
      </c>
      <c r="V8" s="3042" t="s">
        <v>3157</v>
      </c>
      <c r="W8" s="3043">
        <f t="shared" si="2"/>
        <v>100</v>
      </c>
      <c r="X8" s="3044"/>
      <c r="Y8" s="3624" t="s">
        <v>3156</v>
      </c>
      <c r="Z8" s="3626"/>
      <c r="AA8" s="3045">
        <f t="shared" ref="AA8:AA36" si="3">D8/F8</f>
        <v>1</v>
      </c>
      <c r="AB8" s="3045">
        <f t="shared" ref="AB8:AB36" si="4">D8/H8</f>
        <v>1</v>
      </c>
      <c r="AC8" s="3045">
        <f t="shared" ref="AC8:AC36" si="5">D8/J8</f>
        <v>1</v>
      </c>
    </row>
    <row r="9" spans="1:29" s="3046" customFormat="1">
      <c r="A9" s="3048" t="s">
        <v>3158</v>
      </c>
      <c r="B9" s="3049" t="s">
        <v>3159</v>
      </c>
      <c r="C9" s="3050" t="s">
        <v>3160</v>
      </c>
      <c r="D9" s="3051">
        <v>100</v>
      </c>
      <c r="E9" s="3052" t="s">
        <v>3161</v>
      </c>
      <c r="F9" s="3051">
        <f>SUMIF(53:53,E9,54:54)-SUMIF(53:53,C9,54:54)+100</f>
        <v>100</v>
      </c>
      <c r="G9" s="3053" t="s">
        <v>3161</v>
      </c>
      <c r="H9" s="3051">
        <f>SUMIF(53:53,G9,54:54)-SUMIF(53:53,C9,54:54)+100</f>
        <v>100</v>
      </c>
      <c r="I9" s="3053" t="s">
        <v>3161</v>
      </c>
      <c r="J9" s="3051">
        <f>SUMIF(53:53,I9,54:54)-SUMIF(53:53,C9,54:54)+100</f>
        <v>100</v>
      </c>
      <c r="K9" s="3039"/>
      <c r="L9" s="3040"/>
      <c r="M9" s="3041"/>
      <c r="N9" s="3041"/>
      <c r="O9" s="3041"/>
      <c r="P9" s="3627" t="s">
        <v>3162</v>
      </c>
      <c r="Q9" s="3054" t="str">
        <f t="shared" ref="Q9:Q14" si="6">B9</f>
        <v>用途</v>
      </c>
      <c r="R9" s="3042" t="s">
        <v>3157</v>
      </c>
      <c r="S9" s="3043">
        <f t="shared" si="0"/>
        <v>100</v>
      </c>
      <c r="T9" s="3042" t="s">
        <v>3157</v>
      </c>
      <c r="U9" s="3043">
        <f t="shared" si="1"/>
        <v>100</v>
      </c>
      <c r="V9" s="3042" t="s">
        <v>3157</v>
      </c>
      <c r="W9" s="3043">
        <f t="shared" si="2"/>
        <v>100</v>
      </c>
      <c r="X9" s="3044"/>
      <c r="Y9" s="3628" t="s">
        <v>3163</v>
      </c>
      <c r="Z9" s="3055" t="str">
        <f t="shared" ref="Z9:Z14" si="7">Q9</f>
        <v>用途</v>
      </c>
      <c r="AA9" s="3045">
        <f t="shared" si="3"/>
        <v>1</v>
      </c>
      <c r="AB9" s="3045">
        <f t="shared" si="4"/>
        <v>1</v>
      </c>
      <c r="AC9" s="3045">
        <f t="shared" si="5"/>
        <v>1</v>
      </c>
    </row>
    <row r="10" spans="1:29" s="3064" customFormat="1" ht="27">
      <c r="A10" s="3056"/>
      <c r="B10" s="3057" t="s">
        <v>3164</v>
      </c>
      <c r="C10" s="3058" t="s">
        <v>3165</v>
      </c>
      <c r="D10" s="3059">
        <v>100</v>
      </c>
      <c r="E10" s="3058" t="s">
        <v>3166</v>
      </c>
      <c r="F10" s="3059">
        <f>SUMIF(55:55,E10,56:56)-SUMIF(55:55,C10,56:56)+100</f>
        <v>100</v>
      </c>
      <c r="G10" s="3060" t="s">
        <v>3167</v>
      </c>
      <c r="H10" s="3059">
        <f>SUMIF(55:55,G10,56:56)-SUMIF(55:55,C10,56:56)+100</f>
        <v>99</v>
      </c>
      <c r="I10" s="3058" t="s">
        <v>3166</v>
      </c>
      <c r="J10" s="3059">
        <f>SUMIF(55:55,I10,56:56)-SUMIF(55:55,C10,56:56)+100</f>
        <v>100</v>
      </c>
      <c r="K10" s="3061">
        <v>1</v>
      </c>
      <c r="L10" s="3062"/>
      <c r="M10" s="3063"/>
      <c r="N10" s="3063"/>
      <c r="O10" s="3063"/>
      <c r="P10" s="3627"/>
      <c r="Q10" s="3054" t="str">
        <f t="shared" si="6"/>
        <v>土地使用年限（年）</v>
      </c>
      <c r="R10" s="3042" t="s">
        <v>3153</v>
      </c>
      <c r="S10" s="3043">
        <f t="shared" si="0"/>
        <v>100</v>
      </c>
      <c r="T10" s="3042" t="s">
        <v>3153</v>
      </c>
      <c r="U10" s="3043">
        <f t="shared" si="1"/>
        <v>99</v>
      </c>
      <c r="V10" s="3042" t="s">
        <v>3153</v>
      </c>
      <c r="W10" s="3043">
        <f t="shared" si="2"/>
        <v>100</v>
      </c>
      <c r="X10" s="3044"/>
      <c r="Y10" s="3628"/>
      <c r="Z10" s="3055" t="str">
        <f t="shared" si="7"/>
        <v>土地使用年限（年）</v>
      </c>
      <c r="AA10" s="3045">
        <f t="shared" si="3"/>
        <v>1</v>
      </c>
      <c r="AB10" s="3045">
        <f t="shared" si="4"/>
        <v>1.0101010101010102</v>
      </c>
      <c r="AC10" s="3045">
        <f t="shared" si="5"/>
        <v>1</v>
      </c>
    </row>
    <row r="11" spans="1:29" ht="15">
      <c r="A11" s="3065"/>
      <c r="B11" s="3066"/>
      <c r="C11" s="3067"/>
      <c r="D11" s="3059">
        <v>100</v>
      </c>
      <c r="E11" s="3067"/>
      <c r="F11" s="3059">
        <f>SUMIF(57:57,E11,58:58)-SUMIF(57:57,C11,58:58)+100</f>
        <v>100</v>
      </c>
      <c r="G11" s="3067"/>
      <c r="H11" s="3059">
        <f>SUMIF(57:57,G11,58:58)-SUMIF(57:57,C11,58:58)+100</f>
        <v>100</v>
      </c>
      <c r="I11" s="3067"/>
      <c r="J11" s="3059">
        <f>SUMIF(57:57,I11,58:58)-SUMIF(57:57,C11,58:58)+100</f>
        <v>100</v>
      </c>
      <c r="K11" s="3068"/>
      <c r="L11" s="3069"/>
      <c r="M11" s="3025"/>
      <c r="N11" s="3025"/>
      <c r="O11" s="3025"/>
      <c r="P11" s="3627"/>
      <c r="Q11" s="3054">
        <f t="shared" si="6"/>
        <v>0</v>
      </c>
      <c r="R11" s="3042" t="s">
        <v>3153</v>
      </c>
      <c r="S11" s="3043">
        <f t="shared" si="0"/>
        <v>100</v>
      </c>
      <c r="T11" s="3042" t="s">
        <v>3153</v>
      </c>
      <c r="U11" s="3043">
        <f t="shared" si="1"/>
        <v>100</v>
      </c>
      <c r="V11" s="3042" t="s">
        <v>3153</v>
      </c>
      <c r="W11" s="3043">
        <f t="shared" si="2"/>
        <v>100</v>
      </c>
      <c r="X11" s="3044"/>
      <c r="Y11" s="3628"/>
      <c r="Z11" s="3055">
        <f t="shared" si="7"/>
        <v>0</v>
      </c>
      <c r="AA11" s="3045">
        <f t="shared" si="3"/>
        <v>1</v>
      </c>
      <c r="AB11" s="3045">
        <f t="shared" si="4"/>
        <v>1</v>
      </c>
      <c r="AC11" s="3045">
        <f t="shared" si="5"/>
        <v>1</v>
      </c>
    </row>
    <row r="12" spans="1:29" s="3046" customFormat="1" ht="15">
      <c r="A12" s="3070"/>
      <c r="B12" s="3066"/>
      <c r="C12" s="3067"/>
      <c r="D12" s="3071">
        <v>100</v>
      </c>
      <c r="E12" s="3067"/>
      <c r="F12" s="3059">
        <f>SUMIF(59:59,E12,60:60)-SUMIF(59:59,C12,60:60)+100</f>
        <v>100</v>
      </c>
      <c r="G12" s="3067"/>
      <c r="H12" s="3059">
        <f>SUMIF(59:59,G12,60:60)-SUMIF(59:59,C12,60:60)+100</f>
        <v>100</v>
      </c>
      <c r="I12" s="3067"/>
      <c r="J12" s="3059">
        <f>SUMIF(59:59,I12,60:60)-SUMIF(59:59,C12,60:60)+100</f>
        <v>100</v>
      </c>
      <c r="K12" s="3068"/>
      <c r="L12" s="3040"/>
      <c r="M12" s="3041"/>
      <c r="N12" s="3041"/>
      <c r="O12" s="3041"/>
      <c r="P12" s="3627"/>
      <c r="Q12" s="3054">
        <f t="shared" si="6"/>
        <v>0</v>
      </c>
      <c r="R12" s="3042" t="s">
        <v>3153</v>
      </c>
      <c r="S12" s="3043">
        <f t="shared" si="0"/>
        <v>100</v>
      </c>
      <c r="T12" s="3042" t="s">
        <v>3153</v>
      </c>
      <c r="U12" s="3043">
        <f t="shared" si="1"/>
        <v>100</v>
      </c>
      <c r="V12" s="3042" t="s">
        <v>3153</v>
      </c>
      <c r="W12" s="3043">
        <f t="shared" si="2"/>
        <v>100</v>
      </c>
      <c r="X12" s="3044"/>
      <c r="Y12" s="3628"/>
      <c r="Z12" s="3055">
        <f t="shared" si="7"/>
        <v>0</v>
      </c>
      <c r="AA12" s="3045">
        <f>D12/F12</f>
        <v>1</v>
      </c>
      <c r="AB12" s="3045">
        <f>D12/H12</f>
        <v>1</v>
      </c>
      <c r="AC12" s="3045">
        <f>D12/J12</f>
        <v>1</v>
      </c>
    </row>
    <row r="13" spans="1:29" ht="15.75" thickBot="1">
      <c r="A13" s="3072"/>
      <c r="B13" s="3066"/>
      <c r="C13" s="3073"/>
      <c r="D13" s="3074">
        <v>100</v>
      </c>
      <c r="E13" s="3067"/>
      <c r="F13" s="3059">
        <f>SUMIF(61:61,E13,62:62)-SUMIF(61:61,C13,62:62)+100</f>
        <v>100</v>
      </c>
      <c r="G13" s="3067"/>
      <c r="H13" s="3074">
        <f>SUMIF(61:61,G13,62:62)-SUMIF(61:61,C13,62:62)+100</f>
        <v>100</v>
      </c>
      <c r="I13" s="3067"/>
      <c r="J13" s="3074">
        <f>SUMIF(61:61,I13,62:62)-SUMIF(61:61,C13,62:62)+100</f>
        <v>100</v>
      </c>
      <c r="K13" s="3068"/>
      <c r="L13" s="3075"/>
      <c r="M13" s="3025"/>
      <c r="N13" s="3025"/>
      <c r="O13" s="3025"/>
      <c r="P13" s="3627"/>
      <c r="Q13" s="3054">
        <f t="shared" si="6"/>
        <v>0</v>
      </c>
      <c r="R13" s="3042" t="s">
        <v>3153</v>
      </c>
      <c r="S13" s="3043">
        <f t="shared" si="0"/>
        <v>100</v>
      </c>
      <c r="T13" s="3042" t="s">
        <v>3153</v>
      </c>
      <c r="U13" s="3043">
        <f t="shared" si="1"/>
        <v>100</v>
      </c>
      <c r="V13" s="3042" t="s">
        <v>3153</v>
      </c>
      <c r="W13" s="3043">
        <f t="shared" si="2"/>
        <v>100</v>
      </c>
      <c r="X13" s="3044"/>
      <c r="Y13" s="3628"/>
      <c r="Z13" s="3055">
        <f t="shared" si="7"/>
        <v>0</v>
      </c>
      <c r="AA13" s="3045">
        <f t="shared" si="3"/>
        <v>1</v>
      </c>
      <c r="AB13" s="3045">
        <f t="shared" si="4"/>
        <v>1</v>
      </c>
      <c r="AC13" s="3045">
        <f t="shared" si="5"/>
        <v>1</v>
      </c>
    </row>
    <row r="14" spans="1:29" ht="94.5">
      <c r="A14" s="3021" t="s">
        <v>3168</v>
      </c>
      <c r="B14" s="3076" t="s">
        <v>3169</v>
      </c>
      <c r="C14" s="3077" t="str">
        <f>IF(B1="工业",[1]估价对象房地状况!G4,[1]估价对象房地状况!C6)</f>
        <v>估价对象周边有405、641等公交线路及地铁10号线经过，综合评价交通便捷度较好</v>
      </c>
      <c r="D14" s="3078">
        <v>100</v>
      </c>
      <c r="E14" s="3079"/>
      <c r="F14" s="3080">
        <f>SUMIF(63:63,E15,64:64)-SUMIF(63:63,C15,64:64)+100</f>
        <v>100</v>
      </c>
      <c r="G14" s="3081"/>
      <c r="H14" s="3078">
        <f>SUMIF(63:63,G15,64:64)-SUMIF(63:63,C15,64:64)+100</f>
        <v>100</v>
      </c>
      <c r="I14" s="3079"/>
      <c r="J14" s="3078">
        <f>SUMIF(63:63,I15,64:64)-SUMIF(63:63,C15,64:64)+100</f>
        <v>100</v>
      </c>
      <c r="K14" s="3082">
        <v>2</v>
      </c>
      <c r="L14" s="3075"/>
      <c r="M14" s="3025"/>
      <c r="N14" s="3025"/>
      <c r="O14" s="3025"/>
      <c r="P14" s="3629" t="s">
        <v>3170</v>
      </c>
      <c r="Q14" s="3083" t="str">
        <f t="shared" si="6"/>
        <v>交通便捷度</v>
      </c>
      <c r="R14" s="3084" t="s">
        <v>3153</v>
      </c>
      <c r="S14" s="3085">
        <f t="shared" si="0"/>
        <v>100</v>
      </c>
      <c r="T14" s="3084" t="s">
        <v>3153</v>
      </c>
      <c r="U14" s="3085">
        <f t="shared" si="1"/>
        <v>100</v>
      </c>
      <c r="V14" s="3084" t="s">
        <v>3153</v>
      </c>
      <c r="W14" s="3085">
        <f t="shared" si="2"/>
        <v>100</v>
      </c>
      <c r="X14" s="3026"/>
      <c r="Y14" s="3629" t="s">
        <v>3170</v>
      </c>
      <c r="Z14" s="3086" t="str">
        <f t="shared" si="7"/>
        <v>交通便捷度</v>
      </c>
      <c r="AA14" s="3087">
        <f t="shared" si="3"/>
        <v>1</v>
      </c>
      <c r="AB14" s="3087">
        <f t="shared" si="4"/>
        <v>1</v>
      </c>
      <c r="AC14" s="3087">
        <f t="shared" si="5"/>
        <v>1</v>
      </c>
    </row>
    <row r="15" spans="1:29" ht="15">
      <c r="A15" s="3028"/>
      <c r="B15" s="3088"/>
      <c r="C15" s="3089" t="s">
        <v>3094</v>
      </c>
      <c r="D15" s="3090"/>
      <c r="E15" s="3091" t="s">
        <v>3094</v>
      </c>
      <c r="F15" s="3092"/>
      <c r="G15" s="3091" t="s">
        <v>3094</v>
      </c>
      <c r="H15" s="3093"/>
      <c r="I15" s="3091" t="s">
        <v>3094</v>
      </c>
      <c r="J15" s="3090"/>
      <c r="K15" s="3094"/>
      <c r="L15" s="3075"/>
      <c r="M15" s="3025"/>
      <c r="N15" s="3025"/>
      <c r="O15" s="3025"/>
      <c r="P15" s="3630"/>
      <c r="Q15" s="3083"/>
      <c r="R15" s="3084"/>
      <c r="S15" s="3085"/>
      <c r="T15" s="3084"/>
      <c r="U15" s="3085"/>
      <c r="V15" s="3084"/>
      <c r="W15" s="3085"/>
      <c r="X15" s="3026"/>
      <c r="Y15" s="3630"/>
      <c r="Z15" s="3086"/>
      <c r="AA15" s="3087">
        <v>1</v>
      </c>
      <c r="AB15" s="3087">
        <v>1</v>
      </c>
      <c r="AC15" s="3087">
        <v>1</v>
      </c>
    </row>
    <row r="16" spans="1:29" ht="54">
      <c r="A16" s="3028"/>
      <c r="B16" s="3095" t="s">
        <v>3171</v>
      </c>
      <c r="C16" s="3096" t="str">
        <f>IF(B1="工业",[1]估价对象房地状况!G5,[1]估价对象房地状况!C7)</f>
        <v>估价对象所在区域公共配套设施齐备情况较好</v>
      </c>
      <c r="D16" s="3097">
        <v>100</v>
      </c>
      <c r="E16" s="3098"/>
      <c r="F16" s="3099">
        <f>SUMIF(65:65,E17,66:66)-SUMIF(65:65,C17,66:66)+100</f>
        <v>100</v>
      </c>
      <c r="G16" s="3098"/>
      <c r="H16" s="3097">
        <f>SUMIF(65:65,G17,66:66)-SUMIF(65:65,C17,66:66)+100</f>
        <v>100</v>
      </c>
      <c r="I16" s="3100"/>
      <c r="J16" s="3097">
        <f>SUMIF(65:65,I17,66:66)-SUMIF(65:65,C17,66:66)+100</f>
        <v>100</v>
      </c>
      <c r="K16" s="3082">
        <v>3</v>
      </c>
      <c r="L16" s="3075"/>
      <c r="M16" s="3025"/>
      <c r="N16" s="3025"/>
      <c r="O16" s="3025"/>
      <c r="P16" s="3630"/>
      <c r="Q16" s="3083" t="str">
        <f>B16</f>
        <v>公共配套设施</v>
      </c>
      <c r="R16" s="3084" t="s">
        <v>3153</v>
      </c>
      <c r="S16" s="3085">
        <f>F16</f>
        <v>100</v>
      </c>
      <c r="T16" s="3084" t="s">
        <v>3153</v>
      </c>
      <c r="U16" s="3085">
        <f>H16</f>
        <v>100</v>
      </c>
      <c r="V16" s="3084" t="s">
        <v>3153</v>
      </c>
      <c r="W16" s="3085">
        <f>J16</f>
        <v>100</v>
      </c>
      <c r="X16" s="3026"/>
      <c r="Y16" s="3630"/>
      <c r="Z16" s="3086" t="str">
        <f>Q16</f>
        <v>公共配套设施</v>
      </c>
      <c r="AA16" s="3087">
        <f t="shared" si="3"/>
        <v>1</v>
      </c>
      <c r="AB16" s="3087">
        <f t="shared" si="4"/>
        <v>1</v>
      </c>
      <c r="AC16" s="3087">
        <f t="shared" si="5"/>
        <v>1</v>
      </c>
    </row>
    <row r="17" spans="1:29" ht="15">
      <c r="A17" s="3028"/>
      <c r="B17" s="3101"/>
      <c r="C17" s="3102" t="s">
        <v>3094</v>
      </c>
      <c r="D17" s="3090"/>
      <c r="E17" s="3091" t="s">
        <v>3172</v>
      </c>
      <c r="F17" s="3092"/>
      <c r="G17" s="3091" t="s">
        <v>3172</v>
      </c>
      <c r="H17" s="3090"/>
      <c r="I17" s="3091" t="s">
        <v>3172</v>
      </c>
      <c r="J17" s="3090"/>
      <c r="K17" s="3094"/>
      <c r="L17" s="3075"/>
      <c r="M17" s="3025"/>
      <c r="N17" s="3025"/>
      <c r="O17" s="3025"/>
      <c r="P17" s="3630"/>
      <c r="Q17" s="3083"/>
      <c r="R17" s="3084"/>
      <c r="S17" s="3085"/>
      <c r="T17" s="3084"/>
      <c r="U17" s="3085"/>
      <c r="V17" s="3084"/>
      <c r="W17" s="3085"/>
      <c r="X17" s="3026"/>
      <c r="Y17" s="3630"/>
      <c r="Z17" s="3086"/>
      <c r="AA17" s="3087">
        <v>1</v>
      </c>
      <c r="AB17" s="3087">
        <v>1</v>
      </c>
      <c r="AC17" s="3087">
        <v>1</v>
      </c>
    </row>
    <row r="18" spans="1:29" ht="40.5">
      <c r="A18" s="3028"/>
      <c r="B18" s="3103" t="s">
        <v>3173</v>
      </c>
      <c r="C18" s="3096" t="str">
        <f>IF(B1="工业",[1]估价对象房地状况!G6,[1]估价对象房地状况!C8)</f>
        <v>估价对象所在区域基础设施水平七通</v>
      </c>
      <c r="D18" s="3093">
        <v>100</v>
      </c>
      <c r="E18" s="3098"/>
      <c r="F18" s="3099">
        <f>SUMIF(67:67,E19,68:68)-SUMIF(67:67,C19,68:68)+100</f>
        <v>100</v>
      </c>
      <c r="G18" s="3098"/>
      <c r="H18" s="3097">
        <f>SUMIF(67:67,G19,68:68)-SUMIF(67:67,C19,68:68)+100</f>
        <v>100</v>
      </c>
      <c r="I18" s="3100"/>
      <c r="J18" s="3097">
        <f>SUMIF(67:67,I19,68:68)-SUMIF(67:67,C19,68:68)+100</f>
        <v>100</v>
      </c>
      <c r="K18" s="3082">
        <v>1</v>
      </c>
      <c r="L18" s="3075"/>
      <c r="M18" s="3025"/>
      <c r="N18" s="3025"/>
      <c r="O18" s="3025"/>
      <c r="P18" s="3630"/>
      <c r="Q18" s="3083" t="str">
        <f>B18</f>
        <v>基础设施水平</v>
      </c>
      <c r="R18" s="3084" t="s">
        <v>3153</v>
      </c>
      <c r="S18" s="3085">
        <f>F18</f>
        <v>100</v>
      </c>
      <c r="T18" s="3084" t="s">
        <v>3153</v>
      </c>
      <c r="U18" s="3085">
        <f>H18</f>
        <v>100</v>
      </c>
      <c r="V18" s="3084" t="s">
        <v>3153</v>
      </c>
      <c r="W18" s="3085">
        <f>J18</f>
        <v>100</v>
      </c>
      <c r="X18" s="3026"/>
      <c r="Y18" s="3630"/>
      <c r="Z18" s="3086" t="str">
        <f>Q18</f>
        <v>基础设施水平</v>
      </c>
      <c r="AA18" s="3087">
        <f t="shared" ref="AA18" si="8">D18/F18</f>
        <v>1</v>
      </c>
      <c r="AB18" s="3087">
        <f t="shared" ref="AB18" si="9">D18/H18</f>
        <v>1</v>
      </c>
      <c r="AC18" s="3087">
        <f t="shared" ref="AC18" si="10">D18/J18</f>
        <v>1</v>
      </c>
    </row>
    <row r="19" spans="1:29" ht="15">
      <c r="A19" s="3028"/>
      <c r="B19" s="3104"/>
      <c r="C19" s="3102" t="s">
        <v>3095</v>
      </c>
      <c r="D19" s="3093"/>
      <c r="E19" s="3091" t="s">
        <v>3095</v>
      </c>
      <c r="F19" s="3105"/>
      <c r="G19" s="3091" t="s">
        <v>3095</v>
      </c>
      <c r="H19" s="3090"/>
      <c r="I19" s="3091" t="s">
        <v>3095</v>
      </c>
      <c r="J19" s="3090"/>
      <c r="K19" s="3106"/>
      <c r="L19" s="3075"/>
      <c r="M19" s="3025"/>
      <c r="N19" s="3025"/>
      <c r="O19" s="3025"/>
      <c r="P19" s="3630"/>
      <c r="Q19" s="3083"/>
      <c r="R19" s="3084"/>
      <c r="S19" s="3085"/>
      <c r="T19" s="3084"/>
      <c r="U19" s="3085"/>
      <c r="V19" s="3084"/>
      <c r="W19" s="3085"/>
      <c r="X19" s="3026"/>
      <c r="Y19" s="3630"/>
      <c r="Z19" s="3086"/>
      <c r="AA19" s="3087">
        <v>1</v>
      </c>
      <c r="AB19" s="3087">
        <v>1</v>
      </c>
      <c r="AC19" s="3087">
        <v>1</v>
      </c>
    </row>
    <row r="20" spans="1:29" ht="54">
      <c r="A20" s="3028"/>
      <c r="B20" s="3107" t="s">
        <v>3174</v>
      </c>
      <c r="C20" s="3096" t="str">
        <f>IF(B1="工业",[1]估价对象房地状况!G7,[1]估价对象房地状况!C9)</f>
        <v>区域自然环境：；人文环境；综合评价环境状况较好</v>
      </c>
      <c r="D20" s="3097">
        <v>100</v>
      </c>
      <c r="E20" s="3108"/>
      <c r="F20" s="3099">
        <f>SUMIF(69:69,E21,70:70)-SUMIF(69:69,C21,70:70)+100</f>
        <v>100</v>
      </c>
      <c r="G20" s="3109"/>
      <c r="H20" s="3093">
        <f>SUMIF(69:69,G21,70:70)-SUMIF(69:69,C21,70:70)+100</f>
        <v>100</v>
      </c>
      <c r="I20" s="3108"/>
      <c r="J20" s="3093">
        <f>SUMIF(69:69,I21,70:70)-SUMIF(69:69,C21,70:70)+100</f>
        <v>98</v>
      </c>
      <c r="K20" s="3082">
        <v>2</v>
      </c>
      <c r="L20" s="3075"/>
      <c r="M20" s="3025"/>
      <c r="N20" s="3025"/>
      <c r="O20" s="3025"/>
      <c r="P20" s="3630"/>
      <c r="Q20" s="3083" t="str">
        <f>B20</f>
        <v>自然及人文环境</v>
      </c>
      <c r="R20" s="3084" t="s">
        <v>3153</v>
      </c>
      <c r="S20" s="3085">
        <f>F20</f>
        <v>100</v>
      </c>
      <c r="T20" s="3084" t="s">
        <v>3153</v>
      </c>
      <c r="U20" s="3085">
        <f>H20</f>
        <v>100</v>
      </c>
      <c r="V20" s="3084" t="s">
        <v>3153</v>
      </c>
      <c r="W20" s="3085">
        <f>J20</f>
        <v>98</v>
      </c>
      <c r="X20" s="3026"/>
      <c r="Y20" s="3630"/>
      <c r="Z20" s="3086" t="str">
        <f>Q20</f>
        <v>自然及人文环境</v>
      </c>
      <c r="AA20" s="3087">
        <f t="shared" si="3"/>
        <v>1</v>
      </c>
      <c r="AB20" s="3087">
        <f t="shared" si="4"/>
        <v>1</v>
      </c>
      <c r="AC20" s="3087">
        <f t="shared" si="5"/>
        <v>1.0204081632653061</v>
      </c>
    </row>
    <row r="21" spans="1:29" ht="15">
      <c r="A21" s="3028"/>
      <c r="B21" s="3101"/>
      <c r="C21" s="3091" t="s">
        <v>3094</v>
      </c>
      <c r="D21" s="3090"/>
      <c r="E21" s="3091" t="s">
        <v>3094</v>
      </c>
      <c r="F21" s="3092"/>
      <c r="G21" s="3091" t="s">
        <v>3094</v>
      </c>
      <c r="H21" s="3090"/>
      <c r="I21" s="3091" t="s">
        <v>3106</v>
      </c>
      <c r="J21" s="3090"/>
      <c r="K21" s="3094"/>
      <c r="L21" s="3075"/>
      <c r="M21" s="3025"/>
      <c r="N21" s="3025"/>
      <c r="O21" s="3025"/>
      <c r="P21" s="3630"/>
      <c r="Q21" s="3083"/>
      <c r="R21" s="3084"/>
      <c r="S21" s="3085"/>
      <c r="T21" s="3084"/>
      <c r="U21" s="3085"/>
      <c r="V21" s="3084"/>
      <c r="W21" s="3085"/>
      <c r="X21" s="3026"/>
      <c r="Y21" s="3630"/>
      <c r="Z21" s="3086"/>
      <c r="AA21" s="3087">
        <v>1</v>
      </c>
      <c r="AB21" s="3087">
        <v>1</v>
      </c>
      <c r="AC21" s="3087">
        <v>1</v>
      </c>
    </row>
    <row r="22" spans="1:29" ht="15">
      <c r="A22" s="3028"/>
      <c r="B22" s="3107" t="s">
        <v>3175</v>
      </c>
      <c r="C22" s="3110"/>
      <c r="D22" s="3093">
        <v>100</v>
      </c>
      <c r="E22" s="3110"/>
      <c r="F22" s="3111">
        <f>SUMIF(71:71,E22,72:72)-SUMIF(71:71,C22,72:72)+100</f>
        <v>100</v>
      </c>
      <c r="G22" s="3110"/>
      <c r="H22" s="3074">
        <f>SUMIF(71:71,G22,72:72)-SUMIF(71:71,C22,72:72)+100</f>
        <v>100</v>
      </c>
      <c r="I22" s="3110"/>
      <c r="J22" s="3074">
        <f>SUMIF(71:71,I22,72:72)-SUMIF(71:71,C22,72:72)+100</f>
        <v>100</v>
      </c>
      <c r="K22" s="3061">
        <v>2</v>
      </c>
      <c r="L22" s="3075"/>
      <c r="M22" s="3025"/>
      <c r="N22" s="3025"/>
      <c r="O22" s="3025"/>
      <c r="P22" s="3630"/>
      <c r="Q22" s="3083" t="str">
        <f>B22</f>
        <v>楼层</v>
      </c>
      <c r="R22" s="3084" t="s">
        <v>3153</v>
      </c>
      <c r="S22" s="3085">
        <f>F22</f>
        <v>100</v>
      </c>
      <c r="T22" s="3084" t="s">
        <v>3153</v>
      </c>
      <c r="U22" s="3085">
        <f>H22</f>
        <v>100</v>
      </c>
      <c r="V22" s="3084" t="s">
        <v>3153</v>
      </c>
      <c r="W22" s="3085">
        <f>J22</f>
        <v>100</v>
      </c>
      <c r="X22" s="3026"/>
      <c r="Y22" s="3630"/>
      <c r="Z22" s="3086" t="str">
        <f>Q22</f>
        <v>楼层</v>
      </c>
      <c r="AA22" s="3087">
        <f t="shared" si="3"/>
        <v>1</v>
      </c>
      <c r="AB22" s="3087">
        <f t="shared" si="4"/>
        <v>1</v>
      </c>
      <c r="AC22" s="3087">
        <f t="shared" si="5"/>
        <v>1</v>
      </c>
    </row>
    <row r="23" spans="1:29" ht="15">
      <c r="A23" s="3028"/>
      <c r="B23" s="3112"/>
      <c r="C23" s="3067"/>
      <c r="D23" s="3074">
        <v>100</v>
      </c>
      <c r="E23" s="3067"/>
      <c r="F23" s="3111">
        <f>SUMIF(73:73,E23,74:74)-SUMIF(73:73,C23,74:74)+100</f>
        <v>100</v>
      </c>
      <c r="G23" s="3067"/>
      <c r="H23" s="3074">
        <f>SUMIF(73:73,G23,74:74)-SUMIF(73:73,C23,74:74)+100</f>
        <v>100</v>
      </c>
      <c r="I23" s="3067"/>
      <c r="J23" s="3074">
        <f>SUMIF(73:73,I23,74:74)-SUMIF(73:73,C23,74:74)+100</f>
        <v>100</v>
      </c>
      <c r="K23" s="3068"/>
      <c r="L23" s="3075"/>
      <c r="M23" s="3025"/>
      <c r="N23" s="3025"/>
      <c r="O23" s="3025"/>
      <c r="P23" s="3630"/>
      <c r="Q23" s="3083">
        <f>B23</f>
        <v>0</v>
      </c>
      <c r="R23" s="3084" t="s">
        <v>3153</v>
      </c>
      <c r="S23" s="3085">
        <f>F23</f>
        <v>100</v>
      </c>
      <c r="T23" s="3084" t="s">
        <v>3153</v>
      </c>
      <c r="U23" s="3085">
        <f>H23</f>
        <v>100</v>
      </c>
      <c r="V23" s="3084" t="s">
        <v>3153</v>
      </c>
      <c r="W23" s="3085">
        <f>J23</f>
        <v>100</v>
      </c>
      <c r="X23" s="3026"/>
      <c r="Y23" s="3630"/>
      <c r="Z23" s="3086">
        <f>Q23</f>
        <v>0</v>
      </c>
      <c r="AA23" s="3087">
        <f t="shared" si="3"/>
        <v>1</v>
      </c>
      <c r="AB23" s="3087">
        <f t="shared" si="4"/>
        <v>1</v>
      </c>
      <c r="AC23" s="3087">
        <f t="shared" si="5"/>
        <v>1</v>
      </c>
    </row>
    <row r="24" spans="1:29" ht="15">
      <c r="A24" s="3028"/>
      <c r="B24" s="3112"/>
      <c r="C24" s="3067"/>
      <c r="D24" s="3074">
        <v>100</v>
      </c>
      <c r="E24" s="3067"/>
      <c r="F24" s="3111">
        <f>SUMIF(75:75,E24,76:76)-SUMIF(75:75,C24,76:76)+100</f>
        <v>100</v>
      </c>
      <c r="G24" s="3067"/>
      <c r="H24" s="3074">
        <f>SUMIF(75:75,G24,76:76)-SUMIF(75:75,C24,76:76)+100</f>
        <v>100</v>
      </c>
      <c r="I24" s="3067"/>
      <c r="J24" s="3074">
        <f>SUMIF(75:75,I24,76:76)-SUMIF(75:75,C24,76:76)+100</f>
        <v>100</v>
      </c>
      <c r="K24" s="3068"/>
      <c r="L24" s="3075"/>
      <c r="M24" s="3025"/>
      <c r="N24" s="3025"/>
      <c r="O24" s="3025"/>
      <c r="P24" s="3630"/>
      <c r="Q24" s="3083">
        <f t="shared" ref="Q24:Q36" si="11">B24</f>
        <v>0</v>
      </c>
      <c r="R24" s="3084" t="s">
        <v>3153</v>
      </c>
      <c r="S24" s="3085">
        <f>F24</f>
        <v>100</v>
      </c>
      <c r="T24" s="3084" t="s">
        <v>3153</v>
      </c>
      <c r="U24" s="3085">
        <f>H24</f>
        <v>100</v>
      </c>
      <c r="V24" s="3084" t="s">
        <v>3153</v>
      </c>
      <c r="W24" s="3085">
        <f>J24</f>
        <v>100</v>
      </c>
      <c r="X24" s="3026"/>
      <c r="Y24" s="3630"/>
      <c r="Z24" s="3086">
        <f>Q24</f>
        <v>0</v>
      </c>
      <c r="AA24" s="3087">
        <f t="shared" si="3"/>
        <v>1</v>
      </c>
      <c r="AB24" s="3087">
        <f t="shared" si="4"/>
        <v>1</v>
      </c>
      <c r="AC24" s="3087">
        <f t="shared" si="5"/>
        <v>1</v>
      </c>
    </row>
    <row r="25" spans="1:29" s="3046" customFormat="1" ht="15.75" thickBot="1">
      <c r="A25" s="3113"/>
      <c r="B25" s="3114"/>
      <c r="C25" s="3115"/>
      <c r="D25" s="3116">
        <v>100</v>
      </c>
      <c r="E25" s="3117"/>
      <c r="F25" s="3118">
        <f>SUMIF(77:77,E25,78:78)-SUMIF(77:77,C25,78:78)+100</f>
        <v>100</v>
      </c>
      <c r="G25" s="3117"/>
      <c r="H25" s="3116">
        <f>SUMIF(77:77,G25,78:78)-SUMIF(77:77,C25,78:78)+100</f>
        <v>100</v>
      </c>
      <c r="I25" s="3117"/>
      <c r="J25" s="3116">
        <f>SUMIF(77:77,I25,78:78)-SUMIF(77:77,C25,78:78)+100</f>
        <v>100</v>
      </c>
      <c r="K25" s="3068"/>
      <c r="L25" s="3040"/>
      <c r="M25" s="3041"/>
      <c r="N25" s="3041"/>
      <c r="O25" s="3041"/>
      <c r="P25" s="3630"/>
      <c r="Q25" s="3054">
        <f t="shared" si="11"/>
        <v>0</v>
      </c>
      <c r="R25" s="3042" t="s">
        <v>3153</v>
      </c>
      <c r="S25" s="3043">
        <f>F25</f>
        <v>100</v>
      </c>
      <c r="T25" s="3042" t="s">
        <v>3153</v>
      </c>
      <c r="U25" s="3043">
        <f>H25</f>
        <v>100</v>
      </c>
      <c r="V25" s="3042" t="s">
        <v>3153</v>
      </c>
      <c r="W25" s="3043">
        <f>J25</f>
        <v>100</v>
      </c>
      <c r="X25" s="3044"/>
      <c r="Y25" s="3630"/>
      <c r="Z25" s="3055">
        <f>Q25</f>
        <v>0</v>
      </c>
      <c r="AA25" s="3087">
        <f>D25/F25</f>
        <v>1</v>
      </c>
      <c r="AB25" s="3087">
        <f>D25/H25</f>
        <v>1</v>
      </c>
      <c r="AC25" s="3087">
        <f>D25/J25</f>
        <v>1</v>
      </c>
    </row>
    <row r="26" spans="1:29" ht="15">
      <c r="A26" s="3119" t="s">
        <v>3176</v>
      </c>
      <c r="B26" s="3120" t="s">
        <v>3177</v>
      </c>
      <c r="C26" s="3121" t="str">
        <f>B1</f>
        <v>办公</v>
      </c>
      <c r="D26" s="3090">
        <v>100</v>
      </c>
      <c r="E26" s="3091" t="s">
        <v>3178</v>
      </c>
      <c r="F26" s="3092">
        <f>SUMIF(79:79,E26,80:80)-SUMIF(79:79,C26,80:80)+100</f>
        <v>98</v>
      </c>
      <c r="G26" s="3091" t="s">
        <v>3178</v>
      </c>
      <c r="H26" s="3090">
        <f>SUMIF(79:79,G26,80:80)-SUMIF(79:79,C26,80:80)+100</f>
        <v>98</v>
      </c>
      <c r="I26" s="3091" t="s">
        <v>3179</v>
      </c>
      <c r="J26" s="3090">
        <f>SUMIF(79:79,I26,80:80)-SUMIF(79:79,C26,80:80)+100</f>
        <v>98</v>
      </c>
      <c r="K26" s="3061">
        <v>2</v>
      </c>
      <c r="L26" s="3075"/>
      <c r="M26" s="3025"/>
      <c r="N26" s="3025"/>
      <c r="O26" s="3025"/>
      <c r="P26" s="3631" t="s">
        <v>3180</v>
      </c>
      <c r="Q26" s="3083" t="str">
        <f t="shared" si="11"/>
        <v>配套类型</v>
      </c>
      <c r="R26" s="3084" t="s">
        <v>3153</v>
      </c>
      <c r="S26" s="3085">
        <f t="shared" ref="S26:S36" si="12">F26</f>
        <v>98</v>
      </c>
      <c r="T26" s="3084" t="s">
        <v>3153</v>
      </c>
      <c r="U26" s="3085">
        <f t="shared" ref="U26:U36" si="13">H26</f>
        <v>98</v>
      </c>
      <c r="V26" s="3084" t="s">
        <v>3153</v>
      </c>
      <c r="W26" s="3085">
        <f t="shared" ref="W26:W36" si="14">J26</f>
        <v>98</v>
      </c>
      <c r="X26" s="3026"/>
      <c r="Y26" s="3632" t="s">
        <v>3181</v>
      </c>
      <c r="Z26" s="3086" t="str">
        <f t="shared" ref="Z26:Z36" si="15">Q26</f>
        <v>配套类型</v>
      </c>
      <c r="AA26" s="3087">
        <f t="shared" si="3"/>
        <v>1.0204081632653061</v>
      </c>
      <c r="AB26" s="3087">
        <f t="shared" si="4"/>
        <v>1.0204081632653061</v>
      </c>
      <c r="AC26" s="3087">
        <f t="shared" si="5"/>
        <v>1.0204081632653061</v>
      </c>
    </row>
    <row r="27" spans="1:29" s="3131" customFormat="1" ht="15">
      <c r="A27" s="3122"/>
      <c r="B27" s="3123" t="s">
        <v>3182</v>
      </c>
      <c r="C27" s="3124"/>
      <c r="D27" s="3059">
        <v>100</v>
      </c>
      <c r="E27" s="3124"/>
      <c r="F27" s="3111">
        <f>SUMIF(81:81,E27,82:82)-SUMIF(81:81,C27,82:82)+100</f>
        <v>100</v>
      </c>
      <c r="G27" s="3124"/>
      <c r="H27" s="3074">
        <f>SUMIF(81:81,G27,82:82)-SUMIF(81:81,C27,82:82)+100</f>
        <v>100</v>
      </c>
      <c r="I27" s="3124"/>
      <c r="J27" s="3074">
        <f>SUMIF(81:81,I27,82:82)-SUMIF(81:81,C27,82:82)+100</f>
        <v>100</v>
      </c>
      <c r="K27" s="3068"/>
      <c r="L27" s="3069"/>
      <c r="M27" s="3125"/>
      <c r="N27" s="3125"/>
      <c r="O27" s="3125"/>
      <c r="P27" s="3632"/>
      <c r="Q27" s="3126" t="str">
        <f t="shared" si="11"/>
        <v>项目停车位配比</v>
      </c>
      <c r="R27" s="3127" t="s">
        <v>3153</v>
      </c>
      <c r="S27" s="3128">
        <f t="shared" si="12"/>
        <v>100</v>
      </c>
      <c r="T27" s="3127" t="s">
        <v>3153</v>
      </c>
      <c r="U27" s="3128">
        <f t="shared" si="13"/>
        <v>100</v>
      </c>
      <c r="V27" s="3127" t="s">
        <v>3153</v>
      </c>
      <c r="W27" s="3128">
        <f t="shared" si="14"/>
        <v>100</v>
      </c>
      <c r="X27" s="3129"/>
      <c r="Y27" s="3632"/>
      <c r="Z27" s="3130" t="str">
        <f t="shared" si="15"/>
        <v>项目停车位配比</v>
      </c>
      <c r="AA27" s="3087">
        <f t="shared" si="3"/>
        <v>1</v>
      </c>
      <c r="AB27" s="3087">
        <f t="shared" si="4"/>
        <v>1</v>
      </c>
      <c r="AC27" s="3087">
        <f t="shared" si="5"/>
        <v>1</v>
      </c>
    </row>
    <row r="28" spans="1:29" ht="15">
      <c r="A28" s="3132"/>
      <c r="B28" s="3123" t="s">
        <v>3183</v>
      </c>
      <c r="C28" s="3133" t="s">
        <v>3184</v>
      </c>
      <c r="D28" s="3074">
        <v>100</v>
      </c>
      <c r="E28" s="3133" t="s">
        <v>3184</v>
      </c>
      <c r="F28" s="3111">
        <f>SUMIF(83:83,E28,84:84)-SUMIF(83:83,C28,84:84)+100</f>
        <v>100</v>
      </c>
      <c r="G28" s="3133" t="s">
        <v>3184</v>
      </c>
      <c r="H28" s="3074">
        <f>SUMIF(83:83,G28,84:84)-SUMIF(83:83,C28,84:84)+100</f>
        <v>100</v>
      </c>
      <c r="I28" s="3133" t="s">
        <v>3184</v>
      </c>
      <c r="J28" s="3074">
        <f>SUMIF(83:83,I28,84:84)-SUMIF(83:83,C28,84:84)+100</f>
        <v>100</v>
      </c>
      <c r="K28" s="3061">
        <v>3</v>
      </c>
      <c r="L28" s="3075"/>
      <c r="M28" s="3025"/>
      <c r="N28" s="3025"/>
      <c r="O28" s="3025"/>
      <c r="P28" s="3632"/>
      <c r="Q28" s="3083" t="str">
        <f t="shared" si="11"/>
        <v>公共部分装修</v>
      </c>
      <c r="R28" s="3084" t="s">
        <v>3153</v>
      </c>
      <c r="S28" s="3085">
        <f t="shared" si="12"/>
        <v>100</v>
      </c>
      <c r="T28" s="3084" t="s">
        <v>3153</v>
      </c>
      <c r="U28" s="3085">
        <f t="shared" si="13"/>
        <v>100</v>
      </c>
      <c r="V28" s="3084" t="s">
        <v>3153</v>
      </c>
      <c r="W28" s="3085">
        <f t="shared" si="14"/>
        <v>100</v>
      </c>
      <c r="X28" s="3026"/>
      <c r="Y28" s="3632"/>
      <c r="Z28" s="3086" t="str">
        <f t="shared" si="15"/>
        <v>公共部分装修</v>
      </c>
      <c r="AA28" s="3087">
        <f t="shared" si="3"/>
        <v>1</v>
      </c>
      <c r="AB28" s="3087">
        <f t="shared" si="4"/>
        <v>1</v>
      </c>
      <c r="AC28" s="3087">
        <f t="shared" si="5"/>
        <v>1</v>
      </c>
    </row>
    <row r="29" spans="1:29" ht="15">
      <c r="A29" s="3132"/>
      <c r="B29" s="3123" t="s">
        <v>3185</v>
      </c>
      <c r="C29" s="3134">
        <v>1</v>
      </c>
      <c r="D29" s="3074">
        <v>100</v>
      </c>
      <c r="E29" s="3134">
        <f>ROUND(1-(2017-E34)/60,2)</f>
        <v>0.93</v>
      </c>
      <c r="F29" s="3111">
        <f>LOOKUP(E29,86:86,87:87)-LOOKUP(C29,86:86,87:87)+100</f>
        <v>100</v>
      </c>
      <c r="G29" s="3134">
        <f>ROUND(1-(2017-G34)/60,2)</f>
        <v>0.8</v>
      </c>
      <c r="H29" s="3111">
        <f>LOOKUP(G29,86:86,87:87)-LOOKUP(C29,86:86,87:87)+100</f>
        <v>99</v>
      </c>
      <c r="I29" s="3134">
        <f>ROUND(1-(2017-I34)/60,2)</f>
        <v>0.93</v>
      </c>
      <c r="J29" s="3074">
        <f>LOOKUP(I29,86:86,87:87)-LOOKUP(C29,86:86,87:87)+100</f>
        <v>100</v>
      </c>
      <c r="K29" s="3061">
        <v>1</v>
      </c>
      <c r="L29" s="3075"/>
      <c r="M29" s="3025"/>
      <c r="N29" s="3025"/>
      <c r="O29" s="3025"/>
      <c r="P29" s="3632"/>
      <c r="Q29" s="3083" t="str">
        <f t="shared" si="11"/>
        <v>成新率</v>
      </c>
      <c r="R29" s="3084" t="s">
        <v>3157</v>
      </c>
      <c r="S29" s="3085">
        <f t="shared" si="12"/>
        <v>100</v>
      </c>
      <c r="T29" s="3084" t="s">
        <v>3157</v>
      </c>
      <c r="U29" s="3085">
        <f t="shared" si="13"/>
        <v>99</v>
      </c>
      <c r="V29" s="3084" t="s">
        <v>3157</v>
      </c>
      <c r="W29" s="3085">
        <f t="shared" si="14"/>
        <v>100</v>
      </c>
      <c r="X29" s="3026"/>
      <c r="Y29" s="3632"/>
      <c r="Z29" s="3086" t="str">
        <f t="shared" si="15"/>
        <v>成新率</v>
      </c>
      <c r="AA29" s="3087">
        <f t="shared" si="3"/>
        <v>1</v>
      </c>
      <c r="AB29" s="3087">
        <f t="shared" si="4"/>
        <v>1.0101010101010102</v>
      </c>
      <c r="AC29" s="3087">
        <f t="shared" si="5"/>
        <v>1</v>
      </c>
    </row>
    <row r="30" spans="1:29" ht="15">
      <c r="A30" s="3132"/>
      <c r="B30" s="3123" t="s">
        <v>3186</v>
      </c>
      <c r="C30" s="3135"/>
      <c r="D30" s="3074">
        <v>100</v>
      </c>
      <c r="E30" s="3135"/>
      <c r="F30" s="3111">
        <f>SUMIF(88:88,E30,89:89)-SUMIF(88:88,C30,89:89)+100</f>
        <v>100</v>
      </c>
      <c r="G30" s="3135"/>
      <c r="H30" s="3074">
        <f>SUMIF(88:88,E30,89:89)-SUMIF(88:88,C30,89:89)+100</f>
        <v>100</v>
      </c>
      <c r="I30" s="3135"/>
      <c r="J30" s="3074">
        <f>SUMIF(88:88,E30,89:89)-SUMIF(88:88,C30,89:89)+100</f>
        <v>100</v>
      </c>
      <c r="K30" s="3061">
        <v>3</v>
      </c>
      <c r="L30" s="3075"/>
      <c r="M30" s="3025"/>
      <c r="N30" s="3025"/>
      <c r="O30" s="3025"/>
      <c r="P30" s="3632"/>
      <c r="Q30" s="3083" t="str">
        <f t="shared" si="11"/>
        <v>物业等级</v>
      </c>
      <c r="R30" s="3084" t="s">
        <v>3153</v>
      </c>
      <c r="S30" s="3085">
        <f t="shared" si="12"/>
        <v>100</v>
      </c>
      <c r="T30" s="3084" t="s">
        <v>3153</v>
      </c>
      <c r="U30" s="3085">
        <f t="shared" si="13"/>
        <v>100</v>
      </c>
      <c r="V30" s="3084" t="s">
        <v>3153</v>
      </c>
      <c r="W30" s="3085">
        <f t="shared" si="14"/>
        <v>100</v>
      </c>
      <c r="X30" s="3026"/>
      <c r="Y30" s="3632"/>
      <c r="Z30" s="3086" t="str">
        <f t="shared" si="15"/>
        <v>物业等级</v>
      </c>
      <c r="AA30" s="3087">
        <f t="shared" si="3"/>
        <v>1</v>
      </c>
      <c r="AB30" s="3087">
        <f t="shared" si="4"/>
        <v>1</v>
      </c>
      <c r="AC30" s="3087">
        <f t="shared" si="5"/>
        <v>1</v>
      </c>
    </row>
    <row r="31" spans="1:29" s="3046" customFormat="1" ht="15">
      <c r="A31" s="3136"/>
      <c r="B31" s="3123" t="s">
        <v>3187</v>
      </c>
      <c r="C31" s="3137">
        <v>56</v>
      </c>
      <c r="D31" s="3059">
        <v>100</v>
      </c>
      <c r="E31" s="3137">
        <v>32</v>
      </c>
      <c r="F31" s="3111">
        <f>LOOKUP(E31,91:91,92:92)-LOOKUP(C31,91:91,92:92)+100</f>
        <v>100</v>
      </c>
      <c r="G31" s="3137">
        <v>99</v>
      </c>
      <c r="H31" s="3074">
        <f>LOOKUP(G31,91:91,92:92)-LOOKUP(C31,91:91,92:92)+100</f>
        <v>101</v>
      </c>
      <c r="I31" s="3137">
        <v>38.78</v>
      </c>
      <c r="J31" s="3074">
        <f>LOOKUP(I31,91:91,92:92)-LOOKUP(C31,91:91,92:92)+100</f>
        <v>100</v>
      </c>
      <c r="K31" s="3061">
        <v>3</v>
      </c>
      <c r="L31" s="3040"/>
      <c r="M31" s="3041"/>
      <c r="N31" s="3041"/>
      <c r="O31" s="3041"/>
      <c r="P31" s="3632"/>
      <c r="Q31" s="3054" t="str">
        <f t="shared" si="11"/>
        <v>停车位面积</v>
      </c>
      <c r="R31" s="3042" t="s">
        <v>3153</v>
      </c>
      <c r="S31" s="3043">
        <f t="shared" si="12"/>
        <v>100</v>
      </c>
      <c r="T31" s="3042" t="s">
        <v>3153</v>
      </c>
      <c r="U31" s="3043">
        <f t="shared" si="13"/>
        <v>101</v>
      </c>
      <c r="V31" s="3042" t="s">
        <v>3153</v>
      </c>
      <c r="W31" s="3043">
        <f t="shared" si="14"/>
        <v>100</v>
      </c>
      <c r="X31" s="3044"/>
      <c r="Y31" s="3632"/>
      <c r="Z31" s="3055" t="str">
        <f t="shared" si="15"/>
        <v>停车位面积</v>
      </c>
      <c r="AA31" s="3045">
        <f t="shared" si="3"/>
        <v>1</v>
      </c>
      <c r="AB31" s="3045">
        <f t="shared" si="4"/>
        <v>0.99009900990099009</v>
      </c>
      <c r="AC31" s="3045">
        <f t="shared" si="5"/>
        <v>1</v>
      </c>
    </row>
    <row r="32" spans="1:29" ht="15">
      <c r="A32" s="3132"/>
      <c r="B32" s="3123" t="s">
        <v>3188</v>
      </c>
      <c r="C32" s="3133" t="s">
        <v>3189</v>
      </c>
      <c r="D32" s="3074">
        <v>100</v>
      </c>
      <c r="E32" s="3133" t="s">
        <v>3189</v>
      </c>
      <c r="F32" s="3111">
        <f>SUMIF(93:93,E32,94:94)-SUMIF(93:93,C32,94:94)+100</f>
        <v>100</v>
      </c>
      <c r="G32" s="3133" t="s">
        <v>3189</v>
      </c>
      <c r="H32" s="3074">
        <f>SUMIF(93:93,G32,94:94)-SUMIF(93:93,C32,94:94)+100</f>
        <v>100</v>
      </c>
      <c r="I32" s="3133" t="s">
        <v>3189</v>
      </c>
      <c r="J32" s="3074">
        <f>SUMIF(93:93,I32,94:94)-SUMIF(93:93,C32,94:94)+100</f>
        <v>100</v>
      </c>
      <c r="K32" s="3061">
        <v>5</v>
      </c>
      <c r="L32" s="3075"/>
      <c r="M32" s="3025"/>
      <c r="N32" s="3025"/>
      <c r="O32" s="3025"/>
      <c r="P32" s="3632" t="s">
        <v>3180</v>
      </c>
      <c r="Q32" s="3083" t="str">
        <f t="shared" si="11"/>
        <v>车位类型</v>
      </c>
      <c r="R32" s="3084" t="s">
        <v>3153</v>
      </c>
      <c r="S32" s="3085">
        <f t="shared" si="12"/>
        <v>100</v>
      </c>
      <c r="T32" s="3084" t="s">
        <v>3153</v>
      </c>
      <c r="U32" s="3085">
        <f t="shared" si="13"/>
        <v>100</v>
      </c>
      <c r="V32" s="3084" t="s">
        <v>3153</v>
      </c>
      <c r="W32" s="3085">
        <f t="shared" si="14"/>
        <v>100</v>
      </c>
      <c r="X32" s="3026"/>
      <c r="Y32" s="3632" t="s">
        <v>3180</v>
      </c>
      <c r="Z32" s="3086" t="str">
        <f t="shared" si="15"/>
        <v>车位类型</v>
      </c>
      <c r="AA32" s="3087">
        <f t="shared" si="3"/>
        <v>1</v>
      </c>
      <c r="AB32" s="3087">
        <f t="shared" si="4"/>
        <v>1</v>
      </c>
      <c r="AC32" s="3087">
        <f t="shared" si="5"/>
        <v>1</v>
      </c>
    </row>
    <row r="33" spans="1:29" ht="15">
      <c r="A33" s="3132"/>
      <c r="B33" s="3123" t="s">
        <v>3190</v>
      </c>
      <c r="C33" s="3133" t="s">
        <v>3013</v>
      </c>
      <c r="D33" s="3074">
        <v>100</v>
      </c>
      <c r="E33" s="3133" t="s">
        <v>3191</v>
      </c>
      <c r="F33" s="3111">
        <f>SUMIF(95:95,E33,96:96)-SUMIF(95:95,C33,96:96)+100</f>
        <v>100</v>
      </c>
      <c r="G33" s="3133" t="s">
        <v>3191</v>
      </c>
      <c r="H33" s="3074">
        <f>SUMIF(95:95,G33,96:96)-SUMIF(95:95,C33,96:96)+100</f>
        <v>100</v>
      </c>
      <c r="I33" s="3133" t="s">
        <v>3191</v>
      </c>
      <c r="J33" s="3074">
        <f>SUMIF(95:95,I33,96:96)-SUMIF(95:95,C33,96:96)+100</f>
        <v>100</v>
      </c>
      <c r="K33" s="3061">
        <v>1</v>
      </c>
      <c r="L33" s="3075"/>
      <c r="M33" s="3025"/>
      <c r="N33" s="3025"/>
      <c r="O33" s="3025"/>
      <c r="P33" s="3632"/>
      <c r="Q33" s="3083" t="str">
        <f t="shared" si="11"/>
        <v>是否直接入户</v>
      </c>
      <c r="R33" s="3084" t="s">
        <v>3153</v>
      </c>
      <c r="S33" s="3085">
        <f t="shared" si="12"/>
        <v>100</v>
      </c>
      <c r="T33" s="3084" t="s">
        <v>3153</v>
      </c>
      <c r="U33" s="3085">
        <f t="shared" si="13"/>
        <v>100</v>
      </c>
      <c r="V33" s="3084" t="s">
        <v>3153</v>
      </c>
      <c r="W33" s="3085">
        <f t="shared" si="14"/>
        <v>100</v>
      </c>
      <c r="X33" s="3026"/>
      <c r="Y33" s="3632"/>
      <c r="Z33" s="3086" t="str">
        <f t="shared" si="15"/>
        <v>是否直接入户</v>
      </c>
      <c r="AA33" s="3087">
        <f t="shared" si="3"/>
        <v>1</v>
      </c>
      <c r="AB33" s="3087">
        <f t="shared" si="4"/>
        <v>1</v>
      </c>
      <c r="AC33" s="3087">
        <f t="shared" si="5"/>
        <v>1</v>
      </c>
    </row>
    <row r="34" spans="1:29" ht="15">
      <c r="A34" s="3132"/>
      <c r="B34" s="3112"/>
      <c r="C34" s="3067"/>
      <c r="D34" s="3074">
        <v>100</v>
      </c>
      <c r="E34" s="3067">
        <v>2013</v>
      </c>
      <c r="F34" s="3111">
        <f>SUMIF(97:97,E34,98:98)-SUMIF(97:97,C34,98:98)+100</f>
        <v>100</v>
      </c>
      <c r="G34" s="3067">
        <v>2005</v>
      </c>
      <c r="H34" s="3074">
        <f>SUMIF(97:97,G34,98:98)-SUMIF(97:97,C34,98:98)+100</f>
        <v>100</v>
      </c>
      <c r="I34" s="3067">
        <v>2013</v>
      </c>
      <c r="J34" s="3074">
        <f>SUMIF(97:97,I34,98:98)-SUMIF(97:97,C34,98:98)+100</f>
        <v>100</v>
      </c>
      <c r="K34" s="3068"/>
      <c r="L34" s="3075"/>
      <c r="M34" s="3025"/>
      <c r="N34" s="3025"/>
      <c r="O34" s="3025"/>
      <c r="P34" s="3632"/>
      <c r="Q34" s="3083">
        <f t="shared" si="11"/>
        <v>0</v>
      </c>
      <c r="R34" s="3084" t="s">
        <v>3153</v>
      </c>
      <c r="S34" s="3085">
        <f t="shared" si="12"/>
        <v>100</v>
      </c>
      <c r="T34" s="3084" t="s">
        <v>3153</v>
      </c>
      <c r="U34" s="3085">
        <f t="shared" si="13"/>
        <v>100</v>
      </c>
      <c r="V34" s="3084" t="s">
        <v>3153</v>
      </c>
      <c r="W34" s="3085">
        <f t="shared" si="14"/>
        <v>100</v>
      </c>
      <c r="X34" s="3026"/>
      <c r="Y34" s="3632"/>
      <c r="Z34" s="3086">
        <f t="shared" si="15"/>
        <v>0</v>
      </c>
      <c r="AA34" s="3087">
        <f t="shared" si="3"/>
        <v>1</v>
      </c>
      <c r="AB34" s="3087">
        <f t="shared" si="4"/>
        <v>1</v>
      </c>
      <c r="AC34" s="3087">
        <f t="shared" si="5"/>
        <v>1</v>
      </c>
    </row>
    <row r="35" spans="1:29" s="3131" customFormat="1" ht="15">
      <c r="A35" s="3122"/>
      <c r="B35" s="3112"/>
      <c r="C35" s="3067"/>
      <c r="D35" s="3074">
        <v>100</v>
      </c>
      <c r="E35" s="3067"/>
      <c r="F35" s="3111">
        <f>SUMIF(99:99,E35,100:100)-SUMIF(99:99,C35,100:100)+100</f>
        <v>100</v>
      </c>
      <c r="G35" s="3067"/>
      <c r="H35" s="3074">
        <f>SUMIF(99:99,G35,100:100)-SUMIF(99:99,C35,100:100)+100</f>
        <v>100</v>
      </c>
      <c r="I35" s="3067"/>
      <c r="J35" s="3074">
        <f>SUMIF(99:99,I35,100:100)-SUMIF(99:99,C35,100:100)+100</f>
        <v>100</v>
      </c>
      <c r="K35" s="3068"/>
      <c r="L35" s="3069"/>
      <c r="M35" s="3125"/>
      <c r="N35" s="3125"/>
      <c r="O35" s="3125"/>
      <c r="P35" s="3632"/>
      <c r="Q35" s="3126">
        <f t="shared" si="11"/>
        <v>0</v>
      </c>
      <c r="R35" s="3127" t="s">
        <v>3153</v>
      </c>
      <c r="S35" s="3128">
        <f t="shared" si="12"/>
        <v>100</v>
      </c>
      <c r="T35" s="3127" t="s">
        <v>3153</v>
      </c>
      <c r="U35" s="3128">
        <f t="shared" si="13"/>
        <v>100</v>
      </c>
      <c r="V35" s="3127" t="s">
        <v>3153</v>
      </c>
      <c r="W35" s="3128">
        <f t="shared" si="14"/>
        <v>100</v>
      </c>
      <c r="X35" s="3129"/>
      <c r="Y35" s="3632"/>
      <c r="Z35" s="3130">
        <f t="shared" si="15"/>
        <v>0</v>
      </c>
      <c r="AA35" s="3087">
        <f t="shared" si="3"/>
        <v>1</v>
      </c>
      <c r="AB35" s="3087">
        <f t="shared" si="4"/>
        <v>1</v>
      </c>
      <c r="AC35" s="3087">
        <f t="shared" si="5"/>
        <v>1</v>
      </c>
    </row>
    <row r="36" spans="1:29" ht="15.75" thickBot="1">
      <c r="A36" s="3138"/>
      <c r="B36" s="3114"/>
      <c r="C36" s="3073"/>
      <c r="D36" s="3074">
        <v>100</v>
      </c>
      <c r="E36" s="3067"/>
      <c r="F36" s="3111">
        <f>SUMIF(101:101,E36,102:102)-SUMIF(101:101,C36,102:102)+100</f>
        <v>100</v>
      </c>
      <c r="G36" s="3067"/>
      <c r="H36" s="3074">
        <f>SUMIF(101:101,G36,102:102)-SUMIF(101:101,C36,102:102)+100</f>
        <v>100</v>
      </c>
      <c r="I36" s="3067"/>
      <c r="J36" s="3074">
        <f>SUMIF(101:101,I36,102:102)-SUMIF(101:101,C36,102:102)+100</f>
        <v>100</v>
      </c>
      <c r="K36" s="3068"/>
      <c r="L36" s="3075"/>
      <c r="M36" s="3025"/>
      <c r="N36" s="3025"/>
      <c r="O36" s="3025"/>
      <c r="P36" s="3632"/>
      <c r="Q36" s="3083">
        <f t="shared" si="11"/>
        <v>0</v>
      </c>
      <c r="R36" s="3084" t="s">
        <v>3153</v>
      </c>
      <c r="S36" s="3085">
        <f t="shared" si="12"/>
        <v>100</v>
      </c>
      <c r="T36" s="3084" t="s">
        <v>3153</v>
      </c>
      <c r="U36" s="3085">
        <f t="shared" si="13"/>
        <v>100</v>
      </c>
      <c r="V36" s="3084" t="s">
        <v>3153</v>
      </c>
      <c r="W36" s="3085">
        <f t="shared" si="14"/>
        <v>100</v>
      </c>
      <c r="X36" s="3026"/>
      <c r="Y36" s="3632"/>
      <c r="Z36" s="3086">
        <f t="shared" si="15"/>
        <v>0</v>
      </c>
      <c r="AA36" s="3087">
        <f t="shared" si="3"/>
        <v>1</v>
      </c>
      <c r="AB36" s="3087">
        <f t="shared" si="4"/>
        <v>1</v>
      </c>
      <c r="AC36" s="3087">
        <f t="shared" si="5"/>
        <v>1</v>
      </c>
    </row>
    <row r="37" spans="1:29" ht="15">
      <c r="A37" s="3139" t="s">
        <v>3192</v>
      </c>
      <c r="B37" s="3140" t="s">
        <v>3193</v>
      </c>
      <c r="C37" s="3141" t="s">
        <v>554</v>
      </c>
      <c r="D37" s="3142"/>
      <c r="E37" s="3143">
        <v>412000</v>
      </c>
      <c r="F37" s="3144"/>
      <c r="G37" s="3145">
        <f>ROUND(655/14*10000,0)</f>
        <v>467857</v>
      </c>
      <c r="H37" s="3146"/>
      <c r="I37" s="3145">
        <f>ROUND(843.2/18*10000,0)</f>
        <v>468444</v>
      </c>
      <c r="J37" s="3146"/>
      <c r="K37" s="3147"/>
      <c r="L37" s="3148"/>
      <c r="M37" s="3149"/>
      <c r="N37" s="3025"/>
      <c r="O37" s="3149"/>
      <c r="P37" s="3627" t="str">
        <f>A37</f>
        <v>成交单价</v>
      </c>
      <c r="Q37" s="3627"/>
      <c r="R37" s="3633">
        <f>E37</f>
        <v>412000</v>
      </c>
      <c r="S37" s="3633"/>
      <c r="T37" s="3633">
        <f>G37</f>
        <v>467857</v>
      </c>
      <c r="U37" s="3633"/>
      <c r="V37" s="3633">
        <f>I37</f>
        <v>468444</v>
      </c>
      <c r="W37" s="3633"/>
      <c r="X37" s="3150"/>
      <c r="Y37" s="3151"/>
      <c r="Z37" s="3150"/>
      <c r="AA37" s="3150"/>
      <c r="AB37" s="3150"/>
      <c r="AC37" s="3150"/>
    </row>
    <row r="38" spans="1:29" ht="15.75" thickBot="1">
      <c r="A38" s="3152" t="s">
        <v>3194</v>
      </c>
      <c r="B38" s="3153" t="str">
        <f>B37</f>
        <v>元/车位</v>
      </c>
      <c r="C38" s="3154">
        <f>R39</f>
        <v>465810</v>
      </c>
      <c r="D38" s="3155"/>
      <c r="E38" s="3156">
        <f>R38</f>
        <v>422521</v>
      </c>
      <c r="F38" s="3156"/>
      <c r="G38" s="3154">
        <f>T38</f>
        <v>484699</v>
      </c>
      <c r="H38" s="3155"/>
      <c r="I38" s="3156">
        <f>V38</f>
        <v>490210</v>
      </c>
      <c r="J38" s="3155"/>
      <c r="K38" s="3157"/>
      <c r="L38" s="3148"/>
      <c r="M38" s="3149"/>
      <c r="N38" s="3149"/>
      <c r="O38" s="3149"/>
      <c r="P38" s="3627" t="str">
        <f>A38</f>
        <v>比较价值（元/平方米）</v>
      </c>
      <c r="Q38" s="3627"/>
      <c r="R38" s="3633">
        <f>IF(F1="售价",ROUND(PRODUCT(R37,AA7:AA36),0),ROUND(PRODUCT(R37,AA7:AA36),1))</f>
        <v>422521</v>
      </c>
      <c r="S38" s="3633"/>
      <c r="T38" s="3633">
        <f>IF(F1="售价",ROUND(PRODUCT(T37,AB7:AB36),0),ROUND(PRODUCT(T37,AB7:AB36),1))</f>
        <v>484699</v>
      </c>
      <c r="U38" s="3633"/>
      <c r="V38" s="3633">
        <f>IF(F1="售价",ROUND(PRODUCT(V37,AC7:AC36),0),ROUND(PRODUCT(V37,AC7:AC36),1))</f>
        <v>490210</v>
      </c>
      <c r="W38" s="3633"/>
      <c r="X38" s="3150"/>
      <c r="Y38" s="3150"/>
      <c r="Z38" s="3150"/>
      <c r="AA38" s="3150"/>
      <c r="AB38" s="3150"/>
      <c r="AC38" s="3150"/>
    </row>
    <row r="39" spans="1:29" ht="15.75" thickBot="1">
      <c r="A39" s="3158" t="s">
        <v>3195</v>
      </c>
      <c r="B39" s="3159"/>
      <c r="C39" s="3160">
        <f>R39</f>
        <v>465810</v>
      </c>
      <c r="D39" s="3160"/>
      <c r="E39" s="3160"/>
      <c r="F39" s="3160"/>
      <c r="G39" s="3160"/>
      <c r="H39" s="3160"/>
      <c r="I39" s="3160"/>
      <c r="J39" s="3160"/>
      <c r="K39" s="3161"/>
      <c r="L39" s="3148"/>
      <c r="M39" s="3149"/>
      <c r="N39" s="3149"/>
      <c r="O39" s="3149"/>
      <c r="P39" s="3634" t="str">
        <f>A39</f>
        <v>估价对象XX用房的比较价值（楼面单价，元/平方米）</v>
      </c>
      <c r="Q39" s="3635"/>
      <c r="R39" s="3636">
        <f>IF(F1="售价",ROUND(AVERAGE(R38:V38),0),ROUND(AVERAGE(R38:V38),1))</f>
        <v>465810</v>
      </c>
      <c r="S39" s="3636"/>
      <c r="T39" s="3636"/>
      <c r="U39" s="3636"/>
      <c r="V39" s="3636"/>
      <c r="W39" s="3636"/>
      <c r="X39" s="3150"/>
      <c r="Y39" s="3150"/>
      <c r="Z39" s="3150"/>
      <c r="AA39" s="3150"/>
      <c r="AB39" s="3150"/>
      <c r="AC39" s="3150"/>
    </row>
    <row r="40" spans="1:29">
      <c r="A40" s="3149"/>
      <c r="B40" s="3149"/>
      <c r="C40" s="3149"/>
      <c r="D40" s="3149"/>
      <c r="E40" s="3149"/>
      <c r="F40" s="3149"/>
      <c r="G40" s="3162"/>
      <c r="H40" s="3149"/>
      <c r="I40" s="3149"/>
      <c r="J40" s="3149"/>
      <c r="K40" s="3163"/>
      <c r="L40" s="3164"/>
      <c r="M40" s="3149"/>
      <c r="N40" s="3149"/>
      <c r="O40" s="3149"/>
      <c r="P40" s="3165"/>
      <c r="Q40" s="3149"/>
      <c r="R40" s="3149"/>
      <c r="S40" s="3149"/>
      <c r="T40" s="3149"/>
      <c r="U40" s="3149"/>
      <c r="V40" s="3149"/>
      <c r="W40" s="3149"/>
      <c r="X40" s="3149"/>
      <c r="Y40" s="3149"/>
      <c r="Z40" s="3149"/>
      <c r="AA40" s="3149"/>
      <c r="AB40" s="3149"/>
      <c r="AC40" s="3149"/>
    </row>
    <row r="41" spans="1:29">
      <c r="A41" s="3149"/>
      <c r="B41" s="3149"/>
      <c r="C41" s="3149"/>
      <c r="D41" s="3149"/>
      <c r="E41" s="3149"/>
      <c r="F41" s="3149"/>
      <c r="G41" s="3149"/>
      <c r="H41" s="3149"/>
      <c r="I41" s="3149"/>
      <c r="J41" s="3149"/>
      <c r="K41" s="3163"/>
      <c r="L41" s="3164"/>
      <c r="M41" s="3149"/>
      <c r="N41" s="3149"/>
      <c r="O41" s="3149"/>
      <c r="P41" s="3165"/>
      <c r="Q41" s="3149"/>
      <c r="R41" s="3149"/>
      <c r="S41" s="3149"/>
      <c r="T41" s="3149"/>
      <c r="U41" s="3149"/>
      <c r="V41" s="3149"/>
      <c r="W41" s="3149"/>
      <c r="X41" s="3149"/>
      <c r="Y41" s="3149"/>
      <c r="Z41" s="3149"/>
      <c r="AA41" s="3149"/>
      <c r="AB41" s="3149"/>
      <c r="AC41" s="3149"/>
    </row>
    <row r="42" spans="1:29" ht="13.5" customHeight="1">
      <c r="A42" s="3149"/>
      <c r="B42" s="3149"/>
      <c r="C42" s="3166" t="s">
        <v>3196</v>
      </c>
      <c r="D42" s="3167"/>
      <c r="E42" s="3168">
        <f>IF(E37&lt;E38,E38/E37-1,E37/E38-1)</f>
        <v>2.5536407766990399E-2</v>
      </c>
      <c r="F42" s="3169" t="str">
        <f>IF(OR(E42&gt;=0.3,E42&lt;=-0.3),"超过30%","")</f>
        <v/>
      </c>
      <c r="G42" s="3168">
        <f>IF(G37&lt;G38,G38/G37-1,G37/G38-1)</f>
        <v>3.5998178930741753E-2</v>
      </c>
      <c r="H42" s="3169" t="str">
        <f>IF(OR(G42&gt;=0.3,G42&lt;=-0.3),"超过30%","")</f>
        <v/>
      </c>
      <c r="I42" s="3168">
        <f>IF(I37&lt;I38,I38/I37-1,I37/I38-1)</f>
        <v>4.6464465336304883E-2</v>
      </c>
      <c r="J42" s="3169" t="str">
        <f>IF(OR(I42&gt;=0.3,I42&lt;=-0.3),"超过30%","")</f>
        <v/>
      </c>
      <c r="K42" s="3163"/>
      <c r="L42" s="3164"/>
      <c r="M42" s="3149"/>
      <c r="N42" s="3149"/>
      <c r="O42" s="3149"/>
      <c r="P42" s="3165"/>
      <c r="Q42" s="3149"/>
      <c r="R42" s="3149"/>
      <c r="S42" s="3149"/>
      <c r="T42" s="3149"/>
      <c r="U42" s="3149"/>
      <c r="V42" s="3149"/>
      <c r="W42" s="3149"/>
      <c r="X42" s="3149"/>
      <c r="Y42" s="3149"/>
      <c r="Z42" s="3149"/>
      <c r="AA42" s="3149"/>
      <c r="AB42" s="3149"/>
      <c r="AC42" s="3149"/>
    </row>
    <row r="43" spans="1:29" ht="13.5" customHeight="1">
      <c r="A43" s="3149"/>
      <c r="B43" s="3149"/>
      <c r="C43" s="3166" t="s">
        <v>3197</v>
      </c>
      <c r="D43" s="3170"/>
      <c r="E43" s="3168">
        <f>IF(E38&lt;G38,G38/E38-1,E38/G38-1)</f>
        <v>0.14715954946618037</v>
      </c>
      <c r="F43" s="3169" t="str">
        <f>IF(OR(E43&gt;=0.2,E43&lt;=-0.2),"超过20%","")</f>
        <v/>
      </c>
      <c r="G43" s="3168">
        <f>IF(G38&lt;I38,I38/G38-1,G38/I38-1)</f>
        <v>1.1369942995549831E-2</v>
      </c>
      <c r="H43" s="3169" t="str">
        <f>IF(OR(G43&gt;=0.2,G43&lt;=-0.2),"超过20%","")</f>
        <v/>
      </c>
      <c r="I43" s="3168">
        <f>IF(I38&lt;E38,E38/I38-1,I38/E38-1)</f>
        <v>0.1602026881504115</v>
      </c>
      <c r="J43" s="3169" t="str">
        <f>IF(OR(I43&gt;=0.2,I43&lt;=-0.2),"超过20%","")</f>
        <v/>
      </c>
      <c r="K43" s="3163"/>
      <c r="L43" s="3164"/>
      <c r="M43" s="3149"/>
      <c r="N43" s="3149"/>
      <c r="O43" s="3149"/>
      <c r="P43" s="3165"/>
      <c r="Q43" s="3149"/>
      <c r="R43" s="3149"/>
      <c r="S43" s="3149"/>
      <c r="T43" s="3149"/>
      <c r="U43" s="3149"/>
      <c r="V43" s="3149"/>
      <c r="W43" s="3149"/>
      <c r="X43" s="3149"/>
      <c r="Y43" s="3149"/>
      <c r="Z43" s="3149"/>
      <c r="AA43" s="3149"/>
      <c r="AB43" s="3149"/>
      <c r="AC43" s="3149"/>
    </row>
    <row r="44" spans="1:29" s="3175" customFormat="1" ht="13.5" customHeight="1">
      <c r="A44" s="3171"/>
      <c r="B44" s="3171"/>
      <c r="C44" s="3166" t="s">
        <v>3198</v>
      </c>
      <c r="D44" s="3170"/>
      <c r="E44" s="3168">
        <f>IF(E37&lt;G37,G37/E37-1,E37/G37-1)</f>
        <v>0.13557524271844668</v>
      </c>
      <c r="F44" s="3169" t="str">
        <f>IF(OR(E44&gt;=0.3,E44&lt;=-0.3),"超过30%","")</f>
        <v/>
      </c>
      <c r="G44" s="3168">
        <f>IF(G37&lt;I37,I37/G37-1,G37/I37-1)</f>
        <v>1.2546568716509388E-3</v>
      </c>
      <c r="H44" s="3169" t="str">
        <f>IF(OR(G44&gt;=0.3,G44&lt;=-0.3),"超过30%","")</f>
        <v/>
      </c>
      <c r="I44" s="3168">
        <f>IF(I37&lt;E37,E37/I37-1,I37/E37-1)</f>
        <v>0.13700000000000001</v>
      </c>
      <c r="J44" s="3169" t="str">
        <f>IF(OR(I44&gt;=0.3,I44&lt;=-0.3),"超过30%","")</f>
        <v/>
      </c>
      <c r="K44" s="3172"/>
      <c r="L44" s="3173"/>
      <c r="M44" s="3171"/>
      <c r="N44" s="3171"/>
      <c r="O44" s="3171"/>
      <c r="P44" s="3174"/>
      <c r="Q44" s="3171"/>
      <c r="R44" s="3171"/>
      <c r="S44" s="3171"/>
      <c r="T44" s="3171"/>
      <c r="U44" s="3171"/>
      <c r="V44" s="3171"/>
      <c r="W44" s="3171"/>
      <c r="X44" s="3171"/>
      <c r="Y44" s="3171"/>
      <c r="Z44" s="3171"/>
      <c r="AA44" s="3171"/>
      <c r="AB44" s="3171"/>
      <c r="AC44" s="3171"/>
    </row>
    <row r="45" spans="1:29" s="3175" customFormat="1">
      <c r="A45" s="3171"/>
      <c r="B45" s="3176"/>
      <c r="C45" s="3177"/>
      <c r="D45" s="3171"/>
      <c r="E45" s="3171"/>
      <c r="F45" s="3171"/>
      <c r="G45" s="3171"/>
      <c r="H45" s="3171"/>
      <c r="I45" s="3171"/>
      <c r="J45" s="3171"/>
      <c r="K45" s="3172"/>
      <c r="L45" s="3173"/>
      <c r="M45" s="3171"/>
      <c r="N45" s="3171"/>
      <c r="O45" s="3171"/>
      <c r="P45" s="3174"/>
      <c r="Q45" s="3171"/>
      <c r="R45" s="3171"/>
      <c r="S45" s="3171"/>
      <c r="T45" s="3171"/>
      <c r="U45" s="3171"/>
      <c r="V45" s="3171"/>
      <c r="W45" s="3171"/>
      <c r="X45" s="3171"/>
      <c r="Y45" s="3171"/>
      <c r="Z45" s="3171"/>
      <c r="AA45" s="3171"/>
      <c r="AB45" s="3171"/>
      <c r="AC45" s="3171"/>
    </row>
    <row r="46" spans="1:29">
      <c r="A46" s="3149"/>
      <c r="B46" s="3176"/>
      <c r="C46" s="3177"/>
      <c r="D46" s="3149"/>
      <c r="E46" s="3149"/>
      <c r="F46" s="3149"/>
      <c r="G46" s="3149"/>
      <c r="H46" s="3149"/>
      <c r="I46" s="3149"/>
      <c r="J46" s="3149"/>
      <c r="K46" s="3163"/>
      <c r="L46" s="3164"/>
      <c r="M46" s="3149"/>
      <c r="N46" s="3149"/>
      <c r="O46" s="3149"/>
      <c r="P46" s="3165"/>
      <c r="Q46" s="3149"/>
      <c r="R46" s="3149"/>
      <c r="S46" s="3149"/>
      <c r="T46" s="3149"/>
      <c r="U46" s="3149"/>
      <c r="V46" s="3149"/>
      <c r="W46" s="3149"/>
      <c r="X46" s="3149"/>
      <c r="Y46" s="3149"/>
      <c r="Z46" s="3149"/>
      <c r="AA46" s="3149"/>
      <c r="AB46" s="3149"/>
      <c r="AC46" s="3149"/>
    </row>
    <row r="47" spans="1:29" ht="21.75" thickBot="1">
      <c r="A47" s="3178" t="s">
        <v>3199</v>
      </c>
      <c r="B47" s="3149"/>
      <c r="C47" s="3179"/>
      <c r="D47" s="3179"/>
      <c r="E47" s="3179"/>
      <c r="F47" s="3180"/>
      <c r="G47" s="3180"/>
      <c r="H47" s="3179"/>
      <c r="I47" s="3179"/>
      <c r="J47" s="3179"/>
      <c r="K47" s="3181"/>
      <c r="L47" s="3182"/>
      <c r="M47" s="3179"/>
      <c r="N47" s="3179"/>
      <c r="O47" s="3179"/>
      <c r="P47" s="3183"/>
      <c r="Q47" s="3184"/>
      <c r="R47" s="3149"/>
      <c r="S47" s="3149"/>
      <c r="T47" s="3149"/>
      <c r="U47" s="3149"/>
      <c r="V47" s="3149"/>
      <c r="W47" s="3149"/>
      <c r="X47" s="3149"/>
      <c r="Y47" s="3149"/>
      <c r="Z47" s="3149"/>
      <c r="AA47" s="3149"/>
      <c r="AB47" s="3149"/>
      <c r="AC47" s="3149"/>
    </row>
    <row r="48" spans="1:29" s="3191" customFormat="1" ht="15">
      <c r="A48" s="3185" t="s">
        <v>3200</v>
      </c>
      <c r="B48" s="3186"/>
      <c r="C48" s="3187" t="str">
        <f>YEAR(C7)&amp;"-"&amp;MONTH(C7)</f>
        <v>2017-7</v>
      </c>
      <c r="D48" s="3188">
        <f>EDATE(C48,-1)</f>
        <v>42887</v>
      </c>
      <c r="E48" s="3188">
        <f t="shared" ref="E48:O48" si="16">EDATE(D48,-1)</f>
        <v>42856</v>
      </c>
      <c r="F48" s="3188">
        <f t="shared" si="16"/>
        <v>42826</v>
      </c>
      <c r="G48" s="3188">
        <f t="shared" si="16"/>
        <v>42795</v>
      </c>
      <c r="H48" s="3188">
        <f t="shared" si="16"/>
        <v>42767</v>
      </c>
      <c r="I48" s="3188">
        <f t="shared" si="16"/>
        <v>42736</v>
      </c>
      <c r="J48" s="3188">
        <f t="shared" si="16"/>
        <v>42705</v>
      </c>
      <c r="K48" s="3188">
        <f t="shared" si="16"/>
        <v>42675</v>
      </c>
      <c r="L48" s="3188">
        <f t="shared" si="16"/>
        <v>42644</v>
      </c>
      <c r="M48" s="3188">
        <f t="shared" si="16"/>
        <v>42614</v>
      </c>
      <c r="N48" s="3188">
        <f t="shared" si="16"/>
        <v>42583</v>
      </c>
      <c r="O48" s="3188">
        <f t="shared" si="16"/>
        <v>42552</v>
      </c>
      <c r="P48" s="3189"/>
      <c r="Q48" s="3190"/>
      <c r="R48" s="3190"/>
      <c r="S48" s="3190"/>
      <c r="T48" s="3190"/>
      <c r="U48" s="3190"/>
      <c r="V48" s="3190"/>
      <c r="W48" s="3190"/>
      <c r="X48" s="3190"/>
      <c r="Y48" s="3190"/>
      <c r="Z48" s="3190"/>
      <c r="AA48" s="3190"/>
      <c r="AB48" s="3190"/>
      <c r="AC48" s="3190"/>
    </row>
    <row r="49" spans="1:29" s="3046" customFormat="1" ht="15">
      <c r="A49" s="3192"/>
      <c r="B49" s="3193"/>
      <c r="C49" s="3194">
        <v>100</v>
      </c>
      <c r="D49" s="3195">
        <v>99.5</v>
      </c>
      <c r="E49" s="3195">
        <v>99.5</v>
      </c>
      <c r="F49" s="3195">
        <v>99.5</v>
      </c>
      <c r="G49" s="3195">
        <v>99</v>
      </c>
      <c r="H49" s="3195">
        <v>99</v>
      </c>
      <c r="I49" s="3195">
        <v>99</v>
      </c>
      <c r="J49" s="3195">
        <v>98.5</v>
      </c>
      <c r="K49" s="3195">
        <v>98.5</v>
      </c>
      <c r="L49" s="3195">
        <v>98.5</v>
      </c>
      <c r="M49" s="3196"/>
      <c r="N49" s="3195"/>
      <c r="O49" s="3196"/>
      <c r="P49" s="3197"/>
      <c r="Q49" s="3198"/>
      <c r="R49" s="3198"/>
      <c r="S49" s="3198"/>
      <c r="T49" s="3198"/>
      <c r="U49" s="3198"/>
      <c r="V49" s="3198"/>
      <c r="W49" s="3198"/>
      <c r="X49" s="3198"/>
      <c r="Y49" s="3198"/>
      <c r="Z49" s="3198"/>
      <c r="AA49" s="3198"/>
      <c r="AB49" s="3198"/>
      <c r="AC49" s="3198"/>
    </row>
    <row r="50" spans="1:29" s="3046" customFormat="1" ht="15.75" thickBot="1">
      <c r="A50" s="3199" t="s">
        <v>3201</v>
      </c>
      <c r="B50" s="3200"/>
      <c r="C50" s="3201"/>
      <c r="D50" s="3202"/>
      <c r="E50" s="3202"/>
      <c r="F50" s="3202"/>
      <c r="G50" s="3202"/>
      <c r="H50" s="3202"/>
      <c r="I50" s="3202"/>
      <c r="J50" s="3202"/>
      <c r="K50" s="3202"/>
      <c r="L50" s="3202"/>
      <c r="M50" s="3203"/>
      <c r="N50" s="3202"/>
      <c r="O50" s="3203"/>
      <c r="P50" s="3197"/>
      <c r="Q50" s="3184"/>
      <c r="R50" s="3198"/>
      <c r="S50" s="3198"/>
      <c r="T50" s="3198"/>
      <c r="U50" s="3198"/>
      <c r="V50" s="3198"/>
      <c r="W50" s="3198"/>
      <c r="X50" s="3198"/>
      <c r="Y50" s="3198"/>
      <c r="Z50" s="3198"/>
      <c r="AA50" s="3198"/>
      <c r="AB50" s="3198"/>
      <c r="AC50" s="3198"/>
    </row>
    <row r="51" spans="1:29" s="3046" customFormat="1" ht="15">
      <c r="A51" s="3204" t="s">
        <v>3202</v>
      </c>
      <c r="B51" s="3193"/>
      <c r="C51" s="3205" t="s">
        <v>3203</v>
      </c>
      <c r="D51" s="3206"/>
      <c r="E51" s="3206"/>
      <c r="F51" s="3206"/>
      <c r="G51" s="3206"/>
      <c r="H51" s="3206"/>
      <c r="I51" s="3206"/>
      <c r="J51" s="3206"/>
      <c r="K51" s="3206"/>
      <c r="L51" s="3207"/>
      <c r="M51" s="3208"/>
      <c r="N51" s="3209"/>
      <c r="O51" s="3209"/>
      <c r="P51" s="3210"/>
      <c r="Q51" s="3184"/>
      <c r="R51" s="3198"/>
      <c r="S51" s="3198"/>
      <c r="T51" s="3198"/>
      <c r="U51" s="3198"/>
      <c r="V51" s="3198"/>
      <c r="W51" s="3198"/>
      <c r="X51" s="3198"/>
      <c r="Y51" s="3198"/>
      <c r="Z51" s="3198"/>
      <c r="AA51" s="3198"/>
      <c r="AB51" s="3198"/>
      <c r="AC51" s="3198"/>
    </row>
    <row r="52" spans="1:29" s="3046" customFormat="1" ht="15.75" thickBot="1">
      <c r="A52" s="3204"/>
      <c r="B52" s="3193"/>
      <c r="C52" s="3211">
        <v>100</v>
      </c>
      <c r="D52" s="3195"/>
      <c r="E52" s="3195"/>
      <c r="F52" s="3195"/>
      <c r="G52" s="3195"/>
      <c r="H52" s="3195"/>
      <c r="I52" s="3195"/>
      <c r="J52" s="3195"/>
      <c r="K52" s="3195"/>
      <c r="L52" s="3195"/>
      <c r="M52" s="3212"/>
      <c r="N52" s="3209"/>
      <c r="O52" s="3209"/>
      <c r="P52" s="3197"/>
      <c r="Q52" s="3184"/>
      <c r="R52" s="3198"/>
      <c r="S52" s="3198"/>
      <c r="T52" s="3198"/>
      <c r="U52" s="3198"/>
      <c r="V52" s="3198"/>
      <c r="W52" s="3198"/>
      <c r="X52" s="3198"/>
      <c r="Y52" s="3198"/>
      <c r="Z52" s="3198"/>
      <c r="AA52" s="3198"/>
      <c r="AB52" s="3198"/>
      <c r="AC52" s="3198"/>
    </row>
    <row r="53" spans="1:29">
      <c r="A53" s="3213" t="s">
        <v>3204</v>
      </c>
      <c r="B53" s="3214" t="s">
        <v>3205</v>
      </c>
      <c r="C53" s="3215" t="str">
        <f>C9</f>
        <v>车库</v>
      </c>
      <c r="D53" s="3216"/>
      <c r="E53" s="3216"/>
      <c r="F53" s="3216"/>
      <c r="G53" s="3216"/>
      <c r="H53" s="3216"/>
      <c r="I53" s="3216"/>
      <c r="J53" s="3216"/>
      <c r="K53" s="3217"/>
      <c r="L53" s="3218"/>
      <c r="M53" s="3219"/>
      <c r="N53" s="3220"/>
      <c r="O53" s="3220"/>
      <c r="P53" s="3221"/>
      <c r="Q53" s="3184"/>
      <c r="R53" s="3149"/>
      <c r="S53" s="3149"/>
      <c r="T53" s="3149"/>
      <c r="U53" s="3149"/>
      <c r="V53" s="3149"/>
      <c r="W53" s="3149"/>
      <c r="X53" s="3149"/>
      <c r="Y53" s="3149"/>
      <c r="Z53" s="3149"/>
      <c r="AA53" s="3149"/>
      <c r="AB53" s="3149"/>
      <c r="AC53" s="3149"/>
    </row>
    <row r="54" spans="1:29" ht="15.75" thickBot="1">
      <c r="A54" s="3222"/>
      <c r="B54" s="3223"/>
      <c r="C54" s="3224">
        <v>100</v>
      </c>
      <c r="D54" s="3224"/>
      <c r="E54" s="3224"/>
      <c r="F54" s="3224"/>
      <c r="G54" s="3224"/>
      <c r="H54" s="3224"/>
      <c r="I54" s="3224"/>
      <c r="J54" s="3224"/>
      <c r="K54" s="3224"/>
      <c r="L54" s="3224"/>
      <c r="M54" s="3225"/>
      <c r="N54" s="3226"/>
      <c r="O54" s="3226"/>
      <c r="P54" s="3221"/>
      <c r="Q54" s="3184"/>
      <c r="R54" s="3149"/>
      <c r="S54" s="3149"/>
      <c r="T54" s="3149"/>
      <c r="U54" s="3149"/>
      <c r="V54" s="3149"/>
      <c r="W54" s="3149"/>
      <c r="X54" s="3149"/>
      <c r="Y54" s="3149"/>
      <c r="Z54" s="3149"/>
      <c r="AA54" s="3149"/>
      <c r="AB54" s="3149"/>
      <c r="AC54" s="3149"/>
    </row>
    <row r="55" spans="1:29" ht="27.75" thickTop="1">
      <c r="A55" s="3222"/>
      <c r="B55" s="3227" t="s">
        <v>3206</v>
      </c>
      <c r="C55" s="3228" t="s">
        <v>3207</v>
      </c>
      <c r="D55" s="3228" t="s">
        <v>3208</v>
      </c>
      <c r="E55" s="3228" t="s">
        <v>3209</v>
      </c>
      <c r="F55" s="3228" t="s">
        <v>3210</v>
      </c>
      <c r="G55" s="3228" t="s">
        <v>3211</v>
      </c>
      <c r="H55" s="3228" t="s">
        <v>3212</v>
      </c>
      <c r="I55" s="3228" t="s">
        <v>3213</v>
      </c>
      <c r="J55" s="3228"/>
      <c r="K55" s="3229"/>
      <c r="L55" s="3230"/>
      <c r="M55" s="3231"/>
      <c r="N55" s="3220"/>
      <c r="O55" s="3220"/>
      <c r="P55" s="3221"/>
      <c r="Q55" s="3184"/>
      <c r="R55" s="3149"/>
      <c r="S55" s="3149"/>
      <c r="T55" s="3149"/>
      <c r="U55" s="3149"/>
      <c r="V55" s="3149"/>
      <c r="W55" s="3149"/>
      <c r="X55" s="3149"/>
      <c r="Y55" s="3149"/>
      <c r="Z55" s="3149"/>
      <c r="AA55" s="3149"/>
      <c r="AB55" s="3149"/>
      <c r="AC55" s="3149"/>
    </row>
    <row r="56" spans="1:29" ht="15.75" thickBot="1">
      <c r="A56" s="3222"/>
      <c r="B56" s="3232"/>
      <c r="C56" s="3233" t="s">
        <v>1027</v>
      </c>
      <c r="D56" s="3233" t="s">
        <v>1027</v>
      </c>
      <c r="E56" s="3233">
        <v>100</v>
      </c>
      <c r="F56" s="3233">
        <f>E56-$K10</f>
        <v>99</v>
      </c>
      <c r="G56" s="3233">
        <f>F56-$K10</f>
        <v>98</v>
      </c>
      <c r="H56" s="3233">
        <f>G56-$K10</f>
        <v>97</v>
      </c>
      <c r="I56" s="3233">
        <f>H56-$K10</f>
        <v>96</v>
      </c>
      <c r="J56" s="3233"/>
      <c r="K56" s="3233"/>
      <c r="L56" s="3233"/>
      <c r="M56" s="3234"/>
      <c r="N56" s="3226"/>
      <c r="O56" s="3226"/>
      <c r="P56" s="3221"/>
      <c r="Q56" s="3184"/>
      <c r="R56" s="3149"/>
      <c r="S56" s="3149"/>
      <c r="T56" s="3149"/>
      <c r="U56" s="3149"/>
      <c r="V56" s="3149"/>
      <c r="W56" s="3149"/>
      <c r="X56" s="3149"/>
      <c r="Y56" s="3149"/>
      <c r="Z56" s="3149"/>
      <c r="AA56" s="3149"/>
      <c r="AB56" s="3149"/>
      <c r="AC56" s="3149"/>
    </row>
    <row r="57" spans="1:29" ht="15.75" thickTop="1">
      <c r="A57" s="3222"/>
      <c r="B57" s="3235">
        <f>B11</f>
        <v>0</v>
      </c>
      <c r="C57" s="3236"/>
      <c r="D57" s="3236"/>
      <c r="E57" s="3236"/>
      <c r="F57" s="3236"/>
      <c r="G57" s="3236"/>
      <c r="H57" s="3236"/>
      <c r="I57" s="3236"/>
      <c r="J57" s="3236"/>
      <c r="K57" s="3237"/>
      <c r="L57" s="3238"/>
      <c r="M57" s="3239"/>
      <c r="N57" s="3220"/>
      <c r="O57" s="3220"/>
      <c r="P57" s="3221"/>
      <c r="Q57" s="3184"/>
      <c r="R57" s="3149"/>
      <c r="S57" s="3149"/>
      <c r="T57" s="3149"/>
      <c r="U57" s="3149"/>
      <c r="V57" s="3149"/>
      <c r="W57" s="3149"/>
      <c r="X57" s="3149"/>
      <c r="Y57" s="3149"/>
      <c r="Z57" s="3149"/>
      <c r="AA57" s="3149"/>
      <c r="AB57" s="3149"/>
      <c r="AC57" s="3149"/>
    </row>
    <row r="58" spans="1:29" ht="15.75" thickBot="1">
      <c r="A58" s="3222"/>
      <c r="B58" s="3223"/>
      <c r="C58" s="3240"/>
      <c r="D58" s="3224"/>
      <c r="E58" s="3224"/>
      <c r="F58" s="3224"/>
      <c r="G58" s="3224"/>
      <c r="H58" s="3224"/>
      <c r="I58" s="3224"/>
      <c r="J58" s="3224"/>
      <c r="K58" s="3224"/>
      <c r="L58" s="3224"/>
      <c r="M58" s="3225"/>
      <c r="N58" s="3226"/>
      <c r="O58" s="3226"/>
      <c r="P58" s="3221"/>
      <c r="Q58" s="3184"/>
      <c r="R58" s="3149"/>
      <c r="S58" s="3149"/>
      <c r="T58" s="3149"/>
      <c r="U58" s="3149"/>
      <c r="V58" s="3149"/>
      <c r="W58" s="3149"/>
      <c r="X58" s="3149"/>
      <c r="Y58" s="3149"/>
      <c r="Z58" s="3149"/>
      <c r="AA58" s="3149"/>
      <c r="AB58" s="3149"/>
      <c r="AC58" s="3149"/>
    </row>
    <row r="59" spans="1:29" s="3131" customFormat="1" ht="15.75" thickTop="1">
      <c r="A59" s="3241"/>
      <c r="B59" s="3227">
        <f>B12</f>
        <v>0</v>
      </c>
      <c r="C59" s="3236"/>
      <c r="D59" s="3236"/>
      <c r="E59" s="3236"/>
      <c r="F59" s="3236"/>
      <c r="G59" s="3242"/>
      <c r="H59" s="3243"/>
      <c r="I59" s="3243"/>
      <c r="J59" s="3243"/>
      <c r="K59" s="3243"/>
      <c r="L59" s="3244"/>
      <c r="M59" s="3245"/>
      <c r="N59" s="3246"/>
      <c r="O59" s="3246"/>
      <c r="P59" s="3247"/>
      <c r="Q59" s="3248"/>
      <c r="R59" s="3249"/>
      <c r="S59" s="3249"/>
      <c r="T59" s="3249"/>
      <c r="U59" s="3249"/>
      <c r="V59" s="3249"/>
      <c r="W59" s="3249"/>
      <c r="X59" s="3249"/>
      <c r="Y59" s="3249"/>
      <c r="Z59" s="3249"/>
      <c r="AA59" s="3249"/>
      <c r="AB59" s="3249"/>
      <c r="AC59" s="3249"/>
    </row>
    <row r="60" spans="1:29" s="3131" customFormat="1" ht="15.75" thickBot="1">
      <c r="A60" s="3241"/>
      <c r="B60" s="3232"/>
      <c r="C60" s="3240"/>
      <c r="D60" s="3224"/>
      <c r="E60" s="3224"/>
      <c r="F60" s="3224"/>
      <c r="G60" s="3224"/>
      <c r="H60" s="3224"/>
      <c r="I60" s="3224"/>
      <c r="J60" s="3224"/>
      <c r="K60" s="3224"/>
      <c r="L60" s="3224"/>
      <c r="M60" s="3225"/>
      <c r="N60" s="3226"/>
      <c r="O60" s="3226"/>
      <c r="P60" s="3247"/>
      <c r="Q60" s="3248"/>
      <c r="R60" s="3249"/>
      <c r="S60" s="3249"/>
      <c r="T60" s="3249"/>
      <c r="U60" s="3249"/>
      <c r="V60" s="3249"/>
      <c r="W60" s="3249"/>
      <c r="X60" s="3249"/>
      <c r="Y60" s="3249"/>
      <c r="Z60" s="3249"/>
      <c r="AA60" s="3249"/>
      <c r="AB60" s="3249"/>
      <c r="AC60" s="3249"/>
    </row>
    <row r="61" spans="1:29" s="3131" customFormat="1" ht="15.75" thickTop="1">
      <c r="A61" s="3241"/>
      <c r="B61" s="3227">
        <f>B13</f>
        <v>0</v>
      </c>
      <c r="C61" s="3242"/>
      <c r="D61" s="3242"/>
      <c r="E61" s="3242"/>
      <c r="F61" s="3242"/>
      <c r="G61" s="3242"/>
      <c r="H61" s="3243"/>
      <c r="I61" s="3243"/>
      <c r="J61" s="3243"/>
      <c r="K61" s="3243"/>
      <c r="L61" s="3244"/>
      <c r="M61" s="3245"/>
      <c r="N61" s="3246"/>
      <c r="O61" s="3246"/>
      <c r="P61" s="3250"/>
      <c r="Q61" s="3251"/>
      <c r="R61" s="3249"/>
      <c r="S61" s="3249"/>
      <c r="T61" s="3249"/>
      <c r="U61" s="3249"/>
      <c r="V61" s="3249"/>
      <c r="W61" s="3249"/>
      <c r="X61" s="3249"/>
      <c r="Y61" s="3249"/>
      <c r="Z61" s="3249"/>
      <c r="AA61" s="3249"/>
      <c r="AB61" s="3249"/>
      <c r="AC61" s="3249"/>
    </row>
    <row r="62" spans="1:29" s="3131" customFormat="1" ht="15.75" thickBot="1">
      <c r="A62" s="3241"/>
      <c r="B62" s="3232"/>
      <c r="C62" s="3240"/>
      <c r="D62" s="3240"/>
      <c r="E62" s="3240"/>
      <c r="F62" s="3240"/>
      <c r="G62" s="3240"/>
      <c r="H62" s="3252"/>
      <c r="I62" s="3252"/>
      <c r="J62" s="3252"/>
      <c r="K62" s="3252"/>
      <c r="L62" s="3252"/>
      <c r="M62" s="3253"/>
      <c r="N62" s="3246"/>
      <c r="O62" s="3246"/>
      <c r="P62" s="3247"/>
      <c r="Q62" s="3248"/>
      <c r="R62" s="3249"/>
      <c r="S62" s="3249"/>
      <c r="T62" s="3249"/>
      <c r="U62" s="3249"/>
      <c r="V62" s="3249"/>
      <c r="W62" s="3249"/>
      <c r="X62" s="3249"/>
      <c r="Y62" s="3249"/>
      <c r="Z62" s="3249"/>
      <c r="AA62" s="3249"/>
      <c r="AB62" s="3249"/>
      <c r="AC62" s="3249"/>
    </row>
    <row r="63" spans="1:29" ht="15" thickTop="1">
      <c r="A63" s="3213" t="s">
        <v>3168</v>
      </c>
      <c r="B63" s="3214" t="s">
        <v>3169</v>
      </c>
      <c r="C63" s="3254" t="s">
        <v>3214</v>
      </c>
      <c r="D63" s="3254" t="s">
        <v>3215</v>
      </c>
      <c r="E63" s="3254" t="s">
        <v>3216</v>
      </c>
      <c r="F63" s="3254" t="s">
        <v>3217</v>
      </c>
      <c r="G63" s="3254" t="s">
        <v>3218</v>
      </c>
      <c r="H63" s="3215"/>
      <c r="I63" s="3215"/>
      <c r="J63" s="3215"/>
      <c r="K63" s="3255"/>
      <c r="L63" s="3256"/>
      <c r="M63" s="3257"/>
      <c r="N63" s="3220"/>
      <c r="O63" s="3220"/>
      <c r="P63" s="3258"/>
      <c r="Q63" s="3184"/>
      <c r="R63" s="3149"/>
      <c r="S63" s="3149"/>
      <c r="T63" s="3149"/>
      <c r="U63" s="3149"/>
      <c r="V63" s="3149"/>
      <c r="W63" s="3149"/>
      <c r="X63" s="3149"/>
      <c r="Y63" s="3149"/>
      <c r="Z63" s="3149"/>
      <c r="AA63" s="3149"/>
      <c r="AB63" s="3149"/>
      <c r="AC63" s="3149"/>
    </row>
    <row r="64" spans="1:29" ht="15.75" thickBot="1">
      <c r="A64" s="3222"/>
      <c r="B64" s="3232"/>
      <c r="C64" s="3233">
        <v>100</v>
      </c>
      <c r="D64" s="3233">
        <f>C64-$K14</f>
        <v>98</v>
      </c>
      <c r="E64" s="3233">
        <f>D64-$K14</f>
        <v>96</v>
      </c>
      <c r="F64" s="3233">
        <f>E64-$K14</f>
        <v>94</v>
      </c>
      <c r="G64" s="3233">
        <f>F64-$K14</f>
        <v>92</v>
      </c>
      <c r="H64" s="3233"/>
      <c r="I64" s="3233"/>
      <c r="J64" s="3233"/>
      <c r="K64" s="3233"/>
      <c r="L64" s="3233"/>
      <c r="M64" s="3234"/>
      <c r="N64" s="3226"/>
      <c r="O64" s="3226"/>
      <c r="P64" s="3221"/>
      <c r="Q64" s="3184"/>
      <c r="R64" s="3149"/>
      <c r="S64" s="3149"/>
      <c r="T64" s="3149"/>
      <c r="U64" s="3149"/>
      <c r="V64" s="3149"/>
      <c r="W64" s="3149"/>
      <c r="X64" s="3149"/>
      <c r="Y64" s="3149"/>
      <c r="Z64" s="3149"/>
      <c r="AA64" s="3149"/>
      <c r="AB64" s="3149"/>
      <c r="AC64" s="3149"/>
    </row>
    <row r="65" spans="1:29" ht="15.75" thickTop="1">
      <c r="A65" s="3222"/>
      <c r="B65" s="3259" t="s">
        <v>3171</v>
      </c>
      <c r="C65" s="3260" t="s">
        <v>3214</v>
      </c>
      <c r="D65" s="3260" t="s">
        <v>3215</v>
      </c>
      <c r="E65" s="3260" t="s">
        <v>3216</v>
      </c>
      <c r="F65" s="3260" t="s">
        <v>3217</v>
      </c>
      <c r="G65" s="3260" t="s">
        <v>3218</v>
      </c>
      <c r="H65" s="3228"/>
      <c r="I65" s="3228"/>
      <c r="J65" s="3228"/>
      <c r="K65" s="3229"/>
      <c r="L65" s="3230"/>
      <c r="M65" s="3231"/>
      <c r="N65" s="3220"/>
      <c r="O65" s="3220"/>
      <c r="P65" s="3221"/>
      <c r="Q65" s="3184"/>
      <c r="R65" s="3149"/>
      <c r="S65" s="3149"/>
      <c r="T65" s="3149"/>
      <c r="U65" s="3149"/>
      <c r="V65" s="3149"/>
      <c r="W65" s="3149"/>
      <c r="X65" s="3149"/>
      <c r="Y65" s="3149"/>
      <c r="Z65" s="3149"/>
      <c r="AA65" s="3149"/>
      <c r="AB65" s="3149"/>
      <c r="AC65" s="3149"/>
    </row>
    <row r="66" spans="1:29" ht="15.75" thickBot="1">
      <c r="A66" s="3222"/>
      <c r="B66" s="3232"/>
      <c r="C66" s="3233">
        <v>100</v>
      </c>
      <c r="D66" s="3233">
        <f>C66-$K16</f>
        <v>97</v>
      </c>
      <c r="E66" s="3233">
        <f>D66-$K16</f>
        <v>94</v>
      </c>
      <c r="F66" s="3233">
        <f>E66-$K16</f>
        <v>91</v>
      </c>
      <c r="G66" s="3233">
        <f>F66-$K16</f>
        <v>88</v>
      </c>
      <c r="H66" s="3233"/>
      <c r="I66" s="3233"/>
      <c r="J66" s="3233"/>
      <c r="K66" s="3233"/>
      <c r="L66" s="3233"/>
      <c r="M66" s="3234"/>
      <c r="N66" s="3226"/>
      <c r="O66" s="3226"/>
      <c r="P66" s="3221"/>
      <c r="Q66" s="3184"/>
      <c r="R66" s="3149"/>
      <c r="S66" s="3149"/>
      <c r="T66" s="3149"/>
      <c r="U66" s="3149"/>
      <c r="V66" s="3149"/>
      <c r="W66" s="3149"/>
      <c r="X66" s="3149"/>
      <c r="Y66" s="3149"/>
      <c r="Z66" s="3149"/>
      <c r="AA66" s="3149"/>
      <c r="AB66" s="3149"/>
      <c r="AC66" s="3149"/>
    </row>
    <row r="67" spans="1:29" ht="15.75" thickTop="1">
      <c r="A67" s="3222"/>
      <c r="B67" s="3261" t="s">
        <v>3173</v>
      </c>
      <c r="C67" s="3262" t="s">
        <v>3219</v>
      </c>
      <c r="D67" s="3262" t="s">
        <v>3220</v>
      </c>
      <c r="E67" s="3262" t="s">
        <v>3221</v>
      </c>
      <c r="F67" s="3262" t="s">
        <v>3222</v>
      </c>
      <c r="G67" s="3262" t="s">
        <v>3223</v>
      </c>
      <c r="H67" s="3228"/>
      <c r="I67" s="3228"/>
      <c r="J67" s="3228"/>
      <c r="K67" s="3228"/>
      <c r="L67" s="3228"/>
      <c r="M67" s="3263"/>
      <c r="N67" s="3226"/>
      <c r="O67" s="3226"/>
      <c r="P67" s="3221"/>
      <c r="Q67" s="3184"/>
      <c r="R67" s="3149"/>
      <c r="S67" s="3149"/>
      <c r="T67" s="3149"/>
      <c r="U67" s="3149"/>
      <c r="V67" s="3149"/>
      <c r="W67" s="3149"/>
      <c r="X67" s="3149"/>
      <c r="Y67" s="3149"/>
      <c r="Z67" s="3149"/>
      <c r="AA67" s="3149"/>
      <c r="AB67" s="3149"/>
      <c r="AC67" s="3149"/>
    </row>
    <row r="68" spans="1:29" ht="15.75" thickBot="1">
      <c r="A68" s="3222"/>
      <c r="B68" s="3264"/>
      <c r="C68" s="3233">
        <v>100</v>
      </c>
      <c r="D68" s="3233">
        <f>C68-$K18</f>
        <v>99</v>
      </c>
      <c r="E68" s="3233">
        <f>D68-$K18</f>
        <v>98</v>
      </c>
      <c r="F68" s="3233">
        <f>E68-$K18</f>
        <v>97</v>
      </c>
      <c r="G68" s="3233">
        <f>F68-$K18</f>
        <v>96</v>
      </c>
      <c r="H68" s="3235"/>
      <c r="I68" s="3235"/>
      <c r="J68" s="3235"/>
      <c r="K68" s="3235"/>
      <c r="L68" s="3235"/>
      <c r="M68" s="3093"/>
      <c r="N68" s="3226"/>
      <c r="O68" s="3226"/>
      <c r="P68" s="3221"/>
      <c r="Q68" s="3184"/>
      <c r="R68" s="3149"/>
      <c r="S68" s="3149"/>
      <c r="T68" s="3149"/>
      <c r="U68" s="3149"/>
      <c r="V68" s="3149"/>
      <c r="W68" s="3149"/>
      <c r="X68" s="3149"/>
      <c r="Y68" s="3149"/>
      <c r="Z68" s="3149"/>
      <c r="AA68" s="3149"/>
      <c r="AB68" s="3149"/>
      <c r="AC68" s="3149"/>
    </row>
    <row r="69" spans="1:29" ht="15.75" thickTop="1">
      <c r="A69" s="3222"/>
      <c r="B69" s="3227" t="s">
        <v>3224</v>
      </c>
      <c r="C69" s="3260" t="s">
        <v>3225</v>
      </c>
      <c r="D69" s="3260" t="s">
        <v>3226</v>
      </c>
      <c r="E69" s="3260" t="s">
        <v>3227</v>
      </c>
      <c r="F69" s="3260" t="s">
        <v>3228</v>
      </c>
      <c r="G69" s="3260" t="s">
        <v>3229</v>
      </c>
      <c r="H69" s="3228"/>
      <c r="I69" s="3228"/>
      <c r="J69" s="3228"/>
      <c r="K69" s="3229"/>
      <c r="L69" s="3230"/>
      <c r="M69" s="3231"/>
      <c r="N69" s="3220"/>
      <c r="O69" s="3220"/>
      <c r="P69" s="3221"/>
      <c r="Q69" s="3184"/>
      <c r="R69" s="3149"/>
      <c r="S69" s="3149"/>
      <c r="T69" s="3149"/>
      <c r="U69" s="3149"/>
      <c r="V69" s="3149"/>
      <c r="W69" s="3149"/>
      <c r="X69" s="3149"/>
      <c r="Y69" s="3149"/>
      <c r="Z69" s="3149"/>
      <c r="AA69" s="3149"/>
      <c r="AB69" s="3149"/>
      <c r="AC69" s="3149"/>
    </row>
    <row r="70" spans="1:29" ht="15.75" thickBot="1">
      <c r="A70" s="3222"/>
      <c r="B70" s="3232"/>
      <c r="C70" s="3233">
        <v>100</v>
      </c>
      <c r="D70" s="3233">
        <f>C70-$K20</f>
        <v>98</v>
      </c>
      <c r="E70" s="3233">
        <f>D70-$K20</f>
        <v>96</v>
      </c>
      <c r="F70" s="3233">
        <f>E70-$K20</f>
        <v>94</v>
      </c>
      <c r="G70" s="3233">
        <f>F70-$K20</f>
        <v>92</v>
      </c>
      <c r="H70" s="3233"/>
      <c r="I70" s="3233"/>
      <c r="J70" s="3233"/>
      <c r="K70" s="3233"/>
      <c r="L70" s="3233"/>
      <c r="M70" s="3234"/>
      <c r="N70" s="3226"/>
      <c r="O70" s="3226"/>
      <c r="P70" s="3221"/>
      <c r="Q70" s="3184"/>
      <c r="R70" s="3149"/>
      <c r="S70" s="3149"/>
      <c r="T70" s="3149"/>
      <c r="U70" s="3149"/>
      <c r="V70" s="3149"/>
      <c r="W70" s="3149"/>
      <c r="X70" s="3149"/>
      <c r="Y70" s="3149"/>
      <c r="Z70" s="3149"/>
      <c r="AA70" s="3149"/>
      <c r="AB70" s="3149"/>
      <c r="AC70" s="3149"/>
    </row>
    <row r="71" spans="1:29" ht="15.75" thickTop="1">
      <c r="A71" s="3222"/>
      <c r="B71" s="3227" t="s">
        <v>3230</v>
      </c>
      <c r="C71" s="3242" t="s">
        <v>3231</v>
      </c>
      <c r="D71" s="3242" t="s">
        <v>3232</v>
      </c>
      <c r="E71" s="3242"/>
      <c r="F71" s="3242"/>
      <c r="G71" s="3242"/>
      <c r="H71" s="3265"/>
      <c r="I71" s="3265"/>
      <c r="J71" s="3265"/>
      <c r="K71" s="3266"/>
      <c r="L71" s="3267"/>
      <c r="M71" s="3268"/>
      <c r="N71" s="3220"/>
      <c r="O71" s="3220"/>
      <c r="P71" s="3221"/>
      <c r="Q71" s="3184"/>
      <c r="R71" s="3149"/>
      <c r="S71" s="3149"/>
      <c r="T71" s="3149"/>
      <c r="U71" s="3149"/>
      <c r="V71" s="3149"/>
      <c r="W71" s="3149"/>
      <c r="X71" s="3149"/>
      <c r="Y71" s="3149"/>
      <c r="Z71" s="3149"/>
      <c r="AA71" s="3149"/>
      <c r="AB71" s="3149"/>
      <c r="AC71" s="3149"/>
    </row>
    <row r="72" spans="1:29" ht="15.75" thickBot="1">
      <c r="A72" s="3222"/>
      <c r="B72" s="3232"/>
      <c r="C72" s="3233">
        <v>100</v>
      </c>
      <c r="D72" s="3233">
        <f>C72-$K22</f>
        <v>98</v>
      </c>
      <c r="E72" s="3233">
        <f>D72-$K22</f>
        <v>96</v>
      </c>
      <c r="F72" s="3233">
        <f>E72-$K22</f>
        <v>94</v>
      </c>
      <c r="G72" s="3233">
        <f>F72-$K22</f>
        <v>92</v>
      </c>
      <c r="H72" s="3233"/>
      <c r="I72" s="3233"/>
      <c r="J72" s="3233"/>
      <c r="K72" s="3233"/>
      <c r="L72" s="3233"/>
      <c r="M72" s="3234"/>
      <c r="N72" s="3226"/>
      <c r="O72" s="3226"/>
      <c r="P72" s="3221"/>
      <c r="Q72" s="3184"/>
      <c r="R72" s="3149"/>
      <c r="S72" s="3149"/>
      <c r="T72" s="3149"/>
      <c r="U72" s="3149"/>
      <c r="V72" s="3149"/>
      <c r="W72" s="3149"/>
      <c r="X72" s="3149"/>
      <c r="Y72" s="3149"/>
      <c r="Z72" s="3149"/>
      <c r="AA72" s="3149"/>
      <c r="AB72" s="3149"/>
      <c r="AC72" s="3149"/>
    </row>
    <row r="73" spans="1:29" s="3046" customFormat="1" ht="15.75" thickTop="1">
      <c r="A73" s="3269"/>
      <c r="B73" s="3227">
        <f>B23</f>
        <v>0</v>
      </c>
      <c r="C73" s="3236"/>
      <c r="D73" s="3236"/>
      <c r="E73" s="3236"/>
      <c r="F73" s="3236"/>
      <c r="G73" s="3242"/>
      <c r="H73" s="3242"/>
      <c r="I73" s="3242"/>
      <c r="J73" s="3242"/>
      <c r="K73" s="3242"/>
      <c r="L73" s="3270"/>
      <c r="M73" s="3271"/>
      <c r="N73" s="3209"/>
      <c r="O73" s="3209"/>
      <c r="P73" s="3221"/>
      <c r="Q73" s="3184"/>
      <c r="R73" s="3198"/>
      <c r="S73" s="3198"/>
      <c r="T73" s="3198"/>
      <c r="U73" s="3198"/>
      <c r="V73" s="3198"/>
      <c r="W73" s="3198"/>
      <c r="X73" s="3198"/>
      <c r="Y73" s="3198"/>
      <c r="Z73" s="3198"/>
      <c r="AA73" s="3198"/>
      <c r="AB73" s="3198"/>
      <c r="AC73" s="3198"/>
    </row>
    <row r="74" spans="1:29" s="3046" customFormat="1" ht="15.75" thickBot="1">
      <c r="A74" s="3269"/>
      <c r="B74" s="3232"/>
      <c r="C74" s="3240"/>
      <c r="D74" s="3224"/>
      <c r="E74" s="3224"/>
      <c r="F74" s="3224"/>
      <c r="G74" s="3224"/>
      <c r="H74" s="3224"/>
      <c r="I74" s="3224"/>
      <c r="J74" s="3224"/>
      <c r="K74" s="3224"/>
      <c r="L74" s="3224"/>
      <c r="M74" s="3225"/>
      <c r="N74" s="3226"/>
      <c r="O74" s="3226"/>
      <c r="P74" s="3221"/>
      <c r="Q74" s="3184"/>
      <c r="R74" s="3198"/>
      <c r="S74" s="3198"/>
      <c r="T74" s="3198"/>
      <c r="U74" s="3198"/>
      <c r="V74" s="3198"/>
      <c r="W74" s="3198"/>
      <c r="X74" s="3198"/>
      <c r="Y74" s="3198"/>
      <c r="Z74" s="3198"/>
      <c r="AA74" s="3198"/>
      <c r="AB74" s="3198"/>
      <c r="AC74" s="3198"/>
    </row>
    <row r="75" spans="1:29" s="3046" customFormat="1" ht="15.75" thickTop="1">
      <c r="A75" s="3269"/>
      <c r="B75" s="3227">
        <f>B24</f>
        <v>0</v>
      </c>
      <c r="C75" s="3236"/>
      <c r="D75" s="3236"/>
      <c r="E75" s="3236"/>
      <c r="F75" s="3236"/>
      <c r="G75" s="3242"/>
      <c r="H75" s="3242"/>
      <c r="I75" s="3242"/>
      <c r="J75" s="3242"/>
      <c r="K75" s="3242"/>
      <c r="L75" s="3242"/>
      <c r="M75" s="3271"/>
      <c r="N75" s="3209"/>
      <c r="O75" s="3209"/>
      <c r="P75" s="3221"/>
      <c r="Q75" s="3184"/>
      <c r="R75" s="3198"/>
      <c r="S75" s="3198"/>
      <c r="T75" s="3198"/>
      <c r="U75" s="3198"/>
      <c r="V75" s="3198"/>
      <c r="W75" s="3198"/>
      <c r="X75" s="3198"/>
      <c r="Y75" s="3198"/>
      <c r="Z75" s="3198"/>
      <c r="AA75" s="3198"/>
      <c r="AB75" s="3198"/>
      <c r="AC75" s="3198"/>
    </row>
    <row r="76" spans="1:29" s="3046" customFormat="1" ht="15.75" thickBot="1">
      <c r="A76" s="3269"/>
      <c r="B76" s="3232"/>
      <c r="C76" s="3240"/>
      <c r="D76" s="3224"/>
      <c r="E76" s="3224"/>
      <c r="F76" s="3224"/>
      <c r="G76" s="3224"/>
      <c r="H76" s="3224"/>
      <c r="I76" s="3224"/>
      <c r="J76" s="3224"/>
      <c r="K76" s="3224"/>
      <c r="L76" s="3224"/>
      <c r="M76" s="3225"/>
      <c r="N76" s="3226"/>
      <c r="O76" s="3226"/>
      <c r="P76" s="3221"/>
      <c r="Q76" s="3184"/>
      <c r="R76" s="3198"/>
      <c r="S76" s="3198"/>
      <c r="T76" s="3198"/>
      <c r="U76" s="3198"/>
      <c r="V76" s="3198"/>
      <c r="W76" s="3198"/>
      <c r="X76" s="3198"/>
      <c r="Y76" s="3198"/>
      <c r="Z76" s="3198"/>
      <c r="AA76" s="3198"/>
      <c r="AB76" s="3198"/>
      <c r="AC76" s="3198"/>
    </row>
    <row r="77" spans="1:29" s="3131" customFormat="1" ht="15.75" thickTop="1">
      <c r="A77" s="3241"/>
      <c r="B77" s="3227">
        <f>B25</f>
        <v>0</v>
      </c>
      <c r="C77" s="3242"/>
      <c r="D77" s="3242"/>
      <c r="E77" s="3242"/>
      <c r="F77" s="3242"/>
      <c r="G77" s="3242"/>
      <c r="H77" s="3243"/>
      <c r="I77" s="3243"/>
      <c r="J77" s="3243"/>
      <c r="K77" s="3243"/>
      <c r="L77" s="3244"/>
      <c r="M77" s="3245"/>
      <c r="N77" s="3246"/>
      <c r="O77" s="3246"/>
      <c r="P77" s="3247"/>
      <c r="Q77" s="3248"/>
      <c r="R77" s="3249"/>
      <c r="S77" s="3249"/>
      <c r="T77" s="3249"/>
      <c r="U77" s="3249"/>
      <c r="V77" s="3249"/>
      <c r="W77" s="3249"/>
      <c r="X77" s="3249"/>
      <c r="Y77" s="3249"/>
      <c r="Z77" s="3249"/>
      <c r="AA77" s="3249"/>
      <c r="AB77" s="3249"/>
      <c r="AC77" s="3249"/>
    </row>
    <row r="78" spans="1:29" s="3131" customFormat="1" ht="15.75" thickBot="1">
      <c r="A78" s="3241"/>
      <c r="B78" s="3232"/>
      <c r="C78" s="3240"/>
      <c r="D78" s="3240"/>
      <c r="E78" s="3240"/>
      <c r="F78" s="3240"/>
      <c r="G78" s="3224"/>
      <c r="H78" s="3224"/>
      <c r="I78" s="3224"/>
      <c r="J78" s="3224"/>
      <c r="K78" s="3224"/>
      <c r="L78" s="3224"/>
      <c r="M78" s="3225"/>
      <c r="N78" s="3246"/>
      <c r="O78" s="3246"/>
      <c r="P78" s="3247"/>
      <c r="Q78" s="3248"/>
      <c r="R78" s="3249"/>
      <c r="S78" s="3249"/>
      <c r="T78" s="3249"/>
      <c r="U78" s="3249"/>
      <c r="V78" s="3249"/>
      <c r="W78" s="3249"/>
      <c r="X78" s="3249"/>
      <c r="Y78" s="3249"/>
      <c r="Z78" s="3249"/>
      <c r="AA78" s="3249"/>
      <c r="AB78" s="3249"/>
      <c r="AC78" s="3249"/>
    </row>
    <row r="79" spans="1:29" ht="27.75" thickTop="1">
      <c r="A79" s="3213" t="s">
        <v>3176</v>
      </c>
      <c r="B79" s="3214" t="s">
        <v>3233</v>
      </c>
      <c r="C79" s="3215" t="str">
        <f>C26</f>
        <v>办公</v>
      </c>
      <c r="D79" s="3272" t="s">
        <v>3234</v>
      </c>
      <c r="E79" s="3216"/>
      <c r="F79" s="3216"/>
      <c r="G79" s="3216"/>
      <c r="H79" s="3216"/>
      <c r="I79" s="3216"/>
      <c r="J79" s="3216"/>
      <c r="K79" s="3217"/>
      <c r="L79" s="3218"/>
      <c r="M79" s="3219"/>
      <c r="N79" s="3220"/>
      <c r="O79" s="3220"/>
      <c r="P79" s="3221"/>
      <c r="Q79" s="3184"/>
      <c r="R79" s="3149"/>
      <c r="S79" s="3149"/>
      <c r="T79" s="3149"/>
      <c r="U79" s="3149"/>
      <c r="V79" s="3149"/>
      <c r="W79" s="3149"/>
      <c r="X79" s="3149"/>
      <c r="Y79" s="3149"/>
      <c r="Z79" s="3149"/>
      <c r="AA79" s="3149"/>
      <c r="AB79" s="3149"/>
      <c r="AC79" s="3149"/>
    </row>
    <row r="80" spans="1:29" ht="15.75" thickBot="1">
      <c r="A80" s="3222"/>
      <c r="B80" s="3232"/>
      <c r="C80" s="3233">
        <v>100</v>
      </c>
      <c r="D80" s="3233">
        <f t="shared" ref="D80:M80" si="17">C80-$K26</f>
        <v>98</v>
      </c>
      <c r="E80" s="3233">
        <f t="shared" si="17"/>
        <v>96</v>
      </c>
      <c r="F80" s="3233">
        <f t="shared" si="17"/>
        <v>94</v>
      </c>
      <c r="G80" s="3233">
        <f t="shared" si="17"/>
        <v>92</v>
      </c>
      <c r="H80" s="3233">
        <f t="shared" si="17"/>
        <v>90</v>
      </c>
      <c r="I80" s="3233">
        <f t="shared" si="17"/>
        <v>88</v>
      </c>
      <c r="J80" s="3233">
        <f t="shared" si="17"/>
        <v>86</v>
      </c>
      <c r="K80" s="3233">
        <f t="shared" si="17"/>
        <v>84</v>
      </c>
      <c r="L80" s="3233">
        <f t="shared" si="17"/>
        <v>82</v>
      </c>
      <c r="M80" s="3234">
        <f t="shared" si="17"/>
        <v>80</v>
      </c>
      <c r="N80" s="3226"/>
      <c r="O80" s="3226"/>
      <c r="P80" s="3221"/>
      <c r="Q80" s="3184"/>
      <c r="R80" s="3149"/>
      <c r="S80" s="3149"/>
      <c r="T80" s="3149"/>
      <c r="U80" s="3149"/>
      <c r="V80" s="3149"/>
      <c r="W80" s="3149"/>
      <c r="X80" s="3149"/>
      <c r="Y80" s="3149"/>
      <c r="Z80" s="3149"/>
      <c r="AA80" s="3149"/>
      <c r="AB80" s="3149"/>
      <c r="AC80" s="3149"/>
    </row>
    <row r="81" spans="1:29" ht="15.75" thickTop="1">
      <c r="A81" s="3222"/>
      <c r="B81" s="3227" t="s">
        <v>3182</v>
      </c>
      <c r="C81" s="3273"/>
      <c r="D81" s="3273"/>
      <c r="E81" s="3273"/>
      <c r="F81" s="3273"/>
      <c r="G81" s="3273"/>
      <c r="H81" s="3273"/>
      <c r="I81" s="3273"/>
      <c r="J81" s="3273"/>
      <c r="K81" s="3274"/>
      <c r="L81" s="3275"/>
      <c r="M81" s="3276"/>
      <c r="N81" s="3209"/>
      <c r="O81" s="3209"/>
      <c r="P81" s="3221"/>
      <c r="Q81" s="3184"/>
      <c r="R81" s="3149"/>
      <c r="S81" s="3149"/>
      <c r="T81" s="3149"/>
      <c r="U81" s="3149"/>
      <c r="V81" s="3149"/>
      <c r="W81" s="3149"/>
      <c r="X81" s="3149"/>
      <c r="Y81" s="3149"/>
      <c r="Z81" s="3149"/>
      <c r="AA81" s="3149"/>
      <c r="AB81" s="3149"/>
      <c r="AC81" s="3149"/>
    </row>
    <row r="82" spans="1:29" s="3131" customFormat="1" ht="15.75" thickBot="1">
      <c r="A82" s="3241"/>
      <c r="B82" s="3232"/>
      <c r="C82" s="3240"/>
      <c r="D82" s="3224"/>
      <c r="E82" s="3224"/>
      <c r="F82" s="3224"/>
      <c r="G82" s="3224"/>
      <c r="H82" s="3224"/>
      <c r="I82" s="3224"/>
      <c r="J82" s="3224"/>
      <c r="K82" s="3224"/>
      <c r="L82" s="3224"/>
      <c r="M82" s="3225"/>
      <c r="N82" s="3226"/>
      <c r="O82" s="3226"/>
      <c r="P82" s="3247"/>
      <c r="Q82" s="3248"/>
      <c r="R82" s="3249"/>
      <c r="S82" s="3249"/>
      <c r="T82" s="3249"/>
      <c r="U82" s="3249"/>
      <c r="V82" s="3249"/>
      <c r="W82" s="3249"/>
      <c r="X82" s="3249"/>
      <c r="Y82" s="3249"/>
      <c r="Z82" s="3249"/>
      <c r="AA82" s="3249"/>
      <c r="AB82" s="3249"/>
      <c r="AC82" s="3249"/>
    </row>
    <row r="83" spans="1:29" ht="15" thickTop="1">
      <c r="A83" s="3277"/>
      <c r="B83" s="3227" t="s">
        <v>3235</v>
      </c>
      <c r="C83" s="3242"/>
      <c r="D83" s="3242"/>
      <c r="E83" s="3265"/>
      <c r="F83" s="3265"/>
      <c r="G83" s="3265"/>
      <c r="H83" s="3265"/>
      <c r="I83" s="3265"/>
      <c r="J83" s="3265"/>
      <c r="K83" s="3266"/>
      <c r="L83" s="3267"/>
      <c r="M83" s="3268"/>
      <c r="N83" s="3220"/>
      <c r="O83" s="3220"/>
      <c r="P83" s="3221"/>
      <c r="Q83" s="3184"/>
      <c r="R83" s="3149"/>
      <c r="S83" s="3149"/>
      <c r="T83" s="3149"/>
      <c r="U83" s="3149"/>
      <c r="V83" s="3149"/>
      <c r="W83" s="3149"/>
      <c r="X83" s="3149"/>
      <c r="Y83" s="3149"/>
      <c r="Z83" s="3149"/>
      <c r="AA83" s="3149"/>
      <c r="AB83" s="3149"/>
      <c r="AC83" s="3149"/>
    </row>
    <row r="84" spans="1:29" ht="15.75" thickBot="1">
      <c r="A84" s="3222"/>
      <c r="B84" s="3232"/>
      <c r="C84" s="3233">
        <v>100</v>
      </c>
      <c r="D84" s="3233">
        <f t="shared" ref="D84:M84" si="18">C84-$K28</f>
        <v>97</v>
      </c>
      <c r="E84" s="3233">
        <f t="shared" si="18"/>
        <v>94</v>
      </c>
      <c r="F84" s="3233">
        <f t="shared" si="18"/>
        <v>91</v>
      </c>
      <c r="G84" s="3233">
        <f t="shared" si="18"/>
        <v>88</v>
      </c>
      <c r="H84" s="3233">
        <f t="shared" si="18"/>
        <v>85</v>
      </c>
      <c r="I84" s="3233">
        <f t="shared" si="18"/>
        <v>82</v>
      </c>
      <c r="J84" s="3233">
        <f t="shared" si="18"/>
        <v>79</v>
      </c>
      <c r="K84" s="3233">
        <f t="shared" si="18"/>
        <v>76</v>
      </c>
      <c r="L84" s="3233">
        <f t="shared" si="18"/>
        <v>73</v>
      </c>
      <c r="M84" s="3234">
        <f t="shared" si="18"/>
        <v>70</v>
      </c>
      <c r="N84" s="3226"/>
      <c r="O84" s="3226"/>
      <c r="P84" s="3221"/>
      <c r="Q84" s="3184"/>
      <c r="R84" s="3149"/>
      <c r="S84" s="3149"/>
      <c r="T84" s="3149"/>
      <c r="U84" s="3149"/>
      <c r="V84" s="3149"/>
      <c r="W84" s="3149"/>
      <c r="X84" s="3149"/>
      <c r="Y84" s="3149"/>
      <c r="Z84" s="3149"/>
      <c r="AA84" s="3149"/>
      <c r="AB84" s="3149"/>
      <c r="AC84" s="3149"/>
    </row>
    <row r="85" spans="1:29" ht="15" thickTop="1">
      <c r="A85" s="3277"/>
      <c r="B85" s="3227" t="s">
        <v>3236</v>
      </c>
      <c r="C85" s="3260" t="str">
        <f>C86&amp;"(含)"&amp;"-"&amp;D86</f>
        <v>0.5(含)-0.6</v>
      </c>
      <c r="D85" s="3260" t="str">
        <f>D86&amp;"(含)"&amp;"-"&amp;E86</f>
        <v>0.6(含)-0.7</v>
      </c>
      <c r="E85" s="3260" t="str">
        <f>E86&amp;"(含)"&amp;"-"&amp;F86</f>
        <v>0.7(含)-0.8</v>
      </c>
      <c r="F85" s="3260" t="str">
        <f>F86&amp;"(含)"&amp;"-"&amp;G86</f>
        <v>0.8(含)-0.9</v>
      </c>
      <c r="G85" s="3260" t="str">
        <f>G86&amp;"(含)"&amp;"-"&amp;ROUND(H86,0)&amp;"(含)"</f>
        <v>0.9(含)-1(含)</v>
      </c>
      <c r="H85" s="3260"/>
      <c r="I85" s="3265"/>
      <c r="J85" s="3265"/>
      <c r="K85" s="3266"/>
      <c r="L85" s="3267"/>
      <c r="M85" s="3268"/>
      <c r="N85" s="3220"/>
      <c r="O85" s="3220"/>
      <c r="P85" s="3221"/>
      <c r="Q85" s="3184"/>
      <c r="R85" s="3149"/>
      <c r="S85" s="3149"/>
      <c r="T85" s="3149"/>
      <c r="U85" s="3149"/>
      <c r="V85" s="3149"/>
      <c r="W85" s="3149"/>
      <c r="X85" s="3149"/>
      <c r="Y85" s="3149"/>
      <c r="Z85" s="3149"/>
      <c r="AA85" s="3149"/>
      <c r="AB85" s="3149"/>
      <c r="AC85" s="3149"/>
    </row>
    <row r="86" spans="1:29">
      <c r="A86" s="3277"/>
      <c r="B86" s="3264"/>
      <c r="C86" s="3278">
        <v>0.5</v>
      </c>
      <c r="D86" s="3278">
        <v>0.6</v>
      </c>
      <c r="E86" s="3278">
        <v>0.7</v>
      </c>
      <c r="F86" s="3278">
        <v>0.8</v>
      </c>
      <c r="G86" s="3278">
        <v>0.9</v>
      </c>
      <c r="H86" s="3278">
        <v>1.0001</v>
      </c>
      <c r="I86" s="3279"/>
      <c r="J86" s="3279"/>
      <c r="K86" s="3280"/>
      <c r="L86" s="3281"/>
      <c r="M86" s="3282"/>
      <c r="N86" s="3220"/>
      <c r="O86" s="3220"/>
      <c r="P86" s="3221"/>
      <c r="Q86" s="3184"/>
      <c r="R86" s="3149"/>
      <c r="S86" s="3149"/>
      <c r="T86" s="3149"/>
      <c r="U86" s="3149"/>
      <c r="V86" s="3149"/>
      <c r="W86" s="3149"/>
      <c r="X86" s="3149"/>
      <c r="Y86" s="3149"/>
      <c r="Z86" s="3149"/>
      <c r="AA86" s="3149"/>
      <c r="AB86" s="3149"/>
      <c r="AC86" s="3149"/>
    </row>
    <row r="87" spans="1:29" ht="15.75" thickBot="1">
      <c r="A87" s="3222"/>
      <c r="B87" s="3232"/>
      <c r="C87" s="3283">
        <v>100</v>
      </c>
      <c r="D87" s="3233">
        <f>C87+$K$29</f>
        <v>101</v>
      </c>
      <c r="E87" s="3233">
        <f t="shared" ref="E87:M87" si="19">D87+$K$29</f>
        <v>102</v>
      </c>
      <c r="F87" s="3233">
        <f t="shared" si="19"/>
        <v>103</v>
      </c>
      <c r="G87" s="3233">
        <f t="shared" si="19"/>
        <v>104</v>
      </c>
      <c r="H87" s="3233">
        <f t="shared" si="19"/>
        <v>105</v>
      </c>
      <c r="I87" s="3233">
        <f t="shared" si="19"/>
        <v>106</v>
      </c>
      <c r="J87" s="3233">
        <f t="shared" si="19"/>
        <v>107</v>
      </c>
      <c r="K87" s="3233">
        <f t="shared" si="19"/>
        <v>108</v>
      </c>
      <c r="L87" s="3233">
        <f t="shared" si="19"/>
        <v>109</v>
      </c>
      <c r="M87" s="3233">
        <f t="shared" si="19"/>
        <v>110</v>
      </c>
      <c r="N87" s="3226"/>
      <c r="O87" s="3226"/>
      <c r="P87" s="3221"/>
      <c r="Q87" s="3184"/>
      <c r="R87" s="3149"/>
      <c r="S87" s="3149"/>
      <c r="T87" s="3149"/>
      <c r="U87" s="3149"/>
      <c r="V87" s="3149"/>
      <c r="W87" s="3149"/>
      <c r="X87" s="3149"/>
      <c r="Y87" s="3149"/>
      <c r="Z87" s="3149"/>
      <c r="AA87" s="3149"/>
      <c r="AB87" s="3149"/>
      <c r="AC87" s="3149"/>
    </row>
    <row r="88" spans="1:29" ht="15" thickTop="1">
      <c r="A88" s="3277"/>
      <c r="B88" s="3264" t="s">
        <v>3237</v>
      </c>
      <c r="C88" s="3216"/>
      <c r="D88" s="3216"/>
      <c r="E88" s="3216"/>
      <c r="F88" s="3216"/>
      <c r="G88" s="3216"/>
      <c r="H88" s="3216"/>
      <c r="I88" s="3216"/>
      <c r="J88" s="3216"/>
      <c r="K88" s="3217"/>
      <c r="L88" s="3218"/>
      <c r="M88" s="3219"/>
      <c r="N88" s="3220"/>
      <c r="O88" s="3220"/>
      <c r="P88" s="3221"/>
      <c r="Q88" s="3184"/>
      <c r="R88" s="3149"/>
      <c r="S88" s="3149"/>
      <c r="T88" s="3149"/>
      <c r="U88" s="3149"/>
      <c r="V88" s="3149"/>
      <c r="W88" s="3149"/>
      <c r="X88" s="3149"/>
      <c r="Y88" s="3149"/>
      <c r="Z88" s="3149"/>
      <c r="AA88" s="3149"/>
      <c r="AB88" s="3149"/>
      <c r="AC88" s="3149"/>
    </row>
    <row r="89" spans="1:29" ht="15.75" thickBot="1">
      <c r="A89" s="3222"/>
      <c r="B89" s="3232"/>
      <c r="C89" s="3283">
        <v>100</v>
      </c>
      <c r="D89" s="3233">
        <f t="shared" ref="D89:M89" si="20">C89+$K30</f>
        <v>103</v>
      </c>
      <c r="E89" s="3233">
        <f t="shared" si="20"/>
        <v>106</v>
      </c>
      <c r="F89" s="3233">
        <f t="shared" si="20"/>
        <v>109</v>
      </c>
      <c r="G89" s="3233">
        <f t="shared" si="20"/>
        <v>112</v>
      </c>
      <c r="H89" s="3233">
        <f t="shared" si="20"/>
        <v>115</v>
      </c>
      <c r="I89" s="3233">
        <f t="shared" si="20"/>
        <v>118</v>
      </c>
      <c r="J89" s="3233">
        <f t="shared" si="20"/>
        <v>121</v>
      </c>
      <c r="K89" s="3233">
        <f t="shared" si="20"/>
        <v>124</v>
      </c>
      <c r="L89" s="3233">
        <f t="shared" si="20"/>
        <v>127</v>
      </c>
      <c r="M89" s="3233">
        <f t="shared" si="20"/>
        <v>130</v>
      </c>
      <c r="N89" s="3226"/>
      <c r="O89" s="3226"/>
      <c r="P89" s="3221"/>
      <c r="Q89" s="3184"/>
      <c r="R89" s="3149"/>
      <c r="S89" s="3149"/>
      <c r="T89" s="3149"/>
      <c r="U89" s="3149"/>
      <c r="V89" s="3149"/>
      <c r="W89" s="3149"/>
      <c r="X89" s="3149"/>
      <c r="Y89" s="3149"/>
      <c r="Z89" s="3149"/>
      <c r="AA89" s="3149"/>
      <c r="AB89" s="3149"/>
      <c r="AC89" s="3149"/>
    </row>
    <row r="90" spans="1:29" s="3131" customFormat="1" ht="15" thickTop="1">
      <c r="A90" s="3284"/>
      <c r="B90" s="3227" t="s">
        <v>3187</v>
      </c>
      <c r="C90" s="3260" t="str">
        <f>C91&amp;"(含)"&amp;"-"&amp;D91</f>
        <v>0(含)-30</v>
      </c>
      <c r="D90" s="3260" t="str">
        <f t="shared" ref="D90:L90" si="21">D91&amp;"(含)"&amp;"-"&amp;E91</f>
        <v>30(含)-60</v>
      </c>
      <c r="E90" s="3260" t="str">
        <f t="shared" si="21"/>
        <v>60(含)-100</v>
      </c>
      <c r="F90" s="3260" t="str">
        <f t="shared" si="21"/>
        <v>100(含)-</v>
      </c>
      <c r="G90" s="3260" t="str">
        <f t="shared" si="21"/>
        <v>(含)-</v>
      </c>
      <c r="H90" s="3260" t="str">
        <f t="shared" si="21"/>
        <v>(含)-</v>
      </c>
      <c r="I90" s="3260" t="str">
        <f t="shared" si="21"/>
        <v>(含)-</v>
      </c>
      <c r="J90" s="3260" t="str">
        <f t="shared" si="21"/>
        <v>(含)-</v>
      </c>
      <c r="K90" s="3260" t="str">
        <f t="shared" si="21"/>
        <v>(含)-</v>
      </c>
      <c r="L90" s="3260" t="str">
        <f t="shared" si="21"/>
        <v>(含)-</v>
      </c>
      <c r="M90" s="3285" t="str">
        <f>M91&amp;"(含)"&amp;"-"&amp;P91</f>
        <v>(含)-</v>
      </c>
      <c r="N90" s="3246"/>
      <c r="O90" s="3246"/>
      <c r="P90" s="3247"/>
      <c r="Q90" s="3248"/>
      <c r="R90" s="3249"/>
      <c r="S90" s="3249"/>
      <c r="T90" s="3249"/>
      <c r="U90" s="3249"/>
      <c r="V90" s="3249"/>
      <c r="W90" s="3249"/>
      <c r="X90" s="3249"/>
      <c r="Y90" s="3249"/>
      <c r="Z90" s="3249"/>
      <c r="AA90" s="3249"/>
      <c r="AB90" s="3249"/>
      <c r="AC90" s="3249"/>
    </row>
    <row r="91" spans="1:29" s="3131" customFormat="1">
      <c r="A91" s="3284"/>
      <c r="B91" s="3264"/>
      <c r="C91" s="3286">
        <v>0</v>
      </c>
      <c r="D91" s="3286">
        <v>30</v>
      </c>
      <c r="E91" s="3286">
        <v>60</v>
      </c>
      <c r="F91" s="3286">
        <v>100</v>
      </c>
      <c r="G91" s="3286"/>
      <c r="H91" s="3286"/>
      <c r="I91" s="3286"/>
      <c r="J91" s="3287"/>
      <c r="K91" s="3287"/>
      <c r="L91" s="3288"/>
      <c r="M91" s="3289"/>
      <c r="N91" s="3246"/>
      <c r="O91" s="3246"/>
      <c r="P91" s="3247"/>
      <c r="Q91" s="3248"/>
      <c r="R91" s="3249"/>
      <c r="S91" s="3249"/>
      <c r="T91" s="3249"/>
      <c r="U91" s="3249"/>
      <c r="V91" s="3249"/>
      <c r="W91" s="3249"/>
      <c r="X91" s="3249"/>
      <c r="Y91" s="3249"/>
      <c r="Z91" s="3249"/>
      <c r="AA91" s="3249"/>
      <c r="AB91" s="3249"/>
      <c r="AC91" s="3249"/>
    </row>
    <row r="92" spans="1:29" s="3131" customFormat="1" ht="15.75" thickBot="1">
      <c r="A92" s="3241"/>
      <c r="B92" s="3232"/>
      <c r="C92" s="3240">
        <v>100</v>
      </c>
      <c r="D92" s="3224">
        <v>101</v>
      </c>
      <c r="E92" s="3224">
        <v>102</v>
      </c>
      <c r="F92" s="3224">
        <v>103</v>
      </c>
      <c r="G92" s="3224"/>
      <c r="H92" s="3224"/>
      <c r="I92" s="3224"/>
      <c r="J92" s="3224"/>
      <c r="K92" s="3224"/>
      <c r="L92" s="3224"/>
      <c r="M92" s="3225"/>
      <c r="N92" s="3246"/>
      <c r="O92" s="3246"/>
      <c r="P92" s="3247"/>
      <c r="Q92" s="3248"/>
      <c r="R92" s="3249"/>
      <c r="S92" s="3249"/>
      <c r="T92" s="3249"/>
      <c r="U92" s="3249"/>
      <c r="V92" s="3249"/>
      <c r="W92" s="3249"/>
      <c r="X92" s="3249"/>
      <c r="Y92" s="3249"/>
      <c r="Z92" s="3249"/>
      <c r="AA92" s="3249"/>
      <c r="AB92" s="3249"/>
      <c r="AC92" s="3249"/>
    </row>
    <row r="93" spans="1:29" ht="15" thickTop="1">
      <c r="A93" s="3277"/>
      <c r="B93" s="3227" t="s">
        <v>3188</v>
      </c>
      <c r="C93" s="3242"/>
      <c r="D93" s="3242"/>
      <c r="E93" s="3265"/>
      <c r="F93" s="3265"/>
      <c r="G93" s="3265"/>
      <c r="H93" s="3265"/>
      <c r="I93" s="3265"/>
      <c r="J93" s="3265"/>
      <c r="K93" s="3266"/>
      <c r="L93" s="3267"/>
      <c r="M93" s="3268"/>
      <c r="N93" s="3220"/>
      <c r="O93" s="3220"/>
      <c r="P93" s="3221"/>
      <c r="Q93" s="3184"/>
      <c r="R93" s="3149"/>
      <c r="S93" s="3149"/>
      <c r="T93" s="3149"/>
      <c r="U93" s="3149"/>
      <c r="V93" s="3149"/>
      <c r="W93" s="3149"/>
      <c r="X93" s="3149"/>
      <c r="Y93" s="3149"/>
      <c r="Z93" s="3149"/>
      <c r="AA93" s="3149"/>
      <c r="AB93" s="3149"/>
      <c r="AC93" s="3149"/>
    </row>
    <row r="94" spans="1:29" ht="15.75" thickBot="1">
      <c r="A94" s="3222"/>
      <c r="B94" s="3232"/>
      <c r="C94" s="3233">
        <v>100</v>
      </c>
      <c r="D94" s="3233">
        <f t="shared" ref="D94:M94" si="22">C94-$K32</f>
        <v>95</v>
      </c>
      <c r="E94" s="3233">
        <f t="shared" si="22"/>
        <v>90</v>
      </c>
      <c r="F94" s="3233">
        <f t="shared" si="22"/>
        <v>85</v>
      </c>
      <c r="G94" s="3233">
        <f t="shared" si="22"/>
        <v>80</v>
      </c>
      <c r="H94" s="3233">
        <f t="shared" si="22"/>
        <v>75</v>
      </c>
      <c r="I94" s="3233">
        <f t="shared" si="22"/>
        <v>70</v>
      </c>
      <c r="J94" s="3233">
        <f t="shared" si="22"/>
        <v>65</v>
      </c>
      <c r="K94" s="3233">
        <f t="shared" si="22"/>
        <v>60</v>
      </c>
      <c r="L94" s="3233">
        <f t="shared" si="22"/>
        <v>55</v>
      </c>
      <c r="M94" s="3234">
        <f t="shared" si="22"/>
        <v>50</v>
      </c>
      <c r="N94" s="3226"/>
      <c r="O94" s="3226"/>
      <c r="P94" s="3221"/>
      <c r="Q94" s="3184"/>
      <c r="R94" s="3149"/>
      <c r="S94" s="3149"/>
      <c r="T94" s="3149"/>
      <c r="U94" s="3149"/>
      <c r="V94" s="3149"/>
      <c r="W94" s="3149"/>
      <c r="X94" s="3149"/>
      <c r="Y94" s="3149"/>
      <c r="Z94" s="3149"/>
      <c r="AA94" s="3149"/>
      <c r="AB94" s="3149"/>
      <c r="AC94" s="3149"/>
    </row>
    <row r="95" spans="1:29" ht="15" thickTop="1">
      <c r="A95" s="3277"/>
      <c r="B95" s="3227" t="s">
        <v>3190</v>
      </c>
      <c r="C95" s="3216"/>
      <c r="D95" s="3216"/>
      <c r="E95" s="3216"/>
      <c r="F95" s="3216"/>
      <c r="G95" s="3216"/>
      <c r="H95" s="3216"/>
      <c r="I95" s="3216"/>
      <c r="J95" s="3216"/>
      <c r="K95" s="3217"/>
      <c r="L95" s="3218"/>
      <c r="M95" s="3219"/>
      <c r="N95" s="3220"/>
      <c r="O95" s="3220"/>
      <c r="P95" s="3221"/>
      <c r="Q95" s="3184"/>
      <c r="R95" s="3149"/>
      <c r="S95" s="3149"/>
      <c r="T95" s="3149"/>
      <c r="U95" s="3149"/>
      <c r="V95" s="3149"/>
      <c r="W95" s="3149"/>
      <c r="X95" s="3149"/>
      <c r="Y95" s="3149"/>
      <c r="Z95" s="3149"/>
      <c r="AA95" s="3149"/>
      <c r="AB95" s="3149"/>
      <c r="AC95" s="3149"/>
    </row>
    <row r="96" spans="1:29" ht="15.75" thickBot="1">
      <c r="A96" s="3222"/>
      <c r="B96" s="3232"/>
      <c r="C96" s="3233">
        <v>100</v>
      </c>
      <c r="D96" s="3233">
        <f>C96-$K33</f>
        <v>99</v>
      </c>
      <c r="E96" s="3233">
        <f>D96-$K33</f>
        <v>98</v>
      </c>
      <c r="F96" s="3233">
        <f>E96-$K33</f>
        <v>97</v>
      </c>
      <c r="G96" s="3233">
        <f>F96-$K33</f>
        <v>96</v>
      </c>
      <c r="H96" s="3233"/>
      <c r="I96" s="3233"/>
      <c r="J96" s="3233"/>
      <c r="K96" s="3233"/>
      <c r="L96" s="3233"/>
      <c r="M96" s="3234"/>
      <c r="N96" s="3226"/>
      <c r="O96" s="3226"/>
      <c r="P96" s="3221"/>
      <c r="Q96" s="3184"/>
      <c r="R96" s="3149"/>
      <c r="S96" s="3149"/>
      <c r="T96" s="3149"/>
      <c r="U96" s="3149"/>
      <c r="V96" s="3149"/>
      <c r="W96" s="3149"/>
      <c r="X96" s="3149"/>
      <c r="Y96" s="3149"/>
      <c r="Z96" s="3149"/>
      <c r="AA96" s="3149"/>
      <c r="AB96" s="3149"/>
      <c r="AC96" s="3149"/>
    </row>
    <row r="97" spans="1:29" ht="15" thickTop="1">
      <c r="A97" s="3277"/>
      <c r="B97" s="3290">
        <f>B34</f>
        <v>0</v>
      </c>
      <c r="C97" s="3236"/>
      <c r="D97" s="3236"/>
      <c r="E97" s="3236"/>
      <c r="F97" s="3236"/>
      <c r="G97" s="3242"/>
      <c r="H97" s="3243"/>
      <c r="I97" s="3243"/>
      <c r="J97" s="3243"/>
      <c r="K97" s="3243"/>
      <c r="L97" s="3244"/>
      <c r="M97" s="3245"/>
      <c r="N97" s="3226"/>
      <c r="O97" s="3226"/>
      <c r="P97" s="3291"/>
      <c r="Q97" s="3292"/>
      <c r="R97" s="3149"/>
      <c r="S97" s="3149"/>
      <c r="T97" s="3149"/>
      <c r="U97" s="3149"/>
      <c r="V97" s="3149"/>
      <c r="W97" s="3149"/>
      <c r="X97" s="3149"/>
      <c r="Y97" s="3149"/>
      <c r="Z97" s="3149"/>
      <c r="AA97" s="3149"/>
      <c r="AB97" s="3149"/>
      <c r="AC97" s="3149"/>
    </row>
    <row r="98" spans="1:29" ht="15.75" thickBot="1">
      <c r="A98" s="3222"/>
      <c r="B98" s="3232"/>
      <c r="C98" s="3240"/>
      <c r="D98" s="3224"/>
      <c r="E98" s="3224"/>
      <c r="F98" s="3224"/>
      <c r="G98" s="3240"/>
      <c r="H98" s="3252"/>
      <c r="I98" s="3252"/>
      <c r="J98" s="3252"/>
      <c r="K98" s="3252"/>
      <c r="L98" s="3252"/>
      <c r="M98" s="3253"/>
      <c r="N98" s="3226"/>
      <c r="O98" s="3226"/>
      <c r="P98" s="3221"/>
      <c r="Q98" s="3184"/>
      <c r="R98" s="3149"/>
      <c r="S98" s="3149"/>
      <c r="T98" s="3149"/>
      <c r="U98" s="3149"/>
      <c r="V98" s="3149"/>
      <c r="W98" s="3149"/>
      <c r="X98" s="3149"/>
      <c r="Y98" s="3149"/>
      <c r="Z98" s="3149"/>
      <c r="AA98" s="3149"/>
      <c r="AB98" s="3149"/>
      <c r="AC98" s="3149"/>
    </row>
    <row r="99" spans="1:29" s="3131" customFormat="1" ht="15" thickTop="1">
      <c r="A99" s="3284"/>
      <c r="B99" s="3227">
        <f>B35</f>
        <v>0</v>
      </c>
      <c r="C99" s="3236"/>
      <c r="D99" s="3236"/>
      <c r="E99" s="3236"/>
      <c r="F99" s="3236"/>
      <c r="G99" s="3242"/>
      <c r="H99" s="3243"/>
      <c r="I99" s="3243"/>
      <c r="J99" s="3243"/>
      <c r="K99" s="3243"/>
      <c r="L99" s="3244"/>
      <c r="M99" s="3245"/>
      <c r="N99" s="3246"/>
      <c r="O99" s="3246"/>
      <c r="P99" s="3247"/>
      <c r="Q99" s="3248"/>
      <c r="R99" s="3249"/>
      <c r="S99" s="3249"/>
      <c r="T99" s="3249"/>
      <c r="U99" s="3249"/>
      <c r="V99" s="3249"/>
      <c r="W99" s="3249"/>
      <c r="X99" s="3249"/>
      <c r="Y99" s="3249"/>
      <c r="Z99" s="3249"/>
      <c r="AA99" s="3249"/>
      <c r="AB99" s="3249"/>
      <c r="AC99" s="3249"/>
    </row>
    <row r="100" spans="1:29" s="3131" customFormat="1" ht="15.75" thickBot="1">
      <c r="A100" s="3241"/>
      <c r="B100" s="3223"/>
      <c r="C100" s="3240"/>
      <c r="D100" s="3224"/>
      <c r="E100" s="3224"/>
      <c r="F100" s="3224"/>
      <c r="G100" s="3240"/>
      <c r="H100" s="3252"/>
      <c r="I100" s="3252"/>
      <c r="J100" s="3252"/>
      <c r="K100" s="3252"/>
      <c r="L100" s="3252"/>
      <c r="M100" s="3253"/>
      <c r="N100" s="3246"/>
      <c r="O100" s="3246"/>
      <c r="P100" s="3247"/>
      <c r="Q100" s="3248"/>
      <c r="R100" s="3249"/>
      <c r="S100" s="3249"/>
      <c r="T100" s="3249"/>
      <c r="U100" s="3249"/>
      <c r="V100" s="3249"/>
      <c r="W100" s="3249"/>
      <c r="X100" s="3249"/>
      <c r="Y100" s="3249"/>
      <c r="Z100" s="3249"/>
      <c r="AA100" s="3249"/>
      <c r="AB100" s="3249"/>
      <c r="AC100" s="3249"/>
    </row>
    <row r="101" spans="1:29" ht="15" thickTop="1">
      <c r="A101" s="3277"/>
      <c r="B101" s="3227">
        <f>B36</f>
        <v>0</v>
      </c>
      <c r="C101" s="3242"/>
      <c r="D101" s="3242"/>
      <c r="E101" s="3242"/>
      <c r="F101" s="3242"/>
      <c r="G101" s="3242"/>
      <c r="H101" s="3243"/>
      <c r="I101" s="3243"/>
      <c r="J101" s="3243"/>
      <c r="K101" s="3243"/>
      <c r="L101" s="3244"/>
      <c r="M101" s="3245"/>
      <c r="N101" s="3220"/>
      <c r="O101" s="3220"/>
      <c r="P101" s="3221"/>
      <c r="Q101" s="3184"/>
      <c r="R101" s="3149"/>
      <c r="S101" s="3149"/>
      <c r="T101" s="3149"/>
      <c r="U101" s="3149"/>
      <c r="V101" s="3149"/>
      <c r="W101" s="3149"/>
      <c r="X101" s="3149"/>
      <c r="Y101" s="3149"/>
      <c r="Z101" s="3149"/>
      <c r="AA101" s="3149"/>
      <c r="AB101" s="3149"/>
      <c r="AC101" s="3149"/>
    </row>
    <row r="102" spans="1:29" ht="15.75" thickBot="1">
      <c r="A102" s="3222"/>
      <c r="B102" s="3232"/>
      <c r="C102" s="3240"/>
      <c r="D102" s="3240"/>
      <c r="E102" s="3240"/>
      <c r="F102" s="3240"/>
      <c r="G102" s="3240"/>
      <c r="H102" s="3252"/>
      <c r="I102" s="3252"/>
      <c r="J102" s="3252"/>
      <c r="K102" s="3252"/>
      <c r="L102" s="3252"/>
      <c r="M102" s="3253"/>
      <c r="N102" s="3226"/>
      <c r="O102" s="3226"/>
      <c r="P102" s="3221"/>
      <c r="Q102" s="3184"/>
      <c r="R102" s="3149"/>
      <c r="S102" s="3149"/>
      <c r="T102" s="3149"/>
      <c r="U102" s="3149"/>
      <c r="V102" s="3149"/>
      <c r="W102" s="3149"/>
      <c r="X102" s="3149"/>
      <c r="Y102" s="3149"/>
      <c r="Z102" s="3149"/>
      <c r="AA102" s="3149"/>
      <c r="AB102" s="3149"/>
      <c r="AC102" s="314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3259</v>
      </c>
      <c r="D1" s="1822" t="s">
        <v>3128</v>
      </c>
      <c r="E1" s="1823" t="s">
        <v>1383</v>
      </c>
      <c r="F1" s="1285">
        <f ca="1">J53</f>
        <v>35.700000000000003</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16955</v>
      </c>
      <c r="C2" s="1847" t="s">
        <v>1513</v>
      </c>
      <c r="D2" s="1847"/>
      <c r="E2" s="1848"/>
      <c r="F2" s="1849"/>
      <c r="G2" s="1850"/>
      <c r="H2" s="1842"/>
      <c r="I2" s="1842"/>
      <c r="J2" s="1842"/>
      <c r="K2" s="1843"/>
      <c r="L2" s="1842"/>
      <c r="M2" s="1842"/>
    </row>
    <row r="3" spans="1:37" ht="18" customHeight="1" thickBot="1">
      <c r="A3" s="1851" t="s">
        <v>1514</v>
      </c>
      <c r="B3" s="1852">
        <f ca="1">IF(ISERROR(B2*10000/F43),0,ROUND(B2*10000/F43,0))</f>
        <v>42092</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797</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796</v>
      </c>
      <c r="D6" s="164" t="s">
        <v>2990</v>
      </c>
      <c r="E6" s="347" t="s">
        <v>1401</v>
      </c>
      <c r="F6" s="348">
        <f ca="1">INDIRECT("'数据-取费表'!u"&amp;$G$1)</f>
        <v>5.7</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3302" t="s">
        <v>1402</v>
      </c>
      <c r="F7" s="348">
        <f ca="1">IF(INDIRECT("'数据-取费表'!ah"&amp;$G$1)="",INDIRECT("'数据-取费表'!k"&amp;$G$1),INDIRECT("'数据-取费表'!ah"&amp;$G$1))</f>
        <v>4028.04</v>
      </c>
      <c r="G7" s="1853"/>
      <c r="H7" s="349"/>
      <c r="I7" s="3557"/>
      <c r="J7" s="351"/>
      <c r="K7" s="352"/>
      <c r="L7" s="347" t="s">
        <v>1402</v>
      </c>
      <c r="M7" s="348">
        <f ca="1">F7</f>
        <v>4028.04</v>
      </c>
    </row>
    <row r="8" spans="1:37" ht="18" customHeight="1">
      <c r="A8" s="349"/>
      <c r="B8" s="3557"/>
      <c r="C8" s="351"/>
      <c r="D8" s="352"/>
      <c r="E8" s="347" t="s">
        <v>1403</v>
      </c>
      <c r="F8" s="348">
        <f ca="1">INDIRECT("'数据-取费表'!ai"&amp;$G$1)</f>
        <v>365</v>
      </c>
      <c r="G8" s="1853"/>
      <c r="H8" s="349"/>
      <c r="I8" s="3557"/>
      <c r="J8" s="351"/>
      <c r="K8" s="352"/>
      <c r="L8" s="347" t="s">
        <v>1403</v>
      </c>
      <c r="M8" s="348">
        <f ca="1">INDIRECT("'数据-取费表'!ai"&amp;$G$1)</f>
        <v>365</v>
      </c>
    </row>
    <row r="9" spans="1:37" ht="18" customHeight="1">
      <c r="A9" s="349"/>
      <c r="B9" s="3558"/>
      <c r="C9" s="351"/>
      <c r="D9" s="352"/>
      <c r="E9" s="347" t="s">
        <v>1404</v>
      </c>
      <c r="F9" s="357">
        <f ca="1">INDIRECT("'数据-取费表'!w"&amp;$G$1)</f>
        <v>0.05</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v>
      </c>
      <c r="D10" s="1826" t="s">
        <v>2986</v>
      </c>
      <c r="E10" s="358" t="s">
        <v>1407</v>
      </c>
      <c r="F10" s="1368" t="s">
        <v>3004</v>
      </c>
      <c r="G10" s="1853"/>
      <c r="H10" s="1293" t="s">
        <v>1037</v>
      </c>
      <c r="I10" s="1825" t="s">
        <v>1405</v>
      </c>
      <c r="J10" s="346">
        <f ca="1">ROUND(IF(M10="押一",M6*M8*M7/12*M11,IF(M10="押二",M6*M8*M7/12*2*M11,IF(M10="押三",M6*M8*M7/12*3*M11,J11*M11)))/10000,0)</f>
        <v>0</v>
      </c>
      <c r="K10" s="1826" t="s">
        <v>2986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2419</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1641</v>
      </c>
      <c r="D14" s="3305" t="s">
        <v>1415</v>
      </c>
      <c r="E14" s="3304"/>
      <c r="F14" s="364"/>
      <c r="G14" s="1853"/>
      <c r="H14" s="1203" t="s">
        <v>1033</v>
      </c>
      <c r="I14" s="347" t="s">
        <v>1416</v>
      </c>
      <c r="J14" s="24">
        <f ca="1">C29</f>
        <v>2419</v>
      </c>
      <c r="K14" s="3301"/>
      <c r="L14" s="981"/>
      <c r="M14" s="982"/>
    </row>
    <row r="15" spans="1:37" s="1860" customFormat="1" ht="18" customHeight="1" thickBot="1">
      <c r="A15" s="1203" t="s">
        <v>1034</v>
      </c>
      <c r="B15" s="347" t="s">
        <v>1417</v>
      </c>
      <c r="C15" s="24">
        <f ca="1">ROUND(C14*F15,0)</f>
        <v>49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57</v>
      </c>
      <c r="K16" s="1339" t="s">
        <v>1422</v>
      </c>
      <c r="L16" s="3307"/>
      <c r="M16" s="1296"/>
    </row>
    <row r="17" spans="1:37" s="1860" customFormat="1" ht="18" customHeight="1">
      <c r="A17" s="1203" t="s">
        <v>1386</v>
      </c>
      <c r="B17" s="347" t="s">
        <v>1423</v>
      </c>
      <c r="C17" s="24">
        <f ca="1">ROUND(F17*(F43+INDIRECT("'数据-取费表'!S"&amp;$G$1))/10000,0)</f>
        <v>83</v>
      </c>
      <c r="D17" s="347" t="s">
        <v>1424</v>
      </c>
      <c r="E17" s="347" t="s">
        <v>1425</v>
      </c>
      <c r="F17" s="26">
        <f>'数据-取费表'!B35</f>
        <v>200</v>
      </c>
      <c r="G17" s="1856"/>
      <c r="H17" s="1203" t="s">
        <v>1033</v>
      </c>
      <c r="I17" s="347" t="s">
        <v>1426</v>
      </c>
      <c r="J17" s="24">
        <f ca="1">ROUND(IF(项目基本情况!B11="自然人",J5*M17,J18+J19+J20),1)</f>
        <v>21.1</v>
      </c>
      <c r="K17" s="3305" t="s">
        <v>1427</v>
      </c>
      <c r="L17" s="330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25</v>
      </c>
      <c r="D18" s="347" t="s">
        <v>1418</v>
      </c>
      <c r="E18" s="347" t="s">
        <v>1419</v>
      </c>
      <c r="F18" s="367">
        <f>'数据-取费表'!B36</f>
        <v>1.4999999999999999E-2</v>
      </c>
      <c r="G18" s="1856"/>
      <c r="H18" s="1203" t="s">
        <v>1032</v>
      </c>
      <c r="I18" s="347" t="s">
        <v>1430</v>
      </c>
      <c r="J18" s="24">
        <f ca="1">ROUND(J5*M18/(1+'数据-取费表'!C42),2)</f>
        <v>0</v>
      </c>
      <c r="K18" s="330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1798</v>
      </c>
      <c r="D19" s="140" t="s">
        <v>1433</v>
      </c>
      <c r="E19" s="3300"/>
      <c r="F19" s="26"/>
      <c r="G19" s="1853"/>
      <c r="H19" s="1203" t="s">
        <v>1034</v>
      </c>
      <c r="I19" s="347" t="s">
        <v>1434</v>
      </c>
      <c r="J19" s="24">
        <f ca="1">IF(K19="按租金收入计税",ROUND(J5*M19,2),ROUND(C29*M19*0.7,2))</f>
        <v>20.32</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27</v>
      </c>
      <c r="D20" s="369" t="s">
        <v>1437</v>
      </c>
      <c r="E20" s="347" t="s">
        <v>1419</v>
      </c>
      <c r="F20" s="367">
        <f>'数据-取费表'!B37</f>
        <v>1.4999999999999999E-2</v>
      </c>
      <c r="G20" s="1856"/>
      <c r="H20" s="1203" t="s">
        <v>1385</v>
      </c>
      <c r="I20" s="164" t="s">
        <v>1438</v>
      </c>
      <c r="J20" s="25">
        <f ca="1">ROUND(M20*M21/10000,2)</f>
        <v>0.76</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634.04000000000008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3300"/>
      <c r="F22" s="26"/>
      <c r="G22" s="1853"/>
      <c r="H22" s="1203" t="s">
        <v>1037</v>
      </c>
      <c r="I22" s="347" t="s">
        <v>1446</v>
      </c>
      <c r="J22" s="24">
        <f ca="1">ROUND(J14*M22,1)</f>
        <v>36.299999999999997</v>
      </c>
      <c r="K22" s="3306"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132</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3306"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3300"/>
      <c r="F25" s="26"/>
      <c r="G25" s="1853"/>
      <c r="H25" s="1331" t="s">
        <v>1029</v>
      </c>
      <c r="I25" s="1346" t="s">
        <v>1460</v>
      </c>
      <c r="J25" s="355">
        <f ca="1">J5-J16</f>
        <v>-57</v>
      </c>
      <c r="K25" s="1347" t="s">
        <v>1461</v>
      </c>
      <c r="L25" s="1348"/>
      <c r="M25" s="1349"/>
    </row>
    <row r="26" spans="1:37">
      <c r="A26" s="1203" t="s">
        <v>1032</v>
      </c>
      <c r="B26" s="347" t="s">
        <v>1462</v>
      </c>
      <c r="C26" s="24">
        <f ca="1">ROUND((C19+C20)*F26,0)</f>
        <v>274</v>
      </c>
      <c r="D26" s="369" t="s">
        <v>1463</v>
      </c>
      <c r="E26" s="358" t="s">
        <v>1464</v>
      </c>
      <c r="F26" s="357">
        <f ca="1">INDIRECT("'数据-取费表'!q"&amp;$G$1)</f>
        <v>0.15</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3.0000000000000001E-3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2419</v>
      </c>
      <c r="D29" s="1344"/>
      <c r="E29" s="1342"/>
      <c r="F29" s="1345"/>
      <c r="G29" s="1856"/>
      <c r="H29" s="380" t="s">
        <v>1031</v>
      </c>
      <c r="I29" s="381" t="s">
        <v>1476</v>
      </c>
      <c r="J29" s="382">
        <f ca="1">ROUND(J26/(1+F40)^F41,0)</f>
        <v>0</v>
      </c>
      <c r="K29" s="383" t="s">
        <v>1477</v>
      </c>
      <c r="L29" s="384"/>
      <c r="M29" s="385">
        <f ca="1">INDIRECT("'数据-取费表'!k"&amp;$G$1)</f>
        <v>4028.04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112</v>
      </c>
      <c r="D30" s="1339" t="s">
        <v>1422</v>
      </c>
      <c r="E30" s="3307"/>
      <c r="F30" s="1296"/>
      <c r="G30" s="1853"/>
      <c r="H30" s="745"/>
      <c r="I30" s="746"/>
      <c r="J30" s="747"/>
      <c r="K30" s="748"/>
      <c r="L30" s="749"/>
      <c r="M30" s="750"/>
    </row>
    <row r="31" spans="1:37" ht="18" customHeight="1">
      <c r="A31" s="1203" t="s">
        <v>1033</v>
      </c>
      <c r="B31" s="347" t="s">
        <v>1426</v>
      </c>
      <c r="C31" s="24">
        <f ca="1">ROUND(IF(项目基本情况!B11="自然人",C5*F31,C32+C33+C34),1)</f>
        <v>63.6</v>
      </c>
      <c r="D31" s="3305" t="s">
        <v>1427</v>
      </c>
      <c r="E31" s="330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42.51</v>
      </c>
      <c r="D32" s="330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20.32</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0.76</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634.04000000000008</v>
      </c>
      <c r="G35" s="1853"/>
      <c r="H35" s="745"/>
      <c r="I35" s="1862"/>
      <c r="J35" s="1863"/>
      <c r="K35" s="1864"/>
      <c r="L35" s="1861"/>
      <c r="M35" s="1861"/>
    </row>
    <row r="36" spans="1:18" ht="18" customHeight="1">
      <c r="A36" s="1354" t="s">
        <v>1037</v>
      </c>
      <c r="B36" s="347" t="s">
        <v>1446</v>
      </c>
      <c r="C36" s="24">
        <f ca="1">ROUND(C29*F36,1)</f>
        <v>36.299999999999997</v>
      </c>
      <c r="D36" s="3306"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3.6</v>
      </c>
      <c r="D37" s="3306"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8</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685</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16955</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3.5000000000000003E-2</v>
      </c>
      <c r="G42" s="1853"/>
      <c r="H42" s="732"/>
      <c r="I42" s="1862"/>
      <c r="J42" s="1863"/>
      <c r="K42" s="751"/>
      <c r="L42" s="732"/>
      <c r="M42" s="732"/>
    </row>
    <row r="43" spans="1:18" ht="18" customHeight="1" thickBot="1">
      <c r="A43" s="380" t="s">
        <v>1031</v>
      </c>
      <c r="B43" s="381" t="s">
        <v>1484</v>
      </c>
      <c r="C43" s="382">
        <f ca="1">ROUND(C40*10000/F43,0)</f>
        <v>42092</v>
      </c>
      <c r="D43" s="383" t="s">
        <v>1485</v>
      </c>
      <c r="E43" s="384" t="s">
        <v>1486</v>
      </c>
      <c r="F43" s="385">
        <f ca="1">INDIRECT("'数据-取费表'!k"&amp;$G$1)</f>
        <v>4028.04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-17900</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3129</v>
      </c>
      <c r="K47" s="1884" t="s">
        <v>1524</v>
      </c>
      <c r="L47" s="1885">
        <f ca="1">INDIRECT("'数据-取费表'!d"&amp;$G$1)</f>
        <v>40</v>
      </c>
      <c r="M47" s="1840" t="str">
        <f>IF(ISNUMBER(FIND("住宅",C1)),"住宅","非住宅")</f>
        <v>非住宅</v>
      </c>
      <c r="O47" s="1886" t="s">
        <v>1038</v>
      </c>
      <c r="P47" s="1887" t="s">
        <v>1525</v>
      </c>
      <c r="Q47" s="1888">
        <f ca="1">C40+J29</f>
        <v>16955</v>
      </c>
      <c r="R47" s="1888" t="s">
        <v>1526</v>
      </c>
    </row>
    <row r="48" spans="1:18" s="1844" customFormat="1" ht="28.5" thickBot="1">
      <c r="A48" s="1362" t="s">
        <v>1133</v>
      </c>
      <c r="B48" s="345" t="s">
        <v>1397</v>
      </c>
      <c r="C48" s="3299">
        <f ca="1">C49+C53+C55</f>
        <v>0</v>
      </c>
      <c r="D48" s="1364"/>
      <c r="E48" s="1365"/>
      <c r="F48" s="1183"/>
      <c r="G48" s="792"/>
      <c r="H48" s="793"/>
      <c r="I48" s="1889" t="s">
        <v>1527</v>
      </c>
      <c r="J48" s="1890" t="s">
        <v>3130</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2989</v>
      </c>
      <c r="E49" s="1832" t="s">
        <v>1488</v>
      </c>
      <c r="F49" s="1283"/>
      <c r="G49" s="1893"/>
      <c r="H49" s="793"/>
      <c r="I49" s="1889" t="s">
        <v>1531</v>
      </c>
      <c r="J49" s="1894">
        <v>2020</v>
      </c>
      <c r="K49" s="1891" t="s">
        <v>1532</v>
      </c>
      <c r="L49" s="1895"/>
      <c r="O49" s="1896" t="s">
        <v>1040</v>
      </c>
      <c r="P49" s="1887" t="s">
        <v>1533</v>
      </c>
      <c r="Q49" s="1888">
        <f ca="1">C29</f>
        <v>2419</v>
      </c>
      <c r="R49" s="1888" t="s">
        <v>1526</v>
      </c>
    </row>
    <row r="50" spans="1:18" s="1844" customFormat="1" ht="13.5" thickBot="1">
      <c r="A50" s="1197"/>
      <c r="B50" s="1200"/>
      <c r="C50" s="1370"/>
      <c r="D50" s="1174"/>
      <c r="E50" s="1279" t="s">
        <v>1402</v>
      </c>
      <c r="F50" s="1280">
        <f ca="1">F7</f>
        <v>4028.04</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8026</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f ca="1">IF(M47="住宅",J51,IF(D1="——",MIN(J51,L48),IF(D1="在建（套用方法）",MIN(J51,L48-'数据-取费表'!B24),IF(D1="土地（套用方法）",MIN(J51,L48-'数据-取费表'!B20)))))</f>
        <v>35.700000000000003</v>
      </c>
      <c r="K53" s="3554" t="s">
        <v>1545</v>
      </c>
      <c r="L53" s="3555"/>
      <c r="O53" s="1886" t="s">
        <v>1044</v>
      </c>
      <c r="P53" s="1887" t="s">
        <v>1546</v>
      </c>
      <c r="Q53" s="1888">
        <f ca="1">Q47+Q48</f>
        <v>16955</v>
      </c>
      <c r="R53" s="1888" t="s">
        <v>1045</v>
      </c>
    </row>
    <row r="54" spans="1:18" s="1844" customFormat="1" ht="13.5" thickBot="1">
      <c r="A54" s="1408"/>
      <c r="B54" s="1827" t="s">
        <v>1384</v>
      </c>
      <c r="C54" s="1180"/>
      <c r="D54" s="1826"/>
      <c r="E54" s="330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3303"/>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2419</v>
      </c>
      <c r="D56" s="1916"/>
      <c r="E56" s="1917"/>
      <c r="F56" s="1909"/>
      <c r="I56" s="1918" t="s">
        <v>1551</v>
      </c>
      <c r="J56" s="1919" t="s">
        <v>2998</v>
      </c>
      <c r="K56" s="1889" t="s">
        <v>1552</v>
      </c>
      <c r="L56" s="1892" t="str">
        <f ca="1">IF(L48&lt;J51,"——",L48-J53)</f>
        <v>——</v>
      </c>
      <c r="O56" s="1886" t="s">
        <v>1038</v>
      </c>
      <c r="P56" s="1887" t="s">
        <v>1525</v>
      </c>
      <c r="Q56" s="1888">
        <f ca="1">C40+J29</f>
        <v>16955</v>
      </c>
      <c r="R56" s="1888" t="s">
        <v>1526</v>
      </c>
    </row>
    <row r="57" spans="1:18" s="1844" customFormat="1" ht="24.75" thickBot="1">
      <c r="A57" s="1920"/>
      <c r="B57" s="1171" t="s">
        <v>1475</v>
      </c>
      <c r="C57" s="282">
        <f ca="1">C29</f>
        <v>2419</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61</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20.32</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0.76</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16955</v>
      </c>
      <c r="R62" s="1888" t="s">
        <v>1045</v>
      </c>
    </row>
    <row r="63" spans="1:18" s="1844" customFormat="1" ht="13.5" thickBot="1">
      <c r="A63" s="372"/>
      <c r="B63" s="1177"/>
      <c r="C63" s="29"/>
      <c r="D63" s="1187"/>
      <c r="E63" s="1171" t="s">
        <v>1444</v>
      </c>
      <c r="F63" s="348">
        <f t="shared" ca="1" si="0"/>
        <v>634.04000000000008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36.299999999999997</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3.6</v>
      </c>
      <c r="D65" s="1185" t="s">
        <v>1451</v>
      </c>
      <c r="E65" s="1171" t="s">
        <v>1419</v>
      </c>
      <c r="F65" s="376">
        <f t="shared" ca="1" si="0"/>
        <v>1.5E-3</v>
      </c>
      <c r="I65" s="1931" t="s">
        <v>1576</v>
      </c>
      <c r="J65" s="1932">
        <v>40</v>
      </c>
      <c r="K65" s="1932">
        <v>30</v>
      </c>
      <c r="L65" s="1932">
        <v>50</v>
      </c>
      <c r="M65" s="1934">
        <v>0.02</v>
      </c>
      <c r="O65" s="1886" t="s">
        <v>1038</v>
      </c>
      <c r="P65" s="1887" t="s">
        <v>1525</v>
      </c>
      <c r="Q65" s="1888">
        <f ca="1">C40+J29</f>
        <v>16955</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-61</v>
      </c>
      <c r="D67" s="1184" t="s">
        <v>1461</v>
      </c>
      <c r="E67" s="1189"/>
      <c r="F67" s="1190"/>
      <c r="O67" s="1896" t="s">
        <v>1040</v>
      </c>
      <c r="P67" s="1887" t="s">
        <v>1559</v>
      </c>
      <c r="Q67" s="1935">
        <f ca="1">L51</f>
        <v>8026</v>
      </c>
      <c r="R67" s="1888" t="s">
        <v>1579</v>
      </c>
    </row>
    <row r="68" spans="1:18" s="1844" customFormat="1" ht="16.5" thickBot="1">
      <c r="A68" s="1168" t="s">
        <v>1030</v>
      </c>
      <c r="B68" s="1169" t="s">
        <v>1482</v>
      </c>
      <c r="C68" s="346">
        <f ca="1">ROUND(C67*(1-((1+F70)/(1+F68))^F69)/(F68-F70),0)</f>
        <v>-945</v>
      </c>
      <c r="D68" s="1186" t="s">
        <v>1466</v>
      </c>
      <c r="E68" s="1171" t="s">
        <v>1467</v>
      </c>
      <c r="F68" s="357">
        <f ca="1">F40</f>
        <v>5.5E-2</v>
      </c>
      <c r="O68" s="1896" t="s">
        <v>1041</v>
      </c>
      <c r="P68" s="1936" t="s">
        <v>1580</v>
      </c>
      <c r="Q68" s="1888">
        <f ca="1">ROUND(Q69-Q70*Q71,0)</f>
        <v>479</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685</v>
      </c>
      <c r="R69" s="1888" t="s">
        <v>1526</v>
      </c>
    </row>
    <row r="70" spans="1:18" s="1844" customFormat="1" ht="13.5" thickBot="1">
      <c r="A70" s="1175"/>
      <c r="B70" s="1176"/>
      <c r="C70" s="355"/>
      <c r="D70" s="1187"/>
      <c r="E70" s="1171" t="s">
        <v>1474</v>
      </c>
      <c r="F70" s="1277"/>
      <c r="O70" s="1896" t="s">
        <v>1047</v>
      </c>
      <c r="P70" s="1936" t="s">
        <v>1582</v>
      </c>
      <c r="Q70" s="1888">
        <f ca="1">C13</f>
        <v>2419</v>
      </c>
      <c r="R70" s="1888" t="s">
        <v>1526</v>
      </c>
    </row>
    <row r="71" spans="1:18" s="1844" customFormat="1" ht="13.5" thickBot="1">
      <c r="A71" s="1192" t="s">
        <v>1031</v>
      </c>
      <c r="B71" s="1193" t="s">
        <v>1484</v>
      </c>
      <c r="C71" s="382">
        <f ca="1">ROUND(C68*10000/F71,0)</f>
        <v>-2346</v>
      </c>
      <c r="D71" s="1194" t="s">
        <v>1485</v>
      </c>
      <c r="E71" s="1195" t="s">
        <v>1486</v>
      </c>
      <c r="F71" s="385">
        <f ca="1">F43</f>
        <v>4028.04</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206</v>
      </c>
      <c r="D75" s="1844"/>
      <c r="E75" s="1844"/>
      <c r="F75" s="1844"/>
      <c r="K75" s="1870"/>
      <c r="L75" s="1844"/>
      <c r="O75" s="1886" t="s">
        <v>1044</v>
      </c>
      <c r="P75" s="1887" t="s">
        <v>1546</v>
      </c>
      <c r="Q75" s="1888">
        <f ca="1">Q65+Q66</f>
        <v>16955</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0.69900000000000007</v>
      </c>
    </row>
    <row r="80" spans="1:18">
      <c r="B80" s="386" t="s">
        <v>1508</v>
      </c>
      <c r="C80" s="318">
        <f ca="1">ROUND(C75/C39,3)</f>
        <v>0.30099999999999999</v>
      </c>
    </row>
    <row r="81" spans="2:3">
      <c r="B81" s="314" t="s">
        <v>1509</v>
      </c>
      <c r="C81" s="282"/>
    </row>
    <row r="82" spans="2:3">
      <c r="B82" s="317" t="s">
        <v>1510</v>
      </c>
      <c r="C82" s="319">
        <f ca="1">1-C83</f>
        <v>0.85699999999999998</v>
      </c>
    </row>
    <row r="83" spans="2:3">
      <c r="B83" s="317" t="s">
        <v>1511</v>
      </c>
      <c r="C83" s="318">
        <f ca="1">ROUND(C13/C40,3)</f>
        <v>0.14299999999999999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1" priority="4">
      <formula>$L$48&gt;$J$51</formula>
    </cfRule>
  </conditionalFormatting>
  <conditionalFormatting sqref="I55 I60">
    <cfRule type="expression" dxfId="60" priority="5">
      <formula>$J$51&gt;$L$48</formula>
    </cfRule>
  </conditionalFormatting>
  <conditionalFormatting sqref="C11">
    <cfRule type="expression" dxfId="59" priority="3">
      <formula>$F$10="自定义"</formula>
    </cfRule>
  </conditionalFormatting>
  <conditionalFormatting sqref="J11">
    <cfRule type="expression" dxfId="58" priority="2">
      <formula>$M$10="自定义"</formula>
    </cfRule>
  </conditionalFormatting>
  <conditionalFormatting sqref="C54">
    <cfRule type="expression" dxfId="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t="s">
        <v>26</v>
      </c>
      <c r="C1" s="1622" t="s">
        <v>2486</v>
      </c>
      <c r="D1" s="1623" t="s">
        <v>47</v>
      </c>
      <c r="E1" s="1624"/>
      <c r="F1" s="2581" t="s">
        <v>3133</v>
      </c>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2286</v>
      </c>
      <c r="B2" s="1420">
        <f>IF(C2="——",IF(B37="元/平方米",ROUND(C39*D3/10000,0),ROUND(F3*C39/10000,0)),IF(B37="元/平方米",ROUND(C39*D3/10000,0),ROUND(F3*C39/10000,0))-D2)</f>
        <v>4658</v>
      </c>
      <c r="C2" s="2583" t="s">
        <v>69</v>
      </c>
      <c r="D2" s="1126" t="e">
        <f ca="1">SUMIF(INDIRECT("'"&amp;F2&amp;"'"&amp;"!A:A"),"承租人权益价值",INDIRECT("'"&amp;F2&amp;"'"&amp;"!c:c"))</f>
        <v>#REF!</v>
      </c>
      <c r="E2" s="2584" t="s">
        <v>2287</v>
      </c>
      <c r="F2" s="2585"/>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2288</v>
      </c>
      <c r="B3" s="609">
        <f>IF(AND(C2="——",B37="元/平方米"),C39,ROUND(B2*10000/D3,0))</f>
        <v>8984</v>
      </c>
      <c r="C3" s="400" t="s">
        <v>2600</v>
      </c>
      <c r="D3" s="399">
        <f>SUMIF('数据-汇总表'!$C19:$C33,D1,'数据-汇总表'!$E19:$E33)</f>
        <v>5184.72</v>
      </c>
      <c r="E3" s="400" t="s">
        <v>2664</v>
      </c>
      <c r="F3" s="399">
        <f>SUMIF('数据-取费表'!A5:A15,D1,'数据-取费表'!AH5:AH15)</f>
        <v>98</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2601</v>
      </c>
      <c r="B4" s="402"/>
      <c r="C4" s="3517" t="s">
        <v>2602</v>
      </c>
      <c r="D4" s="3518"/>
      <c r="E4" s="3519" t="s">
        <v>2603</v>
      </c>
      <c r="F4" s="3520"/>
      <c r="G4" s="3517" t="s">
        <v>2604</v>
      </c>
      <c r="H4" s="3518"/>
      <c r="I4" s="3517" t="s">
        <v>2605</v>
      </c>
      <c r="J4" s="3518"/>
      <c r="K4" s="610" t="s">
        <v>2606</v>
      </c>
      <c r="L4" s="1132"/>
      <c r="M4" s="1133"/>
      <c r="N4" s="1133"/>
      <c r="O4" s="1133"/>
      <c r="P4" s="3521" t="s">
        <v>2607</v>
      </c>
      <c r="Q4" s="3522"/>
      <c r="R4" s="3503" t="s">
        <v>2603</v>
      </c>
      <c r="S4" s="3504"/>
      <c r="T4" s="3503" t="s">
        <v>2604</v>
      </c>
      <c r="U4" s="3504"/>
      <c r="V4" s="3529" t="s">
        <v>2605</v>
      </c>
      <c r="W4" s="3529"/>
      <c r="X4" s="1815"/>
      <c r="Y4" s="3503" t="s">
        <v>2607</v>
      </c>
      <c r="Z4" s="3504"/>
      <c r="AA4" s="3498" t="s">
        <v>2603</v>
      </c>
      <c r="AB4" s="3499" t="s">
        <v>2604</v>
      </c>
      <c r="AC4" s="3498" t="s">
        <v>2605</v>
      </c>
    </row>
    <row r="5" spans="1:29" ht="15">
      <c r="A5" s="404"/>
      <c r="B5" s="405"/>
      <c r="C5" s="3509" t="s">
        <v>2498</v>
      </c>
      <c r="D5" s="3510"/>
      <c r="E5" s="3615" t="s">
        <v>3147</v>
      </c>
      <c r="F5" s="3616"/>
      <c r="G5" s="3615" t="s">
        <v>3148</v>
      </c>
      <c r="H5" s="3616"/>
      <c r="I5" s="3615" t="s">
        <v>3149</v>
      </c>
      <c r="J5" s="3616"/>
      <c r="K5" s="610"/>
      <c r="L5" s="1132"/>
      <c r="M5" s="1133"/>
      <c r="N5" s="1133"/>
      <c r="O5" s="1133"/>
      <c r="P5" s="3523"/>
      <c r="Q5" s="3524"/>
      <c r="R5" s="3505"/>
      <c r="S5" s="3506"/>
      <c r="T5" s="3505"/>
      <c r="U5" s="3506"/>
      <c r="V5" s="3529"/>
      <c r="W5" s="3529"/>
      <c r="X5" s="1815"/>
      <c r="Y5" s="3505"/>
      <c r="Z5" s="3506"/>
      <c r="AA5" s="3499"/>
      <c r="AB5" s="3499"/>
      <c r="AC5" s="3499"/>
    </row>
    <row r="6" spans="1:29" ht="15.75" thickBot="1">
      <c r="A6" s="406"/>
      <c r="B6" s="407"/>
      <c r="C6" s="3511" t="s">
        <v>2502</v>
      </c>
      <c r="D6" s="3512"/>
      <c r="E6" s="3514" t="s">
        <v>2502</v>
      </c>
      <c r="F6" s="3515"/>
      <c r="G6" s="3511" t="s">
        <v>2502</v>
      </c>
      <c r="H6" s="3512"/>
      <c r="I6" s="3511" t="s">
        <v>2502</v>
      </c>
      <c r="J6" s="3512"/>
      <c r="K6" s="610" t="s">
        <v>2503</v>
      </c>
      <c r="L6" s="1132"/>
      <c r="M6" s="1133"/>
      <c r="N6" s="1133"/>
      <c r="O6" s="1133"/>
      <c r="P6" s="3525"/>
      <c r="Q6" s="3526"/>
      <c r="R6" s="3505"/>
      <c r="S6" s="3506"/>
      <c r="T6" s="3527"/>
      <c r="U6" s="3528"/>
      <c r="V6" s="3529"/>
      <c r="W6" s="3529"/>
      <c r="X6" s="1815"/>
      <c r="Y6" s="3527"/>
      <c r="Z6" s="3528"/>
      <c r="AA6" s="3500"/>
      <c r="AB6" s="3500"/>
      <c r="AC6" s="3500"/>
    </row>
    <row r="7" spans="1:29" s="117" customFormat="1" ht="15.75" thickBot="1">
      <c r="A7" s="408" t="s">
        <v>2504</v>
      </c>
      <c r="B7" s="409"/>
      <c r="C7" s="410">
        <f>'数据-取费表'!B2</f>
        <v>43109</v>
      </c>
      <c r="D7" s="411">
        <v>100</v>
      </c>
      <c r="E7" s="3036">
        <v>42856</v>
      </c>
      <c r="F7" s="413">
        <f>SUMIF(48:48,YEAR(E7)&amp;"-"&amp;MONTH(E7),49:49)</f>
        <v>98.5</v>
      </c>
      <c r="G7" s="412">
        <v>42826</v>
      </c>
      <c r="H7" s="411">
        <f>SUMIF(48:48,YEAR(G7)&amp;"-"&amp;MONTH(G7),49:49)</f>
        <v>98.5</v>
      </c>
      <c r="I7" s="412">
        <v>42826</v>
      </c>
      <c r="J7" s="411">
        <f>SUMIF(48:48,YEAR(I7)&amp;"-"&amp;MONTH(I7),49:49)</f>
        <v>98.5</v>
      </c>
      <c r="K7" s="611"/>
      <c r="L7" s="1134"/>
      <c r="M7" s="1135"/>
      <c r="N7" s="1135"/>
      <c r="O7" s="1135"/>
      <c r="P7" s="3501" t="s">
        <v>2505</v>
      </c>
      <c r="Q7" s="3530"/>
      <c r="R7" s="770" t="s">
        <v>17</v>
      </c>
      <c r="S7" s="771">
        <f t="shared" ref="S7:S14" si="0">F7</f>
        <v>98.5</v>
      </c>
      <c r="T7" s="770" t="s">
        <v>17</v>
      </c>
      <c r="U7" s="771">
        <f t="shared" ref="U7:U14" si="1">H7</f>
        <v>98.5</v>
      </c>
      <c r="V7" s="770" t="s">
        <v>17</v>
      </c>
      <c r="W7" s="771">
        <f t="shared" ref="W7:W14" si="2">J7</f>
        <v>98.5</v>
      </c>
      <c r="X7" s="772"/>
      <c r="Y7" s="3501" t="s">
        <v>2505</v>
      </c>
      <c r="Z7" s="3502"/>
      <c r="AA7" s="773">
        <f>D7/F7</f>
        <v>1.015228426395939</v>
      </c>
      <c r="AB7" s="773">
        <f>D7/H7</f>
        <v>1.015228426395939</v>
      </c>
      <c r="AC7" s="773">
        <f>D7/J7</f>
        <v>1.015228426395939</v>
      </c>
    </row>
    <row r="8" spans="1:29" s="117" customFormat="1" ht="15.75" thickBot="1">
      <c r="A8" s="408" t="s">
        <v>2506</v>
      </c>
      <c r="B8" s="409"/>
      <c r="C8" s="414" t="s">
        <v>2608</v>
      </c>
      <c r="D8" s="411">
        <v>100</v>
      </c>
      <c r="E8" s="3047" t="s">
        <v>3155</v>
      </c>
      <c r="F8" s="413">
        <f>SUMIF(51:51,E8,52:52)-SUMIF(51:51,C8,52:52)+100</f>
        <v>100</v>
      </c>
      <c r="G8" s="414" t="s">
        <v>3003</v>
      </c>
      <c r="H8" s="411">
        <f>SUMIF(51:51,G8,52:52)-SUMIF(51:51,C8,52:52)+100</f>
        <v>100</v>
      </c>
      <c r="I8" s="414" t="s">
        <v>3003</v>
      </c>
      <c r="J8" s="411">
        <f>SUMIF(51:51,I8,52:52)-SUMIF(51:51,C8,52:52)+100</f>
        <v>100</v>
      </c>
      <c r="K8" s="611"/>
      <c r="L8" s="1134"/>
      <c r="M8" s="1135"/>
      <c r="N8" s="1135"/>
      <c r="O8" s="1135"/>
      <c r="P8" s="3501" t="s">
        <v>2508</v>
      </c>
      <c r="Q8" s="3502"/>
      <c r="R8" s="770" t="s">
        <v>17</v>
      </c>
      <c r="S8" s="771">
        <f t="shared" si="0"/>
        <v>100</v>
      </c>
      <c r="T8" s="770" t="s">
        <v>17</v>
      </c>
      <c r="U8" s="771">
        <f t="shared" si="1"/>
        <v>100</v>
      </c>
      <c r="V8" s="770" t="s">
        <v>17</v>
      </c>
      <c r="W8" s="771">
        <f t="shared" si="2"/>
        <v>100</v>
      </c>
      <c r="X8" s="772"/>
      <c r="Y8" s="3501" t="s">
        <v>2508</v>
      </c>
      <c r="Z8" s="3502"/>
      <c r="AA8" s="773">
        <f t="shared" ref="AA8:AA36" si="3">D8/F8</f>
        <v>1</v>
      </c>
      <c r="AB8" s="773">
        <f t="shared" ref="AB8:AB36" si="4">D8/H8</f>
        <v>1</v>
      </c>
      <c r="AC8" s="773">
        <f t="shared" ref="AC8:AC36" si="5">D8/J8</f>
        <v>1</v>
      </c>
    </row>
    <row r="9" spans="1:29" s="117" customFormat="1">
      <c r="A9" s="68" t="s">
        <v>2509</v>
      </c>
      <c r="B9" s="640" t="s">
        <v>2510</v>
      </c>
      <c r="C9" s="3297" t="s">
        <v>3250</v>
      </c>
      <c r="D9" s="135">
        <v>100</v>
      </c>
      <c r="E9" s="3052" t="s">
        <v>3161</v>
      </c>
      <c r="F9" s="135">
        <f>SUMIF(53:53,E9,54:54)-SUMIF(53:53,C9,54:54)+100</f>
        <v>100</v>
      </c>
      <c r="G9" s="417" t="s">
        <v>3032</v>
      </c>
      <c r="H9" s="135">
        <f>SUMIF(53:53,G9,54:54)-SUMIF(53:53,C9,54:54)+100</f>
        <v>100</v>
      </c>
      <c r="I9" s="417" t="s">
        <v>3032</v>
      </c>
      <c r="J9" s="135">
        <f>SUMIF(53:53,I9,54:54)-SUMIF(53:53,C9,54:54)+100</f>
        <v>100</v>
      </c>
      <c r="K9" s="611"/>
      <c r="L9" s="1134"/>
      <c r="M9" s="1135"/>
      <c r="N9" s="1135"/>
      <c r="O9" s="1135"/>
      <c r="P9" s="3516" t="s">
        <v>2511</v>
      </c>
      <c r="Q9" s="1797" t="str">
        <f t="shared" ref="Q9:Q14" si="6">B9</f>
        <v>用途</v>
      </c>
      <c r="R9" s="770" t="s">
        <v>17</v>
      </c>
      <c r="S9" s="771">
        <f t="shared" si="0"/>
        <v>100</v>
      </c>
      <c r="T9" s="770" t="s">
        <v>17</v>
      </c>
      <c r="U9" s="771">
        <f t="shared" si="1"/>
        <v>100</v>
      </c>
      <c r="V9" s="770" t="s">
        <v>17</v>
      </c>
      <c r="W9" s="771">
        <f t="shared" si="2"/>
        <v>100</v>
      </c>
      <c r="X9" s="772"/>
      <c r="Y9" s="3378" t="s">
        <v>2512</v>
      </c>
      <c r="Z9" s="55" t="str">
        <f t="shared" ref="Z9:Z14" si="7">Q9</f>
        <v>用途</v>
      </c>
      <c r="AA9" s="773">
        <f t="shared" si="3"/>
        <v>1</v>
      </c>
      <c r="AB9" s="773">
        <f t="shared" si="4"/>
        <v>1</v>
      </c>
      <c r="AC9" s="773">
        <f t="shared" si="5"/>
        <v>1</v>
      </c>
    </row>
    <row r="10" spans="1:29" s="427" customFormat="1" ht="27.75" thickBot="1">
      <c r="A10" s="641"/>
      <c r="B10" s="642" t="s">
        <v>2513</v>
      </c>
      <c r="C10" s="423" t="s">
        <v>3166</v>
      </c>
      <c r="D10" s="136">
        <v>100</v>
      </c>
      <c r="E10" s="3058" t="s">
        <v>3166</v>
      </c>
      <c r="F10" s="136">
        <f>SUMIF(55:55,E10,56:56)-SUMIF(55:55,C10,56:56)+100</f>
        <v>100</v>
      </c>
      <c r="G10" s="424" t="s">
        <v>3167</v>
      </c>
      <c r="H10" s="136">
        <f>SUMIF(55:55,G10,56:56)-SUMIF(55:55,C10,56:56)+100</f>
        <v>99</v>
      </c>
      <c r="I10" s="423" t="s">
        <v>3166</v>
      </c>
      <c r="J10" s="136">
        <f>SUMIF(55:55,I10,56:56)-SUMIF(55:55,C10,56:56)+100</f>
        <v>100</v>
      </c>
      <c r="K10" s="612">
        <v>1</v>
      </c>
      <c r="L10" s="1137"/>
      <c r="M10" s="1138"/>
      <c r="N10" s="1138"/>
      <c r="O10" s="1138"/>
      <c r="P10" s="3516"/>
      <c r="Q10" s="1797" t="str">
        <f t="shared" si="6"/>
        <v>土地使用年限（年）</v>
      </c>
      <c r="R10" s="770" t="s">
        <v>17</v>
      </c>
      <c r="S10" s="771">
        <f t="shared" si="0"/>
        <v>100</v>
      </c>
      <c r="T10" s="770" t="s">
        <v>17</v>
      </c>
      <c r="U10" s="771">
        <f t="shared" si="1"/>
        <v>99</v>
      </c>
      <c r="V10" s="770" t="s">
        <v>17</v>
      </c>
      <c r="W10" s="771">
        <f t="shared" si="2"/>
        <v>100</v>
      </c>
      <c r="X10" s="772"/>
      <c r="Y10" s="3378"/>
      <c r="Z10" s="55" t="str">
        <f t="shared" si="7"/>
        <v>土地使用年限（年）</v>
      </c>
      <c r="AA10" s="773">
        <f t="shared" si="3"/>
        <v>1</v>
      </c>
      <c r="AB10" s="773">
        <f t="shared" si="4"/>
        <v>1.0101010101010102</v>
      </c>
      <c r="AC10" s="773">
        <f t="shared" si="5"/>
        <v>1</v>
      </c>
    </row>
    <row r="11" spans="1:29" ht="15" hidden="1">
      <c r="A11" s="643"/>
      <c r="B11" s="644">
        <v>111</v>
      </c>
      <c r="C11" s="432"/>
      <c r="D11" s="136">
        <v>100</v>
      </c>
      <c r="E11" s="3067"/>
      <c r="F11" s="136">
        <f>SUMIF(57:57,E11,58:58)-SUMIF(57:57,C11,58:58)+100</f>
        <v>100</v>
      </c>
      <c r="G11" s="432"/>
      <c r="H11" s="136">
        <f>SUMIF(57:57,G11,58:58)-SUMIF(57:57,C11,58:58)+100</f>
        <v>100</v>
      </c>
      <c r="I11" s="432"/>
      <c r="J11" s="136">
        <f>SUMIF(57:57,I11,58:58)-SUMIF(57:57,C11,58:58)+100</f>
        <v>100</v>
      </c>
      <c r="K11" s="613"/>
      <c r="L11" s="1140"/>
      <c r="M11" s="1133"/>
      <c r="N11" s="1133"/>
      <c r="O11" s="1133"/>
      <c r="P11" s="3516"/>
      <c r="Q11" s="1797">
        <f t="shared" si="6"/>
        <v>111</v>
      </c>
      <c r="R11" s="770" t="s">
        <v>17</v>
      </c>
      <c r="S11" s="771">
        <f t="shared" si="0"/>
        <v>100</v>
      </c>
      <c r="T11" s="770" t="s">
        <v>17</v>
      </c>
      <c r="U11" s="771">
        <f t="shared" si="1"/>
        <v>100</v>
      </c>
      <c r="V11" s="770" t="s">
        <v>17</v>
      </c>
      <c r="W11" s="771">
        <f t="shared" si="2"/>
        <v>100</v>
      </c>
      <c r="X11" s="772"/>
      <c r="Y11" s="3378"/>
      <c r="Z11" s="55">
        <f t="shared" si="7"/>
        <v>111</v>
      </c>
      <c r="AA11" s="773">
        <f t="shared" si="3"/>
        <v>1</v>
      </c>
      <c r="AB11" s="773">
        <f t="shared" si="4"/>
        <v>1</v>
      </c>
      <c r="AC11" s="773">
        <f t="shared" si="5"/>
        <v>1</v>
      </c>
    </row>
    <row r="12" spans="1:29" s="117" customFormat="1" ht="15" hidden="1">
      <c r="A12" s="645"/>
      <c r="B12" s="644">
        <v>111</v>
      </c>
      <c r="C12" s="432"/>
      <c r="D12" s="433">
        <v>100</v>
      </c>
      <c r="E12" s="3067"/>
      <c r="F12" s="136">
        <f>SUMIF(59:59,E12,60:60)-SUMIF(59:59,C12,60:60)+100</f>
        <v>100</v>
      </c>
      <c r="G12" s="432"/>
      <c r="H12" s="136">
        <f>SUMIF(59:59,G12,60:60)-SUMIF(59:59,C12,60:60)+100</f>
        <v>100</v>
      </c>
      <c r="I12" s="432"/>
      <c r="J12" s="136">
        <f>SUMIF(59:59,I12,60:60)-SUMIF(59:59,C12,60:60)+100</f>
        <v>100</v>
      </c>
      <c r="K12" s="613"/>
      <c r="L12" s="1134"/>
      <c r="M12" s="1135"/>
      <c r="N12" s="1135"/>
      <c r="O12" s="1135"/>
      <c r="P12" s="3516"/>
      <c r="Q12" s="1797">
        <f t="shared" si="6"/>
        <v>111</v>
      </c>
      <c r="R12" s="770" t="s">
        <v>17</v>
      </c>
      <c r="S12" s="771">
        <f t="shared" si="0"/>
        <v>100</v>
      </c>
      <c r="T12" s="770" t="s">
        <v>17</v>
      </c>
      <c r="U12" s="771">
        <f t="shared" si="1"/>
        <v>100</v>
      </c>
      <c r="V12" s="770" t="s">
        <v>17</v>
      </c>
      <c r="W12" s="771">
        <f t="shared" si="2"/>
        <v>100</v>
      </c>
      <c r="X12" s="772"/>
      <c r="Y12" s="3378"/>
      <c r="Z12" s="55">
        <f t="shared" si="7"/>
        <v>111</v>
      </c>
      <c r="AA12" s="773">
        <f>D12/F12</f>
        <v>1</v>
      </c>
      <c r="AB12" s="773">
        <f>D12/H12</f>
        <v>1</v>
      </c>
      <c r="AC12" s="773">
        <f>D12/J12</f>
        <v>1</v>
      </c>
    </row>
    <row r="13" spans="1:29" ht="15.75" hidden="1" thickBot="1">
      <c r="A13" s="646"/>
      <c r="B13" s="644">
        <v>111</v>
      </c>
      <c r="C13" s="434"/>
      <c r="D13" s="435">
        <v>100</v>
      </c>
      <c r="E13" s="3067"/>
      <c r="F13" s="136">
        <f>SUMIF(61:61,E13,62:62)-SUMIF(61:61,C13,62:62)+100</f>
        <v>100</v>
      </c>
      <c r="G13" s="432"/>
      <c r="H13" s="435">
        <f>SUMIF(61:61,G13,62:62)-SUMIF(61:61,C13,62:62)+100</f>
        <v>100</v>
      </c>
      <c r="I13" s="432"/>
      <c r="J13" s="435">
        <f>SUMIF(61:61,I13,62:62)-SUMIF(61:61,C13,62:62)+100</f>
        <v>100</v>
      </c>
      <c r="K13" s="613"/>
      <c r="L13" s="1142"/>
      <c r="M13" s="1133"/>
      <c r="N13" s="1133"/>
      <c r="O13" s="1133"/>
      <c r="P13" s="3516"/>
      <c r="Q13" s="1797">
        <f t="shared" si="6"/>
        <v>111</v>
      </c>
      <c r="R13" s="770" t="s">
        <v>17</v>
      </c>
      <c r="S13" s="771">
        <f t="shared" si="0"/>
        <v>100</v>
      </c>
      <c r="T13" s="770" t="s">
        <v>17</v>
      </c>
      <c r="U13" s="771">
        <f t="shared" si="1"/>
        <v>100</v>
      </c>
      <c r="V13" s="770" t="s">
        <v>17</v>
      </c>
      <c r="W13" s="771">
        <f t="shared" si="2"/>
        <v>100</v>
      </c>
      <c r="X13" s="772"/>
      <c r="Y13" s="3378"/>
      <c r="Z13" s="55">
        <f t="shared" si="7"/>
        <v>111</v>
      </c>
      <c r="AA13" s="773">
        <f t="shared" si="3"/>
        <v>1</v>
      </c>
      <c r="AB13" s="773">
        <f t="shared" si="4"/>
        <v>1</v>
      </c>
      <c r="AC13" s="773">
        <f t="shared" si="5"/>
        <v>1</v>
      </c>
    </row>
    <row r="14" spans="1:29" ht="85.5">
      <c r="A14" s="401" t="s">
        <v>2515</v>
      </c>
      <c r="B14" s="629" t="s">
        <v>2665</v>
      </c>
      <c r="C14" s="2690" t="str">
        <f>IF(B1="工业",估价对象房地状况!G4,估价对象房地状况!C6)</f>
        <v>估价对象周边有405、641等公交线路及地铁10号线经过，综合评价交通便捷度较好</v>
      </c>
      <c r="D14" s="441">
        <v>100</v>
      </c>
      <c r="E14" s="3079"/>
      <c r="F14" s="443">
        <f>SUMIF(63:63,E15,64:64)-SUMIF(63:63,C15,64:64)+100</f>
        <v>100</v>
      </c>
      <c r="G14" s="444"/>
      <c r="H14" s="441">
        <f>SUMIF(63:63,G15,64:64)-SUMIF(63:63,C15,64:64)+100</f>
        <v>100</v>
      </c>
      <c r="I14" s="442"/>
      <c r="J14" s="441">
        <f>SUMIF(63:63,I15,64:64)-SUMIF(63:63,C15,64:64)+100</f>
        <v>100</v>
      </c>
      <c r="K14" s="614">
        <v>2</v>
      </c>
      <c r="L14" s="1142"/>
      <c r="M14" s="1133"/>
      <c r="N14" s="1133"/>
      <c r="O14" s="1133"/>
      <c r="P14" s="3531" t="s">
        <v>2516</v>
      </c>
      <c r="Q14" s="1812" t="str">
        <f t="shared" si="6"/>
        <v>交通便捷度</v>
      </c>
      <c r="R14" s="774" t="s">
        <v>17</v>
      </c>
      <c r="S14" s="775">
        <f t="shared" si="0"/>
        <v>100</v>
      </c>
      <c r="T14" s="774" t="s">
        <v>17</v>
      </c>
      <c r="U14" s="775">
        <f t="shared" si="1"/>
        <v>100</v>
      </c>
      <c r="V14" s="774" t="s">
        <v>17</v>
      </c>
      <c r="W14" s="775">
        <f t="shared" si="2"/>
        <v>100</v>
      </c>
      <c r="X14" s="1815"/>
      <c r="Y14" s="3531" t="s">
        <v>2516</v>
      </c>
      <c r="Z14" s="1816" t="str">
        <f t="shared" si="7"/>
        <v>交通便捷度</v>
      </c>
      <c r="AA14" s="1813">
        <f t="shared" si="3"/>
        <v>1</v>
      </c>
      <c r="AB14" s="1813">
        <f t="shared" si="4"/>
        <v>1</v>
      </c>
      <c r="AC14" s="1813">
        <f t="shared" si="5"/>
        <v>1</v>
      </c>
    </row>
    <row r="15" spans="1:29" ht="15">
      <c r="A15" s="404"/>
      <c r="B15" s="647"/>
      <c r="C15" s="447" t="s">
        <v>3094</v>
      </c>
      <c r="D15" s="448"/>
      <c r="E15" s="3091" t="s">
        <v>3094</v>
      </c>
      <c r="F15" s="449"/>
      <c r="G15" s="447" t="s">
        <v>3094</v>
      </c>
      <c r="H15" s="450"/>
      <c r="I15" s="447" t="s">
        <v>3094</v>
      </c>
      <c r="J15" s="448"/>
      <c r="K15" s="615"/>
      <c r="L15" s="1142"/>
      <c r="M15" s="1133"/>
      <c r="N15" s="1133"/>
      <c r="O15" s="1133"/>
      <c r="P15" s="3532"/>
      <c r="Q15" s="1812"/>
      <c r="R15" s="774"/>
      <c r="S15" s="775"/>
      <c r="T15" s="774"/>
      <c r="U15" s="775"/>
      <c r="V15" s="774"/>
      <c r="W15" s="775"/>
      <c r="X15" s="1815"/>
      <c r="Y15" s="3532"/>
      <c r="Z15" s="1816"/>
      <c r="AA15" s="1813">
        <v>1</v>
      </c>
      <c r="AB15" s="1813">
        <v>1</v>
      </c>
      <c r="AC15" s="1813">
        <v>1</v>
      </c>
    </row>
    <row r="16" spans="1:29" ht="42.75">
      <c r="A16" s="404"/>
      <c r="B16" s="631" t="s">
        <v>2644</v>
      </c>
      <c r="C16" s="2604" t="str">
        <f>IF(B1="工业",估价对象房地状况!G5,估价对象房地状况!C7)</f>
        <v>估价对象所在区域公共配套设施齐备情况较好</v>
      </c>
      <c r="D16" s="455">
        <v>100</v>
      </c>
      <c r="E16" s="3098"/>
      <c r="F16" s="458">
        <f>SUMIF(65:65,E17,66:66)-SUMIF(65:65,C17,66:66)+100</f>
        <v>100</v>
      </c>
      <c r="G16" s="459"/>
      <c r="H16" s="455">
        <f>SUMIF(65:65,G17,66:66)-SUMIF(65:65,C17,66:66)+100</f>
        <v>100</v>
      </c>
      <c r="I16" s="457"/>
      <c r="J16" s="455">
        <f>SUMIF(65:65,I17,66:66)-SUMIF(65:65,C17,66:66)+100</f>
        <v>100</v>
      </c>
      <c r="K16" s="614">
        <v>3</v>
      </c>
      <c r="L16" s="1142"/>
      <c r="M16" s="1133"/>
      <c r="N16" s="1133"/>
      <c r="O16" s="1133"/>
      <c r="P16" s="3532"/>
      <c r="Q16" s="1812" t="str">
        <f>B16</f>
        <v>公共配套设施</v>
      </c>
      <c r="R16" s="774" t="s">
        <v>17</v>
      </c>
      <c r="S16" s="775">
        <f>F16</f>
        <v>100</v>
      </c>
      <c r="T16" s="774" t="s">
        <v>17</v>
      </c>
      <c r="U16" s="775">
        <f>H16</f>
        <v>100</v>
      </c>
      <c r="V16" s="774" t="s">
        <v>17</v>
      </c>
      <c r="W16" s="775">
        <f>J16</f>
        <v>100</v>
      </c>
      <c r="X16" s="1815"/>
      <c r="Y16" s="3532"/>
      <c r="Z16" s="1816" t="str">
        <f>Q16</f>
        <v>公共配套设施</v>
      </c>
      <c r="AA16" s="1813">
        <f t="shared" si="3"/>
        <v>1</v>
      </c>
      <c r="AB16" s="1813">
        <f t="shared" si="4"/>
        <v>1</v>
      </c>
      <c r="AC16" s="1813">
        <f t="shared" si="5"/>
        <v>1</v>
      </c>
    </row>
    <row r="17" spans="1:29" ht="15">
      <c r="A17" s="404"/>
      <c r="B17" s="632"/>
      <c r="C17" s="2605" t="s">
        <v>3094</v>
      </c>
      <c r="D17" s="448"/>
      <c r="E17" s="3091" t="s">
        <v>3172</v>
      </c>
      <c r="F17" s="449"/>
      <c r="G17" s="447" t="s">
        <v>3094</v>
      </c>
      <c r="H17" s="448"/>
      <c r="I17" s="447" t="s">
        <v>3094</v>
      </c>
      <c r="J17" s="448"/>
      <c r="K17" s="615"/>
      <c r="L17" s="1142"/>
      <c r="M17" s="1133"/>
      <c r="N17" s="1133"/>
      <c r="O17" s="1133"/>
      <c r="P17" s="3532"/>
      <c r="Q17" s="1812"/>
      <c r="R17" s="774"/>
      <c r="S17" s="775"/>
      <c r="T17" s="774"/>
      <c r="U17" s="775"/>
      <c r="V17" s="774"/>
      <c r="W17" s="775"/>
      <c r="X17" s="1815"/>
      <c r="Y17" s="3532"/>
      <c r="Z17" s="1816"/>
      <c r="AA17" s="1813">
        <v>1</v>
      </c>
      <c r="AB17" s="1813">
        <v>1</v>
      </c>
      <c r="AC17" s="1813">
        <v>1</v>
      </c>
    </row>
    <row r="18" spans="1:29" ht="42.75">
      <c r="A18" s="404"/>
      <c r="B18" s="633" t="s">
        <v>2645</v>
      </c>
      <c r="C18" s="2604" t="str">
        <f>IF(B1="工业",估价对象房地状况!G6,估价对象房地状况!C8)</f>
        <v>估价对象所在区域基础设施水平七通</v>
      </c>
      <c r="D18" s="450">
        <v>100</v>
      </c>
      <c r="E18" s="3098"/>
      <c r="F18" s="458">
        <f>SUMIF(67:67,E19,68:68)-SUMIF(67:67,C19,68:68)+100</f>
        <v>100</v>
      </c>
      <c r="G18" s="454"/>
      <c r="H18" s="455">
        <f>SUMIF(67:67,G19,68:68)-SUMIF(67:67,C19,68:68)+100</f>
        <v>100</v>
      </c>
      <c r="I18" s="452"/>
      <c r="J18" s="455">
        <f>SUMIF(67:67,I19,68:68)-SUMIF(67:67,C19,68:68)+100</f>
        <v>100</v>
      </c>
      <c r="K18" s="614">
        <v>1</v>
      </c>
      <c r="L18" s="1142"/>
      <c r="M18" s="1133"/>
      <c r="N18" s="1133"/>
      <c r="O18" s="1133"/>
      <c r="P18" s="3532"/>
      <c r="Q18" s="1812" t="str">
        <f>B18</f>
        <v>基础设施水平</v>
      </c>
      <c r="R18" s="774" t="s">
        <v>17</v>
      </c>
      <c r="S18" s="775">
        <f>F18</f>
        <v>100</v>
      </c>
      <c r="T18" s="774" t="s">
        <v>17</v>
      </c>
      <c r="U18" s="775">
        <f>H18</f>
        <v>100</v>
      </c>
      <c r="V18" s="774" t="s">
        <v>17</v>
      </c>
      <c r="W18" s="775">
        <f>J18</f>
        <v>100</v>
      </c>
      <c r="X18" s="1815"/>
      <c r="Y18" s="3532"/>
      <c r="Z18" s="1816" t="str">
        <f>Q18</f>
        <v>基础设施水平</v>
      </c>
      <c r="AA18" s="1813">
        <f t="shared" ref="AA18" si="8">D18/F18</f>
        <v>1</v>
      </c>
      <c r="AB18" s="1813">
        <f t="shared" ref="AB18" si="9">D18/H18</f>
        <v>1</v>
      </c>
      <c r="AC18" s="1813">
        <f t="shared" ref="AC18" si="10">D18/J18</f>
        <v>1</v>
      </c>
    </row>
    <row r="19" spans="1:29" ht="15">
      <c r="A19" s="404"/>
      <c r="B19" s="633"/>
      <c r="C19" s="2605" t="s">
        <v>3095</v>
      </c>
      <c r="D19" s="450"/>
      <c r="E19" s="3091" t="s">
        <v>3095</v>
      </c>
      <c r="F19" s="453"/>
      <c r="G19" s="2605" t="s">
        <v>3095</v>
      </c>
      <c r="H19" s="448"/>
      <c r="I19" s="447" t="s">
        <v>3095</v>
      </c>
      <c r="J19" s="448"/>
      <c r="K19" s="1385"/>
      <c r="L19" s="1142"/>
      <c r="M19" s="1133"/>
      <c r="N19" s="1133"/>
      <c r="O19" s="1133"/>
      <c r="P19" s="3532"/>
      <c r="Q19" s="1812"/>
      <c r="R19" s="774"/>
      <c r="S19" s="775"/>
      <c r="T19" s="774"/>
      <c r="U19" s="775"/>
      <c r="V19" s="774"/>
      <c r="W19" s="775"/>
      <c r="X19" s="1815"/>
      <c r="Y19" s="3532"/>
      <c r="Z19" s="1816"/>
      <c r="AA19" s="1813">
        <v>1</v>
      </c>
      <c r="AB19" s="1813">
        <v>1</v>
      </c>
      <c r="AC19" s="1813">
        <v>1</v>
      </c>
    </row>
    <row r="20" spans="1:29" ht="57">
      <c r="A20" s="404"/>
      <c r="B20" s="631" t="s">
        <v>2666</v>
      </c>
      <c r="C20" s="2604" t="str">
        <f>IF(B1="工业",估价对象房地状况!G7,估价对象房地状况!C9)</f>
        <v>区域自然环境：；人文环境；综合评价环境状况较好</v>
      </c>
      <c r="D20" s="455">
        <v>100</v>
      </c>
      <c r="E20" s="3108"/>
      <c r="F20" s="458">
        <f>SUMIF(69:69,E21,70:70)-SUMIF(69:69,C21,70:70)+100</f>
        <v>100</v>
      </c>
      <c r="G20" s="459"/>
      <c r="H20" s="450">
        <f>SUMIF(69:69,G21,70:70)-SUMIF(69:69,C21,70:70)+100</f>
        <v>100</v>
      </c>
      <c r="I20" s="452"/>
      <c r="J20" s="450">
        <f>SUMIF(69:69,I21,70:70)-SUMIF(69:69,C21,70:70)+100</f>
        <v>98</v>
      </c>
      <c r="K20" s="614">
        <v>2</v>
      </c>
      <c r="L20" s="1142"/>
      <c r="M20" s="1133"/>
      <c r="N20" s="1133"/>
      <c r="O20" s="1133"/>
      <c r="P20" s="3532"/>
      <c r="Q20" s="1812" t="str">
        <f>B20</f>
        <v>自然及人文环境</v>
      </c>
      <c r="R20" s="774" t="s">
        <v>17</v>
      </c>
      <c r="S20" s="775">
        <f>F20</f>
        <v>100</v>
      </c>
      <c r="T20" s="774" t="s">
        <v>17</v>
      </c>
      <c r="U20" s="775">
        <f>H20</f>
        <v>100</v>
      </c>
      <c r="V20" s="774" t="s">
        <v>17</v>
      </c>
      <c r="W20" s="775">
        <f>J20</f>
        <v>98</v>
      </c>
      <c r="X20" s="1815"/>
      <c r="Y20" s="3532"/>
      <c r="Z20" s="1816" t="str">
        <f>Q20</f>
        <v>自然及人文环境</v>
      </c>
      <c r="AA20" s="1813">
        <f t="shared" si="3"/>
        <v>1</v>
      </c>
      <c r="AB20" s="1813">
        <f t="shared" si="4"/>
        <v>1</v>
      </c>
      <c r="AC20" s="1813">
        <f t="shared" si="5"/>
        <v>1.0204081632653061</v>
      </c>
    </row>
    <row r="21" spans="1:29" ht="15">
      <c r="A21" s="404"/>
      <c r="B21" s="632"/>
      <c r="C21" s="447" t="s">
        <v>3094</v>
      </c>
      <c r="D21" s="448"/>
      <c r="E21" s="3091" t="s">
        <v>3094</v>
      </c>
      <c r="F21" s="449"/>
      <c r="G21" s="447" t="s">
        <v>3094</v>
      </c>
      <c r="H21" s="448"/>
      <c r="I21" s="447" t="s">
        <v>3106</v>
      </c>
      <c r="J21" s="448"/>
      <c r="K21" s="615"/>
      <c r="L21" s="1142"/>
      <c r="M21" s="1133"/>
      <c r="N21" s="1133"/>
      <c r="O21" s="1133"/>
      <c r="P21" s="3532"/>
      <c r="Q21" s="1812"/>
      <c r="R21" s="774"/>
      <c r="S21" s="775"/>
      <c r="T21" s="774"/>
      <c r="U21" s="775"/>
      <c r="V21" s="774"/>
      <c r="W21" s="775"/>
      <c r="X21" s="1815"/>
      <c r="Y21" s="3532"/>
      <c r="Z21" s="1816"/>
      <c r="AA21" s="1813">
        <v>1</v>
      </c>
      <c r="AB21" s="1813">
        <v>1</v>
      </c>
      <c r="AC21" s="1813">
        <v>1</v>
      </c>
    </row>
    <row r="22" spans="1:29" ht="15.75" thickBot="1">
      <c r="A22" s="404"/>
      <c r="B22" s="631" t="s">
        <v>2667</v>
      </c>
      <c r="C22" s="616"/>
      <c r="D22" s="450">
        <v>100</v>
      </c>
      <c r="E22" s="3110"/>
      <c r="F22" s="461">
        <f>SUMIF(71:71,E22,72:72)-SUMIF(71:71,C22,72:72)+100</f>
        <v>100</v>
      </c>
      <c r="G22" s="616"/>
      <c r="H22" s="435">
        <f>SUMIF(71:71,G22,72:72)-SUMIF(71:71,C22,72:72)+100</f>
        <v>100</v>
      </c>
      <c r="I22" s="616"/>
      <c r="J22" s="435">
        <f>SUMIF(71:71,I22,72:72)-SUMIF(71:71,C22,72:72)+100</f>
        <v>100</v>
      </c>
      <c r="K22" s="612"/>
      <c r="L22" s="1142"/>
      <c r="M22" s="1133"/>
      <c r="N22" s="1133"/>
      <c r="O22" s="1133"/>
      <c r="P22" s="3532"/>
      <c r="Q22" s="1812" t="str">
        <f>B22</f>
        <v>楼层</v>
      </c>
      <c r="R22" s="774" t="s">
        <v>17</v>
      </c>
      <c r="S22" s="775">
        <f>F22</f>
        <v>100</v>
      </c>
      <c r="T22" s="774" t="s">
        <v>17</v>
      </c>
      <c r="U22" s="775">
        <f>H22</f>
        <v>100</v>
      </c>
      <c r="V22" s="774" t="s">
        <v>17</v>
      </c>
      <c r="W22" s="775">
        <f>J22</f>
        <v>100</v>
      </c>
      <c r="X22" s="1815"/>
      <c r="Y22" s="3532"/>
      <c r="Z22" s="1816" t="str">
        <f>Q22</f>
        <v>楼层</v>
      </c>
      <c r="AA22" s="1813">
        <f t="shared" si="3"/>
        <v>1</v>
      </c>
      <c r="AB22" s="1813">
        <f t="shared" si="4"/>
        <v>1</v>
      </c>
      <c r="AC22" s="1813">
        <f t="shared" si="5"/>
        <v>1</v>
      </c>
    </row>
    <row r="23" spans="1:29" ht="15" hidden="1">
      <c r="A23" s="404"/>
      <c r="B23" s="648">
        <v>111</v>
      </c>
      <c r="C23" s="432"/>
      <c r="D23" s="435">
        <v>100</v>
      </c>
      <c r="E23" s="3067"/>
      <c r="F23" s="461">
        <f>SUMIF(73:73,E23,74:74)-SUMIF(73:73,C23,74:74)+100</f>
        <v>100</v>
      </c>
      <c r="G23" s="432"/>
      <c r="H23" s="435">
        <f>SUMIF(73:73,G23,74:74)-SUMIF(73:73,C23,74:74)+100</f>
        <v>100</v>
      </c>
      <c r="I23" s="432"/>
      <c r="J23" s="435">
        <f>SUMIF(73:73,I23,74:74)-SUMIF(73:73,C23,74:74)+100</f>
        <v>100</v>
      </c>
      <c r="K23" s="613"/>
      <c r="L23" s="1142"/>
      <c r="M23" s="1133"/>
      <c r="N23" s="1133"/>
      <c r="O23" s="1133"/>
      <c r="P23" s="3532"/>
      <c r="Q23" s="1812">
        <f>B23</f>
        <v>111</v>
      </c>
      <c r="R23" s="774" t="s">
        <v>17</v>
      </c>
      <c r="S23" s="775">
        <f>F23</f>
        <v>100</v>
      </c>
      <c r="T23" s="774" t="s">
        <v>17</v>
      </c>
      <c r="U23" s="775">
        <f>H23</f>
        <v>100</v>
      </c>
      <c r="V23" s="774" t="s">
        <v>17</v>
      </c>
      <c r="W23" s="775">
        <f>J23</f>
        <v>100</v>
      </c>
      <c r="X23" s="1815"/>
      <c r="Y23" s="3532"/>
      <c r="Z23" s="1816">
        <f>Q23</f>
        <v>111</v>
      </c>
      <c r="AA23" s="1813">
        <f t="shared" si="3"/>
        <v>1</v>
      </c>
      <c r="AB23" s="1813">
        <f t="shared" si="4"/>
        <v>1</v>
      </c>
      <c r="AC23" s="1813">
        <f t="shared" si="5"/>
        <v>1</v>
      </c>
    </row>
    <row r="24" spans="1:29" ht="15" hidden="1">
      <c r="A24" s="404"/>
      <c r="B24" s="648">
        <v>111</v>
      </c>
      <c r="C24" s="432"/>
      <c r="D24" s="435">
        <v>100</v>
      </c>
      <c r="E24" s="3067"/>
      <c r="F24" s="461">
        <f>SUMIF(75:75,E24,76:76)-SUMIF(75:75,C24,76:76)+100</f>
        <v>100</v>
      </c>
      <c r="G24" s="432"/>
      <c r="H24" s="435">
        <f>SUMIF(75:75,G24,76:76)-SUMIF(75:75,C24,76:76)+100</f>
        <v>100</v>
      </c>
      <c r="I24" s="432"/>
      <c r="J24" s="435">
        <f>SUMIF(75:75,I24,76:76)-SUMIF(75:75,C24,76:76)+100</f>
        <v>100</v>
      </c>
      <c r="K24" s="613"/>
      <c r="L24" s="1142"/>
      <c r="M24" s="1133"/>
      <c r="N24" s="1133"/>
      <c r="O24" s="1133"/>
      <c r="P24" s="3532"/>
      <c r="Q24" s="1812">
        <f t="shared" ref="Q24:Q36" si="11">B24</f>
        <v>111</v>
      </c>
      <c r="R24" s="774" t="s">
        <v>17</v>
      </c>
      <c r="S24" s="775">
        <f>F24</f>
        <v>100</v>
      </c>
      <c r="T24" s="774" t="s">
        <v>17</v>
      </c>
      <c r="U24" s="775">
        <f>H24</f>
        <v>100</v>
      </c>
      <c r="V24" s="774" t="s">
        <v>17</v>
      </c>
      <c r="W24" s="775">
        <f>J24</f>
        <v>100</v>
      </c>
      <c r="X24" s="1815"/>
      <c r="Y24" s="3532"/>
      <c r="Z24" s="1816">
        <f>Q24</f>
        <v>111</v>
      </c>
      <c r="AA24" s="1813">
        <f t="shared" si="3"/>
        <v>1</v>
      </c>
      <c r="AB24" s="1813">
        <f t="shared" si="4"/>
        <v>1</v>
      </c>
      <c r="AC24" s="1813">
        <f t="shared" si="5"/>
        <v>1</v>
      </c>
    </row>
    <row r="25" spans="1:29" s="117" customFormat="1" ht="15.75" hidden="1" thickBot="1">
      <c r="A25" s="649"/>
      <c r="B25" s="635">
        <v>111</v>
      </c>
      <c r="C25" s="437"/>
      <c r="D25" s="650">
        <v>100</v>
      </c>
      <c r="E25" s="3117"/>
      <c r="F25" s="651">
        <f>SUMIF(77:77,E25,78:78)-SUMIF(77:77,C25,78:78)+100</f>
        <v>100</v>
      </c>
      <c r="G25" s="628"/>
      <c r="H25" s="650">
        <f>SUMIF(77:77,G25,78:78)-SUMIF(77:77,C25,78:78)+100</f>
        <v>100</v>
      </c>
      <c r="I25" s="628"/>
      <c r="J25" s="650">
        <f>SUMIF(77:77,I25,78:78)-SUMIF(77:77,C25,78:78)+100</f>
        <v>100</v>
      </c>
      <c r="K25" s="613"/>
      <c r="L25" s="1134"/>
      <c r="M25" s="1135"/>
      <c r="N25" s="1135"/>
      <c r="O25" s="1135"/>
      <c r="P25" s="3532"/>
      <c r="Q25" s="1797">
        <f t="shared" si="11"/>
        <v>111</v>
      </c>
      <c r="R25" s="770" t="s">
        <v>17</v>
      </c>
      <c r="S25" s="771">
        <f>F25</f>
        <v>100</v>
      </c>
      <c r="T25" s="770" t="s">
        <v>17</v>
      </c>
      <c r="U25" s="771">
        <f>H25</f>
        <v>100</v>
      </c>
      <c r="V25" s="770" t="s">
        <v>17</v>
      </c>
      <c r="W25" s="771">
        <f>J25</f>
        <v>100</v>
      </c>
      <c r="X25" s="772"/>
      <c r="Y25" s="3532"/>
      <c r="Z25" s="55">
        <f>Q25</f>
        <v>111</v>
      </c>
      <c r="AA25" s="1813">
        <f>D25/F25</f>
        <v>1</v>
      </c>
      <c r="AB25" s="1813">
        <f>D25/H25</f>
        <v>1</v>
      </c>
      <c r="AC25" s="1813">
        <f>D25/J25</f>
        <v>1</v>
      </c>
    </row>
    <row r="26" spans="1:29" ht="15">
      <c r="A26" s="652" t="s">
        <v>2519</v>
      </c>
      <c r="B26" s="70" t="s">
        <v>2668</v>
      </c>
      <c r="C26" s="2691" t="str">
        <f>B1</f>
        <v>办公</v>
      </c>
      <c r="D26" s="448">
        <v>100</v>
      </c>
      <c r="E26" s="3091" t="s">
        <v>3178</v>
      </c>
      <c r="F26" s="449">
        <f>SUMIF(79:79,E26,80:80)-SUMIF(79:79,C26,80:80)+100</f>
        <v>98</v>
      </c>
      <c r="G26" s="447" t="s">
        <v>3178</v>
      </c>
      <c r="H26" s="448">
        <f>SUMIF(79:79,G26,80:80)-SUMIF(79:79,C26,80:80)+100</f>
        <v>98</v>
      </c>
      <c r="I26" s="447" t="s">
        <v>3178</v>
      </c>
      <c r="J26" s="448">
        <f>SUMIF(79:79,I26,80:80)-SUMIF(79:79,C26,80:80)+100</f>
        <v>98</v>
      </c>
      <c r="K26" s="612">
        <v>2</v>
      </c>
      <c r="L26" s="1142"/>
      <c r="M26" s="1133"/>
      <c r="N26" s="1133"/>
      <c r="O26" s="1133"/>
      <c r="P26" s="3533" t="s">
        <v>2521</v>
      </c>
      <c r="Q26" s="1812" t="str">
        <f t="shared" si="11"/>
        <v>配套类型</v>
      </c>
      <c r="R26" s="774" t="s">
        <v>17</v>
      </c>
      <c r="S26" s="775">
        <f t="shared" ref="S26:S36" si="12">F26</f>
        <v>98</v>
      </c>
      <c r="T26" s="774" t="s">
        <v>17</v>
      </c>
      <c r="U26" s="775">
        <f t="shared" ref="U26:U36" si="13">H26</f>
        <v>98</v>
      </c>
      <c r="V26" s="774" t="s">
        <v>17</v>
      </c>
      <c r="W26" s="775">
        <f t="shared" ref="W26:W36" si="14">J26</f>
        <v>98</v>
      </c>
      <c r="X26" s="1815"/>
      <c r="Y26" s="3534" t="s">
        <v>2521</v>
      </c>
      <c r="Z26" s="1816" t="str">
        <f t="shared" ref="Z26:Z36" si="15">Q26</f>
        <v>配套类型</v>
      </c>
      <c r="AA26" s="1813">
        <f t="shared" si="3"/>
        <v>1.0204081632653061</v>
      </c>
      <c r="AB26" s="1813">
        <f t="shared" si="4"/>
        <v>1.0204081632653061</v>
      </c>
      <c r="AC26" s="1813">
        <f t="shared" si="5"/>
        <v>1.0204081632653061</v>
      </c>
    </row>
    <row r="27" spans="1:29" s="471" customFormat="1" ht="15">
      <c r="A27" s="653"/>
      <c r="B27" s="654" t="s">
        <v>2669</v>
      </c>
      <c r="C27" s="655"/>
      <c r="D27" s="136">
        <v>100</v>
      </c>
      <c r="E27" s="3124"/>
      <c r="F27" s="461">
        <f>SUMIF(81:81,E27,82:82)-SUMIF(81:81,C27,82:82)+100</f>
        <v>100</v>
      </c>
      <c r="G27" s="655"/>
      <c r="H27" s="435">
        <f>SUMIF(81:81,G27,82:82)-SUMIF(81:81,C27,82:82)+100</f>
        <v>100</v>
      </c>
      <c r="I27" s="655"/>
      <c r="J27" s="435">
        <f>SUMIF(81:81,I27,82:82)-SUMIF(81:81,C27,82:82)+100</f>
        <v>100</v>
      </c>
      <c r="K27" s="613"/>
      <c r="L27" s="1140"/>
      <c r="M27" s="1143"/>
      <c r="N27" s="1143"/>
      <c r="O27" s="1143"/>
      <c r="P27" s="3534"/>
      <c r="Q27" s="776" t="str">
        <f t="shared" si="11"/>
        <v>项目停车位配比</v>
      </c>
      <c r="R27" s="777" t="s">
        <v>17</v>
      </c>
      <c r="S27" s="778">
        <f t="shared" si="12"/>
        <v>100</v>
      </c>
      <c r="T27" s="777" t="s">
        <v>17</v>
      </c>
      <c r="U27" s="778">
        <f t="shared" si="13"/>
        <v>100</v>
      </c>
      <c r="V27" s="777" t="s">
        <v>17</v>
      </c>
      <c r="W27" s="778">
        <f t="shared" si="14"/>
        <v>100</v>
      </c>
      <c r="X27" s="779"/>
      <c r="Y27" s="3534"/>
      <c r="Z27" s="780" t="str">
        <f t="shared" si="15"/>
        <v>项目停车位配比</v>
      </c>
      <c r="AA27" s="1813">
        <f t="shared" si="3"/>
        <v>1</v>
      </c>
      <c r="AB27" s="1813">
        <f t="shared" si="4"/>
        <v>1</v>
      </c>
      <c r="AC27" s="1813">
        <f t="shared" si="5"/>
        <v>1</v>
      </c>
    </row>
    <row r="28" spans="1:29" ht="15">
      <c r="A28" s="656"/>
      <c r="B28" s="654" t="s">
        <v>2670</v>
      </c>
      <c r="C28" s="3298" t="s">
        <v>3251</v>
      </c>
      <c r="D28" s="435">
        <v>100</v>
      </c>
      <c r="E28" s="3133" t="s">
        <v>3184</v>
      </c>
      <c r="F28" s="461">
        <f>SUMIF(83:83,E28,84:84)-SUMIF(83:83,C28,84:84)+100</f>
        <v>100</v>
      </c>
      <c r="G28" s="460" t="s">
        <v>3248</v>
      </c>
      <c r="H28" s="435">
        <f>SUMIF(83:83,G28,84:84)-SUMIF(83:83,C28,84:84)+100</f>
        <v>100</v>
      </c>
      <c r="I28" s="460" t="s">
        <v>3248</v>
      </c>
      <c r="J28" s="435">
        <f>SUMIF(83:83,I28,84:84)-SUMIF(83:83,C28,84:84)+100</f>
        <v>100</v>
      </c>
      <c r="K28" s="3061">
        <v>3</v>
      </c>
      <c r="L28" s="1142"/>
      <c r="M28" s="1133"/>
      <c r="N28" s="1133"/>
      <c r="O28" s="1133"/>
      <c r="P28" s="3534"/>
      <c r="Q28" s="1812" t="str">
        <f t="shared" si="11"/>
        <v>公共部分装修</v>
      </c>
      <c r="R28" s="774" t="s">
        <v>17</v>
      </c>
      <c r="S28" s="775">
        <f t="shared" si="12"/>
        <v>100</v>
      </c>
      <c r="T28" s="774" t="s">
        <v>17</v>
      </c>
      <c r="U28" s="775">
        <f t="shared" si="13"/>
        <v>100</v>
      </c>
      <c r="V28" s="774" t="s">
        <v>17</v>
      </c>
      <c r="W28" s="775">
        <f t="shared" si="14"/>
        <v>100</v>
      </c>
      <c r="X28" s="1815"/>
      <c r="Y28" s="3534"/>
      <c r="Z28" s="1816" t="str">
        <f t="shared" si="15"/>
        <v>公共部分装修</v>
      </c>
      <c r="AA28" s="1813">
        <f t="shared" si="3"/>
        <v>1</v>
      </c>
      <c r="AB28" s="1813">
        <f t="shared" si="4"/>
        <v>1</v>
      </c>
      <c r="AC28" s="1813">
        <f t="shared" si="5"/>
        <v>1</v>
      </c>
    </row>
    <row r="29" spans="1:29" ht="15">
      <c r="A29" s="656"/>
      <c r="B29" s="654" t="s">
        <v>2671</v>
      </c>
      <c r="C29" s="469">
        <v>100</v>
      </c>
      <c r="D29" s="435">
        <v>100</v>
      </c>
      <c r="E29" s="3134">
        <f>ROUND(1-(2017-E34)/60,2)</f>
        <v>0.93</v>
      </c>
      <c r="F29" s="461">
        <f>LOOKUP(E29,86:86,87:87)-LOOKUP(C29,86:86,87:87)+100</f>
        <v>99</v>
      </c>
      <c r="G29" s="474">
        <v>0.8</v>
      </c>
      <c r="H29" s="461">
        <f>LOOKUP(G29,86:86,87:87)-LOOKUP(C29,86:86,87:87)+100</f>
        <v>98</v>
      </c>
      <c r="I29" s="474">
        <v>0.93</v>
      </c>
      <c r="J29" s="435">
        <f>LOOKUP(I29,86:86,87:87)-LOOKUP(C29,86:86,87:87)+100</f>
        <v>99</v>
      </c>
      <c r="K29" s="3061">
        <v>1</v>
      </c>
      <c r="L29" s="1142"/>
      <c r="M29" s="1133"/>
      <c r="N29" s="1133"/>
      <c r="O29" s="1133"/>
      <c r="P29" s="3534"/>
      <c r="Q29" s="1812" t="str">
        <f t="shared" si="11"/>
        <v>成新率</v>
      </c>
      <c r="R29" s="774" t="s">
        <v>17</v>
      </c>
      <c r="S29" s="775">
        <f t="shared" si="12"/>
        <v>99</v>
      </c>
      <c r="T29" s="774" t="s">
        <v>17</v>
      </c>
      <c r="U29" s="775">
        <f t="shared" si="13"/>
        <v>98</v>
      </c>
      <c r="V29" s="774" t="s">
        <v>17</v>
      </c>
      <c r="W29" s="775">
        <f t="shared" si="14"/>
        <v>99</v>
      </c>
      <c r="X29" s="1815"/>
      <c r="Y29" s="3534"/>
      <c r="Z29" s="1816" t="str">
        <f t="shared" si="15"/>
        <v>成新率</v>
      </c>
      <c r="AA29" s="1813">
        <f t="shared" si="3"/>
        <v>1.0101010101010102</v>
      </c>
      <c r="AB29" s="1813">
        <f t="shared" si="4"/>
        <v>1.0204081632653061</v>
      </c>
      <c r="AC29" s="1813">
        <f t="shared" si="5"/>
        <v>1.0101010101010102</v>
      </c>
    </row>
    <row r="30" spans="1:29" ht="15">
      <c r="A30" s="656"/>
      <c r="B30" s="654" t="s">
        <v>2672</v>
      </c>
      <c r="C30" s="657"/>
      <c r="D30" s="435">
        <v>100</v>
      </c>
      <c r="E30" s="3135"/>
      <c r="F30" s="461">
        <f>SUMIF(88:88,E30,89:89)-SUMIF(88:88,C30,89:89)+100</f>
        <v>100</v>
      </c>
      <c r="G30" s="657"/>
      <c r="H30" s="435">
        <f>SUMIF(88:88,E30,89:89)-SUMIF(88:88,C30,89:89)+100</f>
        <v>100</v>
      </c>
      <c r="I30" s="657"/>
      <c r="J30" s="435">
        <f>SUMIF(88:88,E30,89:89)-SUMIF(88:88,C30,89:89)+100</f>
        <v>100</v>
      </c>
      <c r="K30" s="3061">
        <v>3</v>
      </c>
      <c r="L30" s="1142"/>
      <c r="M30" s="1133"/>
      <c r="N30" s="1133"/>
      <c r="O30" s="1133"/>
      <c r="P30" s="3534"/>
      <c r="Q30" s="1812" t="str">
        <f t="shared" si="11"/>
        <v>物业等级</v>
      </c>
      <c r="R30" s="774" t="s">
        <v>17</v>
      </c>
      <c r="S30" s="775">
        <f t="shared" si="12"/>
        <v>100</v>
      </c>
      <c r="T30" s="774" t="s">
        <v>17</v>
      </c>
      <c r="U30" s="775">
        <f t="shared" si="13"/>
        <v>100</v>
      </c>
      <c r="V30" s="774" t="s">
        <v>17</v>
      </c>
      <c r="W30" s="775">
        <f t="shared" si="14"/>
        <v>100</v>
      </c>
      <c r="X30" s="1815"/>
      <c r="Y30" s="3534"/>
      <c r="Z30" s="1816" t="str">
        <f t="shared" si="15"/>
        <v>物业等级</v>
      </c>
      <c r="AA30" s="1813">
        <f t="shared" si="3"/>
        <v>1</v>
      </c>
      <c r="AB30" s="1813">
        <f t="shared" si="4"/>
        <v>1</v>
      </c>
      <c r="AC30" s="1813">
        <f t="shared" si="5"/>
        <v>1</v>
      </c>
    </row>
    <row r="31" spans="1:29" s="117" customFormat="1" ht="15">
      <c r="A31" s="658"/>
      <c r="B31" s="654" t="s">
        <v>2673</v>
      </c>
      <c r="C31" s="469">
        <v>56</v>
      </c>
      <c r="D31" s="136">
        <v>100</v>
      </c>
      <c r="E31" s="3137">
        <v>32</v>
      </c>
      <c r="F31" s="461">
        <f>LOOKUP(E31,91:91,92:92)-LOOKUP(C31,91:91,92:92)+100</f>
        <v>100</v>
      </c>
      <c r="G31" s="469">
        <v>99</v>
      </c>
      <c r="H31" s="435">
        <f>LOOKUP(G31,91:91,92:92)-LOOKUP(C31,91:91,92:92)+100</f>
        <v>101</v>
      </c>
      <c r="I31" s="469">
        <v>38.78</v>
      </c>
      <c r="J31" s="435">
        <f>LOOKUP(I31,91:91,92:92)-LOOKUP(C31,91:91,92:92)+100</f>
        <v>100</v>
      </c>
      <c r="K31" s="3061">
        <v>1</v>
      </c>
      <c r="L31" s="1134"/>
      <c r="M31" s="1135"/>
      <c r="N31" s="1135"/>
      <c r="O31" s="1135"/>
      <c r="P31" s="3534"/>
      <c r="Q31" s="1797" t="str">
        <f t="shared" si="11"/>
        <v>停车位面积</v>
      </c>
      <c r="R31" s="770" t="s">
        <v>17</v>
      </c>
      <c r="S31" s="771">
        <f t="shared" si="12"/>
        <v>100</v>
      </c>
      <c r="T31" s="770" t="s">
        <v>17</v>
      </c>
      <c r="U31" s="771">
        <f t="shared" si="13"/>
        <v>101</v>
      </c>
      <c r="V31" s="770" t="s">
        <v>17</v>
      </c>
      <c r="W31" s="771">
        <f t="shared" si="14"/>
        <v>100</v>
      </c>
      <c r="X31" s="772"/>
      <c r="Y31" s="3534"/>
      <c r="Z31" s="55" t="str">
        <f t="shared" si="15"/>
        <v>停车位面积</v>
      </c>
      <c r="AA31" s="773">
        <f t="shared" si="3"/>
        <v>1</v>
      </c>
      <c r="AB31" s="773">
        <f t="shared" si="4"/>
        <v>0.99009900990099009</v>
      </c>
      <c r="AC31" s="773">
        <f t="shared" si="5"/>
        <v>1</v>
      </c>
    </row>
    <row r="32" spans="1:29" ht="15">
      <c r="A32" s="656"/>
      <c r="B32" s="654" t="s">
        <v>2674</v>
      </c>
      <c r="C32" s="3133" t="s">
        <v>3189</v>
      </c>
      <c r="D32" s="435">
        <v>100</v>
      </c>
      <c r="E32" s="3133" t="s">
        <v>3189</v>
      </c>
      <c r="F32" s="461">
        <f>SUMIF(93:93,E32,94:94)-SUMIF(93:93,C32,94:94)+100</f>
        <v>100</v>
      </c>
      <c r="G32" s="460" t="s">
        <v>3249</v>
      </c>
      <c r="H32" s="435">
        <f>SUMIF(93:93,G32,94:94)-SUMIF(93:93,C32,94:94)+100</f>
        <v>100</v>
      </c>
      <c r="I32" s="460" t="s">
        <v>3249</v>
      </c>
      <c r="J32" s="435">
        <f>SUMIF(93:93,I32,94:94)-SUMIF(93:93,C32,94:94)+100</f>
        <v>100</v>
      </c>
      <c r="K32" s="3061">
        <v>5</v>
      </c>
      <c r="L32" s="1142"/>
      <c r="M32" s="1133"/>
      <c r="N32" s="1133"/>
      <c r="O32" s="1133"/>
      <c r="P32" s="3534" t="s">
        <v>2521</v>
      </c>
      <c r="Q32" s="1812" t="str">
        <f t="shared" si="11"/>
        <v>车位类型</v>
      </c>
      <c r="R32" s="774" t="s">
        <v>17</v>
      </c>
      <c r="S32" s="775">
        <f t="shared" si="12"/>
        <v>100</v>
      </c>
      <c r="T32" s="774" t="s">
        <v>17</v>
      </c>
      <c r="U32" s="775">
        <f t="shared" si="13"/>
        <v>100</v>
      </c>
      <c r="V32" s="774" t="s">
        <v>17</v>
      </c>
      <c r="W32" s="775">
        <f t="shared" si="14"/>
        <v>100</v>
      </c>
      <c r="X32" s="1815"/>
      <c r="Y32" s="3534" t="s">
        <v>2521</v>
      </c>
      <c r="Z32" s="1816" t="str">
        <f t="shared" si="15"/>
        <v>车位类型</v>
      </c>
      <c r="AA32" s="1813">
        <f t="shared" si="3"/>
        <v>1</v>
      </c>
      <c r="AB32" s="1813">
        <f t="shared" si="4"/>
        <v>1</v>
      </c>
      <c r="AC32" s="1813">
        <f t="shared" si="5"/>
        <v>1</v>
      </c>
    </row>
    <row r="33" spans="1:29" ht="15">
      <c r="A33" s="656"/>
      <c r="B33" s="654" t="s">
        <v>2675</v>
      </c>
      <c r="C33" s="3133" t="s">
        <v>3191</v>
      </c>
      <c r="D33" s="435">
        <v>100</v>
      </c>
      <c r="E33" s="3133" t="s">
        <v>3191</v>
      </c>
      <c r="F33" s="461">
        <f>SUMIF(95:95,E33,96:96)-SUMIF(95:95,C33,96:96)+100</f>
        <v>100</v>
      </c>
      <c r="G33" s="460" t="s">
        <v>3013</v>
      </c>
      <c r="H33" s="435">
        <f>SUMIF(95:95,G33,96:96)-SUMIF(95:95,C33,96:96)+100</f>
        <v>100</v>
      </c>
      <c r="I33" s="460" t="s">
        <v>3013</v>
      </c>
      <c r="J33" s="435">
        <f>SUMIF(95:95,I33,96:96)-SUMIF(95:95,C33,96:96)+100</f>
        <v>100</v>
      </c>
      <c r="K33" s="3061">
        <v>1</v>
      </c>
      <c r="L33" s="1142"/>
      <c r="M33" s="1133"/>
      <c r="N33" s="1133"/>
      <c r="O33" s="1133"/>
      <c r="P33" s="3534"/>
      <c r="Q33" s="1812" t="str">
        <f t="shared" si="11"/>
        <v>是否直接入户</v>
      </c>
      <c r="R33" s="774" t="s">
        <v>17</v>
      </c>
      <c r="S33" s="775">
        <f t="shared" si="12"/>
        <v>100</v>
      </c>
      <c r="T33" s="774" t="s">
        <v>17</v>
      </c>
      <c r="U33" s="775">
        <f t="shared" si="13"/>
        <v>100</v>
      </c>
      <c r="V33" s="774" t="s">
        <v>17</v>
      </c>
      <c r="W33" s="775">
        <f t="shared" si="14"/>
        <v>100</v>
      </c>
      <c r="X33" s="1815"/>
      <c r="Y33" s="3534"/>
      <c r="Z33" s="1816" t="str">
        <f t="shared" si="15"/>
        <v>是否直接入户</v>
      </c>
      <c r="AA33" s="1813">
        <f t="shared" si="3"/>
        <v>1</v>
      </c>
      <c r="AB33" s="1813">
        <f t="shared" si="4"/>
        <v>1</v>
      </c>
      <c r="AC33" s="1813">
        <f t="shared" si="5"/>
        <v>1</v>
      </c>
    </row>
    <row r="34" spans="1:29" ht="15.75" thickBot="1">
      <c r="A34" s="656"/>
      <c r="B34" s="648">
        <v>111</v>
      </c>
      <c r="C34" s="432"/>
      <c r="D34" s="435">
        <v>100</v>
      </c>
      <c r="E34" s="3067">
        <v>2013</v>
      </c>
      <c r="F34" s="461">
        <f>SUMIF(97:97,E34,98:98)-SUMIF(97:97,C34,98:98)+100</f>
        <v>100</v>
      </c>
      <c r="G34" s="432">
        <v>2005</v>
      </c>
      <c r="H34" s="435">
        <f>SUMIF(97:97,G34,98:98)-SUMIF(97:97,C34,98:98)+100</f>
        <v>100</v>
      </c>
      <c r="I34" s="432">
        <v>2013</v>
      </c>
      <c r="J34" s="435">
        <f>SUMIF(97:97,I34,98:98)-SUMIF(97:97,C34,98:98)+100</f>
        <v>100</v>
      </c>
      <c r="K34" s="613"/>
      <c r="L34" s="1142"/>
      <c r="M34" s="1133"/>
      <c r="N34" s="1133"/>
      <c r="O34" s="1133"/>
      <c r="P34" s="3534"/>
      <c r="Q34" s="1812">
        <f t="shared" si="11"/>
        <v>111</v>
      </c>
      <c r="R34" s="774" t="s">
        <v>17</v>
      </c>
      <c r="S34" s="775">
        <f t="shared" si="12"/>
        <v>100</v>
      </c>
      <c r="T34" s="774" t="s">
        <v>17</v>
      </c>
      <c r="U34" s="775">
        <f t="shared" si="13"/>
        <v>100</v>
      </c>
      <c r="V34" s="774" t="s">
        <v>17</v>
      </c>
      <c r="W34" s="775">
        <f t="shared" si="14"/>
        <v>100</v>
      </c>
      <c r="X34" s="1815"/>
      <c r="Y34" s="3534"/>
      <c r="Z34" s="1816">
        <f t="shared" si="15"/>
        <v>111</v>
      </c>
      <c r="AA34" s="1813">
        <f t="shared" si="3"/>
        <v>1</v>
      </c>
      <c r="AB34" s="1813">
        <f t="shared" si="4"/>
        <v>1</v>
      </c>
      <c r="AC34" s="1813">
        <f t="shared" si="5"/>
        <v>1</v>
      </c>
    </row>
    <row r="35" spans="1:29" s="471" customFormat="1" ht="15" hidden="1">
      <c r="A35" s="653"/>
      <c r="B35" s="648">
        <v>111</v>
      </c>
      <c r="C35" s="432"/>
      <c r="D35" s="435">
        <v>100</v>
      </c>
      <c r="E35" s="3067"/>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34"/>
      <c r="Q35" s="776">
        <f t="shared" si="11"/>
        <v>111</v>
      </c>
      <c r="R35" s="777" t="s">
        <v>17</v>
      </c>
      <c r="S35" s="778">
        <f t="shared" si="12"/>
        <v>100</v>
      </c>
      <c r="T35" s="777" t="s">
        <v>17</v>
      </c>
      <c r="U35" s="778">
        <f t="shared" si="13"/>
        <v>100</v>
      </c>
      <c r="V35" s="777" t="s">
        <v>17</v>
      </c>
      <c r="W35" s="778">
        <f t="shared" si="14"/>
        <v>100</v>
      </c>
      <c r="X35" s="779"/>
      <c r="Y35" s="3534"/>
      <c r="Z35" s="780">
        <f t="shared" si="15"/>
        <v>111</v>
      </c>
      <c r="AA35" s="1813">
        <f t="shared" si="3"/>
        <v>1</v>
      </c>
      <c r="AB35" s="1813">
        <f t="shared" si="4"/>
        <v>1</v>
      </c>
      <c r="AC35" s="1813">
        <f t="shared" si="5"/>
        <v>1</v>
      </c>
    </row>
    <row r="36" spans="1:29" ht="15.75" hidden="1" thickBot="1">
      <c r="A36" s="659"/>
      <c r="B36" s="635">
        <v>111</v>
      </c>
      <c r="C36" s="434"/>
      <c r="D36" s="435">
        <v>100</v>
      </c>
      <c r="E36" s="3067"/>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34"/>
      <c r="Q36" s="1812">
        <f t="shared" si="11"/>
        <v>111</v>
      </c>
      <c r="R36" s="774" t="s">
        <v>17</v>
      </c>
      <c r="S36" s="775">
        <f t="shared" si="12"/>
        <v>100</v>
      </c>
      <c r="T36" s="774" t="s">
        <v>17</v>
      </c>
      <c r="U36" s="775">
        <f t="shared" si="13"/>
        <v>100</v>
      </c>
      <c r="V36" s="774" t="s">
        <v>17</v>
      </c>
      <c r="W36" s="775">
        <f t="shared" si="14"/>
        <v>100</v>
      </c>
      <c r="X36" s="1815"/>
      <c r="Y36" s="3534"/>
      <c r="Z36" s="1816">
        <f t="shared" si="15"/>
        <v>111</v>
      </c>
      <c r="AA36" s="1813">
        <f t="shared" si="3"/>
        <v>1</v>
      </c>
      <c r="AB36" s="1813">
        <f t="shared" si="4"/>
        <v>1</v>
      </c>
      <c r="AC36" s="1813">
        <f t="shared" si="5"/>
        <v>1</v>
      </c>
    </row>
    <row r="37" spans="1:29" ht="15">
      <c r="A37" s="479" t="s">
        <v>2676</v>
      </c>
      <c r="B37" s="2692" t="s">
        <v>2677</v>
      </c>
      <c r="C37" s="1409" t="s">
        <v>1</v>
      </c>
      <c r="D37" s="1410"/>
      <c r="E37" s="3143">
        <v>412000</v>
      </c>
      <c r="F37" s="1412"/>
      <c r="G37" s="1413">
        <v>467857</v>
      </c>
      <c r="H37" s="1414"/>
      <c r="I37" s="1411">
        <v>468444</v>
      </c>
      <c r="J37" s="1414"/>
      <c r="K37" s="619"/>
      <c r="L37" s="1145"/>
      <c r="M37" s="1146"/>
      <c r="N37" s="1133"/>
      <c r="O37" s="1146"/>
      <c r="P37" s="3516" t="str">
        <f>A37</f>
        <v>成交单价</v>
      </c>
      <c r="Q37" s="3516"/>
      <c r="R37" s="3547">
        <f>E37</f>
        <v>412000</v>
      </c>
      <c r="S37" s="3547"/>
      <c r="T37" s="3547">
        <f>G37</f>
        <v>467857</v>
      </c>
      <c r="U37" s="3547"/>
      <c r="V37" s="3547">
        <f>I37</f>
        <v>468444</v>
      </c>
      <c r="W37" s="3547"/>
      <c r="X37" s="759"/>
      <c r="Y37" s="781"/>
      <c r="Z37" s="759"/>
      <c r="AA37" s="759"/>
      <c r="AB37" s="759"/>
      <c r="AC37" s="759"/>
    </row>
    <row r="38" spans="1:29" ht="15.75" thickBot="1">
      <c r="A38" s="486" t="s">
        <v>2678</v>
      </c>
      <c r="B38" s="487" t="str">
        <f>B37</f>
        <v>元/车位</v>
      </c>
      <c r="C38" s="1415">
        <f>R39</f>
        <v>475309</v>
      </c>
      <c r="D38" s="1416"/>
      <c r="E38" s="1417">
        <f>R38</f>
        <v>431122</v>
      </c>
      <c r="F38" s="1417"/>
      <c r="G38" s="1415">
        <f>T38</f>
        <v>494616</v>
      </c>
      <c r="H38" s="1416"/>
      <c r="I38" s="1417">
        <f>V38</f>
        <v>500189</v>
      </c>
      <c r="J38" s="1416"/>
      <c r="K38" s="620"/>
      <c r="L38" s="1145"/>
      <c r="M38" s="1146"/>
      <c r="N38" s="1146"/>
      <c r="O38" s="1146"/>
      <c r="P38" s="3516" t="str">
        <f>A38</f>
        <v>比较价值（元/平方米）</v>
      </c>
      <c r="Q38" s="3516"/>
      <c r="R38" s="3547">
        <f>IF(F1="售价",ROUND(PRODUCT(R37,AA7:AA36),0),ROUND(PRODUCT(R37,AA7:AA36),1))</f>
        <v>431122</v>
      </c>
      <c r="S38" s="3547"/>
      <c r="T38" s="3547">
        <f>IF(F1="售价",ROUND(PRODUCT(T37,AB7:AB36),0),ROUND(PRODUCT(T37,AB7:AB36),1))</f>
        <v>494616</v>
      </c>
      <c r="U38" s="3547"/>
      <c r="V38" s="3547">
        <f>IF(F1="售价",ROUND(PRODUCT(V37,AC7:AC36),0),ROUND(PRODUCT(V37,AC7:AC36),1))</f>
        <v>500189</v>
      </c>
      <c r="W38" s="3547"/>
      <c r="X38" s="759"/>
      <c r="Y38" s="759"/>
      <c r="Z38" s="759"/>
      <c r="AA38" s="759"/>
      <c r="AB38" s="759"/>
      <c r="AC38" s="759"/>
    </row>
    <row r="39" spans="1:29" ht="15.75" thickBot="1">
      <c r="A39" s="492" t="s">
        <v>2679</v>
      </c>
      <c r="B39" s="493"/>
      <c r="C39" s="1419">
        <f>R39</f>
        <v>475309</v>
      </c>
      <c r="D39" s="1419"/>
      <c r="E39" s="1419"/>
      <c r="F39" s="1419"/>
      <c r="G39" s="1419"/>
      <c r="H39" s="1419"/>
      <c r="I39" s="1419"/>
      <c r="J39" s="1419"/>
      <c r="K39" s="621"/>
      <c r="L39" s="1145"/>
      <c r="M39" s="1146"/>
      <c r="N39" s="1146"/>
      <c r="O39" s="1146"/>
      <c r="P39" s="3536" t="str">
        <f>A39</f>
        <v>估价对象XX用房的比较价值（楼面单价，元/平方米）</v>
      </c>
      <c r="Q39" s="3537"/>
      <c r="R39" s="3546">
        <f>IF(F1="售价",ROUND(AVERAGE(R38:V38),0),ROUND(AVERAGE(R38:V38),1))</f>
        <v>475309</v>
      </c>
      <c r="S39" s="3546"/>
      <c r="T39" s="3546"/>
      <c r="U39" s="3546"/>
      <c r="V39" s="3546"/>
      <c r="W39" s="3546"/>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f>IF(E37&lt;E38,E38/E37-1,E37/E38-1)</f>
        <v>4.6412621359223305E-2</v>
      </c>
      <c r="F42" s="500" t="str">
        <f>IF(OR(E42&gt;=0.3,E42&lt;=-0.3),"超过30%","")</f>
        <v/>
      </c>
      <c r="G42" s="499">
        <f>IF(G37&lt;G38,G38/G37-1,G37/G38-1)</f>
        <v>5.7194826624374473E-2</v>
      </c>
      <c r="H42" s="500" t="str">
        <f>IF(OR(G42&gt;=0.3,G42&lt;=-0.3),"超过30%","")</f>
        <v/>
      </c>
      <c r="I42" s="499">
        <f>IF(I37&lt;I38,I38/I37-1,I37/I38-1)</f>
        <v>6.7766904902186731E-2</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f>IF(E38&lt;G38,G38/E38-1,E38/G38-1)</f>
        <v>0.14727617704501283</v>
      </c>
      <c r="F43" s="500" t="str">
        <f>IF(OR(E43&gt;=0.2,E43&lt;=-0.2),"超过20%","")</f>
        <v/>
      </c>
      <c r="G43" s="499">
        <f>IF(G38&lt;I38,I38/G38-1,G38/I38-1)</f>
        <v>1.1267326572532932E-2</v>
      </c>
      <c r="H43" s="500" t="str">
        <f>IF(OR(G43&gt;=0.2,G43&lt;=-0.2),"超过20%","")</f>
        <v/>
      </c>
      <c r="I43" s="499">
        <f>IF(I38&lt;E38,E38/I38-1,I38/E38-1)</f>
        <v>0.16020291240066609</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f>IF(E37&lt;G37,G37/E37-1,E37/G37-1)</f>
        <v>0.13557524271844668</v>
      </c>
      <c r="F44" s="500" t="str">
        <f>IF(OR(E44&gt;=0.3,E44&lt;=-0.3),"超过30%","")</f>
        <v/>
      </c>
      <c r="G44" s="499">
        <f>IF(G37&lt;I37,I37/G37-1,G37/I37-1)</f>
        <v>1.2546568716509388E-3</v>
      </c>
      <c r="H44" s="500" t="str">
        <f>IF(OR(G44&gt;=0.3,G44&lt;=-0.3),"超过30%","")</f>
        <v/>
      </c>
      <c r="I44" s="499">
        <f>IF(I37&lt;E37,E37/I37-1,I37/E37-1)</f>
        <v>0.13700000000000001</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f>C49-0.5</f>
        <v>99.5</v>
      </c>
      <c r="E49" s="512">
        <f>D49</f>
        <v>99.5</v>
      </c>
      <c r="F49" s="512">
        <f>E49</f>
        <v>99.5</v>
      </c>
      <c r="G49" s="512">
        <v>99</v>
      </c>
      <c r="H49" s="512">
        <f>G49</f>
        <v>99</v>
      </c>
      <c r="I49" s="512">
        <f>H49</f>
        <v>99</v>
      </c>
      <c r="J49" s="512">
        <v>98.5</v>
      </c>
      <c r="K49" s="512">
        <f>J49</f>
        <v>98.5</v>
      </c>
      <c r="L49" s="512">
        <f>K49</f>
        <v>98.5</v>
      </c>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23</v>
      </c>
      <c r="D56" s="544" t="s">
        <v>24</v>
      </c>
      <c r="E56" s="544">
        <v>100</v>
      </c>
      <c r="F56" s="544">
        <f>E56-$K10</f>
        <v>99</v>
      </c>
      <c r="G56" s="544">
        <f>F56-$K10</f>
        <v>98</v>
      </c>
      <c r="H56" s="544">
        <f>G56-$K10</f>
        <v>97</v>
      </c>
      <c r="I56" s="544">
        <f>H56-$K10</f>
        <v>96</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97</v>
      </c>
      <c r="E66" s="544">
        <f>D66-$K16</f>
        <v>94</v>
      </c>
      <c r="F66" s="544">
        <f>E66-$K16</f>
        <v>91</v>
      </c>
      <c r="G66" s="544">
        <f>F66-$K16</f>
        <v>88</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99</v>
      </c>
      <c r="E68" s="544">
        <f>D68-$K18</f>
        <v>98</v>
      </c>
      <c r="F68" s="544">
        <f>E68-$K18</f>
        <v>97</v>
      </c>
      <c r="G68" s="544">
        <f>F68-$K18</f>
        <v>96</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t="str">
        <f>C26</f>
        <v>办公</v>
      </c>
      <c r="D79" s="3272" t="s">
        <v>750</v>
      </c>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97</v>
      </c>
      <c r="E84" s="544">
        <f t="shared" si="18"/>
        <v>94</v>
      </c>
      <c r="F84" s="544">
        <f t="shared" si="18"/>
        <v>91</v>
      </c>
      <c r="G84" s="544">
        <f t="shared" si="18"/>
        <v>88</v>
      </c>
      <c r="H84" s="544">
        <f t="shared" si="18"/>
        <v>85</v>
      </c>
      <c r="I84" s="544">
        <f t="shared" si="18"/>
        <v>82</v>
      </c>
      <c r="J84" s="544">
        <f t="shared" si="18"/>
        <v>79</v>
      </c>
      <c r="K84" s="544">
        <f t="shared" si="18"/>
        <v>76</v>
      </c>
      <c r="L84" s="544">
        <f t="shared" si="18"/>
        <v>73</v>
      </c>
      <c r="M84" s="545">
        <f t="shared" si="18"/>
        <v>70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103</v>
      </c>
      <c r="E89" s="544">
        <f t="shared" si="20"/>
        <v>106</v>
      </c>
      <c r="F89" s="544">
        <f t="shared" si="20"/>
        <v>109</v>
      </c>
      <c r="G89" s="544">
        <f t="shared" si="20"/>
        <v>112</v>
      </c>
      <c r="H89" s="544">
        <f t="shared" si="20"/>
        <v>115</v>
      </c>
      <c r="I89" s="544">
        <f t="shared" si="20"/>
        <v>118</v>
      </c>
      <c r="J89" s="544">
        <f t="shared" si="20"/>
        <v>121</v>
      </c>
      <c r="K89" s="544">
        <f t="shared" si="20"/>
        <v>124</v>
      </c>
      <c r="L89" s="544">
        <f t="shared" si="20"/>
        <v>127</v>
      </c>
      <c r="M89" s="544">
        <f t="shared" si="20"/>
        <v>130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0(含)-30</v>
      </c>
      <c r="D90" s="578" t="str">
        <f t="shared" ref="D90:L90" si="21">D91&amp;"(含)"&amp;"-"&amp;E91</f>
        <v>30(含)-60</v>
      </c>
      <c r="E90" s="578" t="str">
        <f t="shared" si="21"/>
        <v>60(含)-100</v>
      </c>
      <c r="F90" s="578" t="str">
        <f t="shared" si="21"/>
        <v>100(含)-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3286">
        <v>0</v>
      </c>
      <c r="D91" s="3286">
        <v>30</v>
      </c>
      <c r="E91" s="3286">
        <v>60</v>
      </c>
      <c r="F91" s="3286">
        <v>100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3240">
        <v>100</v>
      </c>
      <c r="D92" s="3224">
        <v>101</v>
      </c>
      <c r="E92" s="3224">
        <v>102</v>
      </c>
      <c r="F92" s="3224">
        <v>103</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99</v>
      </c>
      <c r="E96" s="544">
        <f>D96-$K33</f>
        <v>98</v>
      </c>
      <c r="F96" s="544">
        <f>E96-$K33</f>
        <v>97</v>
      </c>
      <c r="G96" s="544">
        <f>F96-$K33</f>
        <v>96</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0</v>
      </c>
      <c r="D6" s="164" t="s">
        <v>2990</v>
      </c>
      <c r="E6" s="347" t="s">
        <v>1401</v>
      </c>
      <c r="F6" s="348">
        <f ca="1">INDIRECT("'数据-取费表'!u"&amp;$G$1)</f>
        <v>0</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2934" t="s">
        <v>1402</v>
      </c>
      <c r="F7" s="348">
        <f ca="1">IF(INDIRECT("'数据-取费表'!ah"&amp;$G$1)="",INDIRECT("'数据-取费表'!k"&amp;$G$1),INDIRECT("'数据-取费表'!ah"&amp;$G$1))</f>
        <v>0</v>
      </c>
      <c r="G7" s="1853"/>
      <c r="H7" s="349"/>
      <c r="I7" s="3557"/>
      <c r="J7" s="351"/>
      <c r="K7" s="352"/>
      <c r="L7" s="347" t="s">
        <v>1402</v>
      </c>
      <c r="M7" s="348">
        <f ca="1">F7</f>
        <v>0</v>
      </c>
    </row>
    <row r="8" spans="1:37" ht="18" customHeight="1">
      <c r="A8" s="349"/>
      <c r="B8" s="3557"/>
      <c r="C8" s="351"/>
      <c r="D8" s="352"/>
      <c r="E8" s="347" t="s">
        <v>1403</v>
      </c>
      <c r="F8" s="348">
        <f ca="1">INDIRECT("'数据-取费表'!ai"&amp;$G$1)</f>
        <v>0</v>
      </c>
      <c r="G8" s="1853"/>
      <c r="H8" s="349"/>
      <c r="I8" s="3557"/>
      <c r="J8" s="351"/>
      <c r="K8" s="352"/>
      <c r="L8" s="347" t="s">
        <v>1403</v>
      </c>
      <c r="M8" s="348">
        <f ca="1">INDIRECT("'数据-取费表'!ai"&amp;$G$1)</f>
        <v>0</v>
      </c>
    </row>
    <row r="9" spans="1:37" ht="18" customHeight="1">
      <c r="A9" s="349"/>
      <c r="B9" s="3558"/>
      <c r="C9" s="351"/>
      <c r="D9" s="352"/>
      <c r="E9" s="347" t="s">
        <v>1404</v>
      </c>
      <c r="F9" s="357">
        <f ca="1">INDIRECT("'数据-取费表'!w"&amp;$G$1)</f>
        <v>0</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54" t="s">
        <v>1545</v>
      </c>
      <c r="L53" s="3555"/>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IF(C2="——",ROUND(C37*D3/10000,0),ROUND(C37*D3/10000,0)-D2)</f>
        <v>#DIV/0!</v>
      </c>
      <c r="C2" s="2583"/>
      <c r="D2" s="1126" t="e">
        <f ca="1">SUMIF(INDIRECT("'"&amp;F2&amp;"'"&amp;"!A:A"),"承租人权益价值",INDIRECT("'"&amp;F2&amp;"'"&amp;"!c:c"))</f>
        <v>#REF!</v>
      </c>
      <c r="E2" s="2584" t="s">
        <v>2287</v>
      </c>
      <c r="F2" s="2585"/>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517" t="s">
        <v>2602</v>
      </c>
      <c r="D4" s="3518"/>
      <c r="E4" s="3519" t="s">
        <v>2603</v>
      </c>
      <c r="F4" s="3520"/>
      <c r="G4" s="3517" t="s">
        <v>2604</v>
      </c>
      <c r="H4" s="3518"/>
      <c r="I4" s="3517" t="s">
        <v>2605</v>
      </c>
      <c r="J4" s="3518"/>
      <c r="K4" s="610" t="s">
        <v>2606</v>
      </c>
      <c r="L4" s="1132"/>
      <c r="M4" s="1133"/>
      <c r="N4" s="1133"/>
      <c r="O4" s="1133"/>
      <c r="P4" s="3521" t="s">
        <v>2607</v>
      </c>
      <c r="Q4" s="3522"/>
      <c r="R4" s="3503" t="s">
        <v>2603</v>
      </c>
      <c r="S4" s="3504"/>
      <c r="T4" s="3503" t="s">
        <v>2604</v>
      </c>
      <c r="U4" s="3504"/>
      <c r="V4" s="3529" t="s">
        <v>2605</v>
      </c>
      <c r="W4" s="3529"/>
      <c r="X4" s="1815"/>
      <c r="Y4" s="3503" t="s">
        <v>2607</v>
      </c>
      <c r="Z4" s="3504"/>
      <c r="AA4" s="3498" t="s">
        <v>2603</v>
      </c>
      <c r="AB4" s="3499" t="s">
        <v>2604</v>
      </c>
      <c r="AC4" s="3498" t="s">
        <v>2605</v>
      </c>
    </row>
    <row r="5" spans="1:29" ht="15">
      <c r="A5" s="404"/>
      <c r="B5" s="405"/>
      <c r="C5" s="3509" t="s">
        <v>2498</v>
      </c>
      <c r="D5" s="3510"/>
      <c r="E5" s="3545" t="s">
        <v>2499</v>
      </c>
      <c r="F5" s="3508"/>
      <c r="G5" s="3509" t="s">
        <v>2500</v>
      </c>
      <c r="H5" s="3510"/>
      <c r="I5" s="3509" t="s">
        <v>2501</v>
      </c>
      <c r="J5" s="3510"/>
      <c r="K5" s="610"/>
      <c r="L5" s="1132"/>
      <c r="M5" s="1133"/>
      <c r="N5" s="1133"/>
      <c r="O5" s="1133"/>
      <c r="P5" s="3523"/>
      <c r="Q5" s="3524"/>
      <c r="R5" s="3505"/>
      <c r="S5" s="3506"/>
      <c r="T5" s="3505"/>
      <c r="U5" s="3506"/>
      <c r="V5" s="3529"/>
      <c r="W5" s="3529"/>
      <c r="X5" s="1815"/>
      <c r="Y5" s="3505"/>
      <c r="Z5" s="3506"/>
      <c r="AA5" s="3499"/>
      <c r="AB5" s="3499"/>
      <c r="AC5" s="3499"/>
    </row>
    <row r="6" spans="1:29" ht="15.75" thickBot="1">
      <c r="A6" s="406"/>
      <c r="B6" s="407"/>
      <c r="C6" s="3511" t="s">
        <v>2502</v>
      </c>
      <c r="D6" s="3512"/>
      <c r="E6" s="3514" t="s">
        <v>2502</v>
      </c>
      <c r="F6" s="3515"/>
      <c r="G6" s="3511" t="s">
        <v>2502</v>
      </c>
      <c r="H6" s="3512"/>
      <c r="I6" s="3511" t="s">
        <v>2502</v>
      </c>
      <c r="J6" s="3512"/>
      <c r="K6" s="610" t="s">
        <v>2503</v>
      </c>
      <c r="L6" s="1132"/>
      <c r="M6" s="1133"/>
      <c r="N6" s="1133"/>
      <c r="O6" s="1133"/>
      <c r="P6" s="3525"/>
      <c r="Q6" s="3526"/>
      <c r="R6" s="3505"/>
      <c r="S6" s="3506"/>
      <c r="T6" s="3527"/>
      <c r="U6" s="3528"/>
      <c r="V6" s="3529"/>
      <c r="W6" s="3529"/>
      <c r="X6" s="1815"/>
      <c r="Y6" s="3527"/>
      <c r="Z6" s="3528"/>
      <c r="AA6" s="3500"/>
      <c r="AB6" s="3500"/>
      <c r="AC6" s="3500"/>
    </row>
    <row r="7" spans="1:29" s="117" customFormat="1" ht="15.75" thickBot="1">
      <c r="A7" s="408" t="s">
        <v>2504</v>
      </c>
      <c r="B7" s="409"/>
      <c r="C7" s="410">
        <f>'数据-取费表'!B2</f>
        <v>43109</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01" t="s">
        <v>2505</v>
      </c>
      <c r="Q7" s="3530"/>
      <c r="R7" s="770" t="s">
        <v>17</v>
      </c>
      <c r="S7" s="771">
        <f t="shared" ref="S7:S14" si="0">F7</f>
        <v>0</v>
      </c>
      <c r="T7" s="770" t="s">
        <v>17</v>
      </c>
      <c r="U7" s="771">
        <f t="shared" ref="U7:U14" si="1">H7</f>
        <v>0</v>
      </c>
      <c r="V7" s="770" t="s">
        <v>17</v>
      </c>
      <c r="W7" s="771">
        <f t="shared" ref="W7:W14" si="2">J7</f>
        <v>0</v>
      </c>
      <c r="X7" s="772"/>
      <c r="Y7" s="3501" t="s">
        <v>2505</v>
      </c>
      <c r="Z7" s="3502"/>
      <c r="AA7" s="773" t="e">
        <f>D7/F7</f>
        <v>#DIV/0!</v>
      </c>
      <c r="AB7" s="773" t="e">
        <f>D7/H7</f>
        <v>#DIV/0!</v>
      </c>
      <c r="AC7" s="773"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01" t="s">
        <v>2508</v>
      </c>
      <c r="Q8" s="3502"/>
      <c r="R8" s="770" t="s">
        <v>17</v>
      </c>
      <c r="S8" s="771">
        <f t="shared" si="0"/>
        <v>0</v>
      </c>
      <c r="T8" s="770" t="s">
        <v>17</v>
      </c>
      <c r="U8" s="771">
        <f t="shared" si="1"/>
        <v>0</v>
      </c>
      <c r="V8" s="770" t="s">
        <v>17</v>
      </c>
      <c r="W8" s="771">
        <f t="shared" si="2"/>
        <v>0</v>
      </c>
      <c r="X8" s="772"/>
      <c r="Y8" s="3501" t="s">
        <v>2508</v>
      </c>
      <c r="Z8" s="3502"/>
      <c r="AA8" s="773" t="e">
        <f t="shared" ref="AA8:AA34" si="3">D8/F8</f>
        <v>#DIV/0!</v>
      </c>
      <c r="AB8" s="773" t="e">
        <f t="shared" ref="AB8:AB34" si="4">D8/H8</f>
        <v>#DIV/0!</v>
      </c>
      <c r="AC8" s="773"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516" t="s">
        <v>2511</v>
      </c>
      <c r="Q9" s="1797" t="str">
        <f t="shared" ref="Q9:Q14" si="6">B9</f>
        <v>用途</v>
      </c>
      <c r="R9" s="770" t="s">
        <v>17</v>
      </c>
      <c r="S9" s="771">
        <f t="shared" si="0"/>
        <v>100</v>
      </c>
      <c r="T9" s="770" t="s">
        <v>17</v>
      </c>
      <c r="U9" s="771">
        <f t="shared" si="1"/>
        <v>100</v>
      </c>
      <c r="V9" s="770" t="s">
        <v>17</v>
      </c>
      <c r="W9" s="771">
        <f t="shared" si="2"/>
        <v>100</v>
      </c>
      <c r="X9" s="772"/>
      <c r="Y9" s="3378" t="s">
        <v>2512</v>
      </c>
      <c r="Z9" s="55" t="str">
        <f t="shared" ref="Z9:Z14" si="7">Q9</f>
        <v>用途</v>
      </c>
      <c r="AA9" s="773">
        <f t="shared" si="3"/>
        <v>1</v>
      </c>
      <c r="AB9" s="773">
        <f t="shared" si="4"/>
        <v>1</v>
      </c>
      <c r="AC9" s="773">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516"/>
      <c r="Q10" s="1797" t="str">
        <f t="shared" si="6"/>
        <v>土地使用年限（年）</v>
      </c>
      <c r="R10" s="770" t="s">
        <v>17</v>
      </c>
      <c r="S10" s="771">
        <f t="shared" si="0"/>
        <v>100</v>
      </c>
      <c r="T10" s="770" t="s">
        <v>17</v>
      </c>
      <c r="U10" s="771">
        <f t="shared" si="1"/>
        <v>100</v>
      </c>
      <c r="V10" s="770" t="s">
        <v>17</v>
      </c>
      <c r="W10" s="771">
        <f t="shared" si="2"/>
        <v>100</v>
      </c>
      <c r="X10" s="772"/>
      <c r="Y10" s="3378"/>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516"/>
      <c r="Q11" s="1797">
        <f t="shared" si="6"/>
        <v>111</v>
      </c>
      <c r="R11" s="770" t="s">
        <v>17</v>
      </c>
      <c r="S11" s="771">
        <f t="shared" si="0"/>
        <v>100</v>
      </c>
      <c r="T11" s="770" t="s">
        <v>17</v>
      </c>
      <c r="U11" s="771">
        <f t="shared" si="1"/>
        <v>100</v>
      </c>
      <c r="V11" s="770" t="s">
        <v>17</v>
      </c>
      <c r="W11" s="771">
        <f t="shared" si="2"/>
        <v>100</v>
      </c>
      <c r="X11" s="772"/>
      <c r="Y11" s="3378"/>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516"/>
      <c r="Q12" s="1797">
        <f t="shared" si="6"/>
        <v>111</v>
      </c>
      <c r="R12" s="770" t="s">
        <v>17</v>
      </c>
      <c r="S12" s="771">
        <f t="shared" si="0"/>
        <v>100</v>
      </c>
      <c r="T12" s="770" t="s">
        <v>17</v>
      </c>
      <c r="U12" s="771">
        <f t="shared" si="1"/>
        <v>100</v>
      </c>
      <c r="V12" s="770" t="s">
        <v>17</v>
      </c>
      <c r="W12" s="771">
        <f t="shared" si="2"/>
        <v>100</v>
      </c>
      <c r="X12" s="772"/>
      <c r="Y12" s="3378"/>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516"/>
      <c r="Q13" s="1797">
        <f t="shared" si="6"/>
        <v>111</v>
      </c>
      <c r="R13" s="770" t="s">
        <v>17</v>
      </c>
      <c r="S13" s="771">
        <f t="shared" si="0"/>
        <v>100</v>
      </c>
      <c r="T13" s="770" t="s">
        <v>17</v>
      </c>
      <c r="U13" s="771">
        <f t="shared" si="1"/>
        <v>100</v>
      </c>
      <c r="V13" s="770" t="s">
        <v>17</v>
      </c>
      <c r="W13" s="771">
        <f t="shared" si="2"/>
        <v>100</v>
      </c>
      <c r="X13" s="772"/>
      <c r="Y13" s="3378"/>
      <c r="Z13" s="55">
        <f t="shared" si="7"/>
        <v>111</v>
      </c>
      <c r="AA13" s="773">
        <f t="shared" si="3"/>
        <v>1</v>
      </c>
      <c r="AB13" s="773">
        <f t="shared" si="4"/>
        <v>1</v>
      </c>
      <c r="AC13" s="773">
        <f t="shared" si="5"/>
        <v>1</v>
      </c>
    </row>
    <row r="14" spans="1:29" ht="85.5">
      <c r="A14" s="440" t="s">
        <v>2515</v>
      </c>
      <c r="B14" s="69" t="s">
        <v>2665</v>
      </c>
      <c r="C14" s="2690" t="str">
        <f>IF(B1="工业",估价对象房地状况!G4,估价对象房地状况!C6)</f>
        <v>估价对象周边有405、641等公交线路及地铁10号线经过，综合评价交通便捷度较好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531" t="s">
        <v>2516</v>
      </c>
      <c r="Q14" s="1812" t="str">
        <f t="shared" si="6"/>
        <v>交通便捷度</v>
      </c>
      <c r="R14" s="774" t="s">
        <v>17</v>
      </c>
      <c r="S14" s="775">
        <f t="shared" si="0"/>
        <v>100</v>
      </c>
      <c r="T14" s="774" t="s">
        <v>17</v>
      </c>
      <c r="U14" s="775">
        <f t="shared" si="1"/>
        <v>100</v>
      </c>
      <c r="V14" s="774" t="s">
        <v>17</v>
      </c>
      <c r="W14" s="775">
        <f t="shared" si="2"/>
        <v>100</v>
      </c>
      <c r="X14" s="1815"/>
      <c r="Y14" s="3531"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532"/>
      <c r="Q15" s="1812"/>
      <c r="R15" s="774"/>
      <c r="S15" s="775"/>
      <c r="T15" s="774"/>
      <c r="U15" s="775"/>
      <c r="V15" s="774"/>
      <c r="W15" s="775"/>
      <c r="X15" s="1815"/>
      <c r="Y15" s="3532"/>
      <c r="Z15" s="1816"/>
      <c r="AA15" s="1813">
        <v>1</v>
      </c>
      <c r="AB15" s="1813">
        <v>1</v>
      </c>
      <c r="AC15" s="1813">
        <v>1</v>
      </c>
    </row>
    <row r="16" spans="1:29" ht="42.75">
      <c r="A16" s="428"/>
      <c r="B16" s="451" t="s">
        <v>2644</v>
      </c>
      <c r="C16" s="2604"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32"/>
      <c r="Q16" s="1812" t="str">
        <f>B16</f>
        <v>公共配套设施</v>
      </c>
      <c r="R16" s="774" t="s">
        <v>17</v>
      </c>
      <c r="S16" s="775">
        <f>F16</f>
        <v>100</v>
      </c>
      <c r="T16" s="774" t="s">
        <v>17</v>
      </c>
      <c r="U16" s="775">
        <f>H16</f>
        <v>100</v>
      </c>
      <c r="V16" s="774" t="s">
        <v>17</v>
      </c>
      <c r="W16" s="775">
        <f>J16</f>
        <v>100</v>
      </c>
      <c r="X16" s="1815"/>
      <c r="Y16" s="3532"/>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2"/>
      <c r="M17" s="1133"/>
      <c r="N17" s="1133"/>
      <c r="O17" s="1141"/>
      <c r="P17" s="3532"/>
      <c r="Q17" s="1812"/>
      <c r="R17" s="774"/>
      <c r="S17" s="775"/>
      <c r="T17" s="774"/>
      <c r="U17" s="775"/>
      <c r="V17" s="774"/>
      <c r="W17" s="775"/>
      <c r="X17" s="1815"/>
      <c r="Y17" s="3532"/>
      <c r="Z17" s="1816"/>
      <c r="AA17" s="1813">
        <v>1</v>
      </c>
      <c r="AB17" s="1813">
        <v>1</v>
      </c>
      <c r="AC17" s="1813">
        <v>1</v>
      </c>
    </row>
    <row r="18" spans="1:29" ht="42.75">
      <c r="A18" s="428"/>
      <c r="B18" s="1386" t="s">
        <v>2645</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32"/>
      <c r="Q18" s="1812" t="str">
        <f>B18</f>
        <v>基础设施水平</v>
      </c>
      <c r="R18" s="774" t="s">
        <v>17</v>
      </c>
      <c r="S18" s="775">
        <f>F18</f>
        <v>100</v>
      </c>
      <c r="T18" s="774" t="s">
        <v>17</v>
      </c>
      <c r="U18" s="775">
        <f>H18</f>
        <v>100</v>
      </c>
      <c r="V18" s="774" t="s">
        <v>17</v>
      </c>
      <c r="W18" s="775">
        <f>J18</f>
        <v>100</v>
      </c>
      <c r="X18" s="1815"/>
      <c r="Y18" s="3532"/>
      <c r="Z18" s="1816" t="str">
        <f>Q18</f>
        <v>基础设施水平</v>
      </c>
      <c r="AA18" s="1813">
        <f t="shared" ref="AA18" si="8">D18/F18</f>
        <v>1</v>
      </c>
      <c r="AB18" s="1813">
        <f t="shared" ref="AB18" si="9">D18/H18</f>
        <v>1</v>
      </c>
      <c r="AC18" s="1813">
        <f t="shared" ref="AC18" si="10">D18/J18</f>
        <v>1</v>
      </c>
    </row>
    <row r="19" spans="1:29" ht="15">
      <c r="A19" s="428"/>
      <c r="B19" s="1386"/>
      <c r="C19" s="2605"/>
      <c r="D19" s="450"/>
      <c r="E19" s="2605"/>
      <c r="F19" s="453"/>
      <c r="G19" s="2605"/>
      <c r="H19" s="448"/>
      <c r="I19" s="447"/>
      <c r="J19" s="448"/>
      <c r="K19" s="1385"/>
      <c r="L19" s="1142"/>
      <c r="M19" s="1133"/>
      <c r="N19" s="1133"/>
      <c r="O19" s="1141"/>
      <c r="P19" s="3532"/>
      <c r="Q19" s="1812"/>
      <c r="R19" s="774"/>
      <c r="S19" s="775"/>
      <c r="T19" s="774"/>
      <c r="U19" s="775"/>
      <c r="V19" s="774"/>
      <c r="W19" s="775"/>
      <c r="X19" s="1815"/>
      <c r="Y19" s="3532"/>
      <c r="Z19" s="1816"/>
      <c r="AA19" s="1813">
        <v>1</v>
      </c>
      <c r="AB19" s="1813">
        <v>1</v>
      </c>
      <c r="AC19" s="1813">
        <v>1</v>
      </c>
    </row>
    <row r="20" spans="1:29" ht="57">
      <c r="A20" s="428"/>
      <c r="B20" s="451" t="s">
        <v>2666</v>
      </c>
      <c r="C20" s="260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32"/>
      <c r="Q20" s="1812" t="str">
        <f>B20</f>
        <v>自然及人文环境</v>
      </c>
      <c r="R20" s="774" t="s">
        <v>17</v>
      </c>
      <c r="S20" s="775">
        <f>F20</f>
        <v>100</v>
      </c>
      <c r="T20" s="774" t="s">
        <v>17</v>
      </c>
      <c r="U20" s="775">
        <f>H20</f>
        <v>100</v>
      </c>
      <c r="V20" s="774" t="s">
        <v>17</v>
      </c>
      <c r="W20" s="775">
        <f>J20</f>
        <v>100</v>
      </c>
      <c r="X20" s="1815"/>
      <c r="Y20" s="353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532"/>
      <c r="Q21" s="1812"/>
      <c r="R21" s="774"/>
      <c r="S21" s="775"/>
      <c r="T21" s="774"/>
      <c r="U21" s="775"/>
      <c r="V21" s="774"/>
      <c r="W21" s="775"/>
      <c r="X21" s="1815"/>
      <c r="Y21" s="3532"/>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32"/>
      <c r="Q22" s="1812" t="str">
        <f>B22</f>
        <v>楼层</v>
      </c>
      <c r="R22" s="774" t="s">
        <v>17</v>
      </c>
      <c r="S22" s="775">
        <f>F22</f>
        <v>100</v>
      </c>
      <c r="T22" s="774" t="s">
        <v>17</v>
      </c>
      <c r="U22" s="775">
        <f>H22</f>
        <v>100</v>
      </c>
      <c r="V22" s="774" t="s">
        <v>17</v>
      </c>
      <c r="W22" s="775">
        <f>J22</f>
        <v>100</v>
      </c>
      <c r="X22" s="1815"/>
      <c r="Y22" s="3532"/>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32"/>
      <c r="Q23" s="1812">
        <f>B23</f>
        <v>111</v>
      </c>
      <c r="R23" s="774" t="s">
        <v>17</v>
      </c>
      <c r="S23" s="775">
        <f>F23</f>
        <v>100</v>
      </c>
      <c r="T23" s="774" t="s">
        <v>17</v>
      </c>
      <c r="U23" s="775">
        <f>H23</f>
        <v>100</v>
      </c>
      <c r="V23" s="774" t="s">
        <v>17</v>
      </c>
      <c r="W23" s="775">
        <f>J23</f>
        <v>100</v>
      </c>
      <c r="X23" s="1815"/>
      <c r="Y23" s="3532"/>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32"/>
      <c r="Q24" s="1812">
        <f t="shared" ref="Q24:Q34" si="11">B24</f>
        <v>111</v>
      </c>
      <c r="R24" s="774" t="s">
        <v>17</v>
      </c>
      <c r="S24" s="775">
        <f>F24</f>
        <v>100</v>
      </c>
      <c r="T24" s="774" t="s">
        <v>17</v>
      </c>
      <c r="U24" s="775">
        <f>H24</f>
        <v>100</v>
      </c>
      <c r="V24" s="774" t="s">
        <v>17</v>
      </c>
      <c r="W24" s="775">
        <f>J24</f>
        <v>100</v>
      </c>
      <c r="X24" s="1815"/>
      <c r="Y24" s="3532"/>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32"/>
      <c r="Q25" s="1797">
        <f t="shared" si="11"/>
        <v>111</v>
      </c>
      <c r="R25" s="770" t="s">
        <v>17</v>
      </c>
      <c r="S25" s="771">
        <f>F25</f>
        <v>100</v>
      </c>
      <c r="T25" s="770" t="s">
        <v>17</v>
      </c>
      <c r="U25" s="771">
        <f>H25</f>
        <v>100</v>
      </c>
      <c r="V25" s="770" t="s">
        <v>17</v>
      </c>
      <c r="W25" s="771">
        <f>J25</f>
        <v>100</v>
      </c>
      <c r="X25" s="772"/>
      <c r="Y25" s="3532"/>
      <c r="Z25" s="55">
        <f>Q25</f>
        <v>111</v>
      </c>
      <c r="AA25" s="1813">
        <f>D25/F25</f>
        <v>1</v>
      </c>
      <c r="AB25" s="1813">
        <f>D25/H25</f>
        <v>1</v>
      </c>
      <c r="AC25" s="1813">
        <f>D25/J25</f>
        <v>1</v>
      </c>
    </row>
    <row r="26" spans="1:29" ht="15">
      <c r="A26" s="466" t="s">
        <v>2519</v>
      </c>
      <c r="B26" s="71" t="s">
        <v>2670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33" t="s">
        <v>2521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534"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34"/>
      <c r="Q27" s="776" t="str">
        <f t="shared" si="11"/>
        <v>成新率</v>
      </c>
      <c r="R27" s="777" t="s">
        <v>17</v>
      </c>
      <c r="S27" s="778" t="e">
        <f t="shared" si="12"/>
        <v>#N/A</v>
      </c>
      <c r="T27" s="777" t="s">
        <v>17</v>
      </c>
      <c r="U27" s="778" t="e">
        <f t="shared" si="13"/>
        <v>#N/A</v>
      </c>
      <c r="V27" s="777" t="s">
        <v>17</v>
      </c>
      <c r="W27" s="778" t="e">
        <f t="shared" si="14"/>
        <v>#N/A</v>
      </c>
      <c r="X27" s="779"/>
      <c r="Y27" s="3534"/>
      <c r="Z27" s="780"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34"/>
      <c r="Q28" s="1812" t="str">
        <f t="shared" si="11"/>
        <v>物业等级</v>
      </c>
      <c r="R28" s="774" t="s">
        <v>17</v>
      </c>
      <c r="S28" s="775">
        <f t="shared" si="12"/>
        <v>100</v>
      </c>
      <c r="T28" s="774" t="s">
        <v>17</v>
      </c>
      <c r="U28" s="775">
        <f t="shared" si="13"/>
        <v>100</v>
      </c>
      <c r="V28" s="774" t="s">
        <v>17</v>
      </c>
      <c r="W28" s="775">
        <f t="shared" si="14"/>
        <v>100</v>
      </c>
      <c r="X28" s="1815"/>
      <c r="Y28" s="3534"/>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34"/>
      <c r="Q29" s="1812" t="str">
        <f t="shared" si="11"/>
        <v>有无电梯</v>
      </c>
      <c r="R29" s="774" t="s">
        <v>17</v>
      </c>
      <c r="S29" s="775">
        <f t="shared" si="12"/>
        <v>100</v>
      </c>
      <c r="T29" s="774" t="s">
        <v>17</v>
      </c>
      <c r="U29" s="775">
        <f t="shared" si="13"/>
        <v>100</v>
      </c>
      <c r="V29" s="774" t="s">
        <v>17</v>
      </c>
      <c r="W29" s="775">
        <f t="shared" si="14"/>
        <v>100</v>
      </c>
      <c r="X29" s="1815"/>
      <c r="Y29" s="3534"/>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34"/>
      <c r="Q30" s="1812" t="str">
        <f t="shared" si="11"/>
        <v>建筑面积</v>
      </c>
      <c r="R30" s="774" t="s">
        <v>17</v>
      </c>
      <c r="S30" s="775" t="e">
        <f t="shared" si="12"/>
        <v>#N/A</v>
      </c>
      <c r="T30" s="774" t="s">
        <v>17</v>
      </c>
      <c r="U30" s="775" t="e">
        <f t="shared" si="13"/>
        <v>#N/A</v>
      </c>
      <c r="V30" s="774" t="s">
        <v>17</v>
      </c>
      <c r="W30" s="775" t="e">
        <f t="shared" si="14"/>
        <v>#N/A</v>
      </c>
      <c r="X30" s="1815"/>
      <c r="Y30" s="3534"/>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34"/>
      <c r="Q31" s="1797" t="str">
        <f t="shared" si="11"/>
        <v>是否封闭</v>
      </c>
      <c r="R31" s="770" t="s">
        <v>17</v>
      </c>
      <c r="S31" s="771">
        <f t="shared" si="12"/>
        <v>100</v>
      </c>
      <c r="T31" s="770" t="s">
        <v>17</v>
      </c>
      <c r="U31" s="771">
        <f t="shared" si="13"/>
        <v>100</v>
      </c>
      <c r="V31" s="770" t="s">
        <v>17</v>
      </c>
      <c r="W31" s="771">
        <f t="shared" si="14"/>
        <v>100</v>
      </c>
      <c r="X31" s="772"/>
      <c r="Y31" s="3534"/>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34" t="s">
        <v>2521</v>
      </c>
      <c r="Q32" s="1812">
        <f t="shared" si="11"/>
        <v>111</v>
      </c>
      <c r="R32" s="774" t="s">
        <v>17</v>
      </c>
      <c r="S32" s="775">
        <f t="shared" si="12"/>
        <v>100</v>
      </c>
      <c r="T32" s="774" t="s">
        <v>17</v>
      </c>
      <c r="U32" s="775">
        <f t="shared" si="13"/>
        <v>100</v>
      </c>
      <c r="V32" s="774" t="s">
        <v>17</v>
      </c>
      <c r="W32" s="775">
        <f t="shared" si="14"/>
        <v>100</v>
      </c>
      <c r="X32" s="1815"/>
      <c r="Y32" s="3534" t="s">
        <v>2521</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34"/>
      <c r="Q33" s="1812">
        <f t="shared" si="11"/>
        <v>111</v>
      </c>
      <c r="R33" s="774" t="s">
        <v>17</v>
      </c>
      <c r="S33" s="775">
        <f t="shared" si="12"/>
        <v>100</v>
      </c>
      <c r="T33" s="774" t="s">
        <v>17</v>
      </c>
      <c r="U33" s="775">
        <f t="shared" si="13"/>
        <v>100</v>
      </c>
      <c r="V33" s="774" t="s">
        <v>17</v>
      </c>
      <c r="W33" s="775">
        <f t="shared" si="14"/>
        <v>100</v>
      </c>
      <c r="X33" s="1815"/>
      <c r="Y33" s="3534"/>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34"/>
      <c r="Q34" s="1812">
        <f t="shared" si="11"/>
        <v>111</v>
      </c>
      <c r="R34" s="774" t="s">
        <v>17</v>
      </c>
      <c r="S34" s="775">
        <f t="shared" si="12"/>
        <v>100</v>
      </c>
      <c r="T34" s="774" t="s">
        <v>17</v>
      </c>
      <c r="U34" s="775">
        <f t="shared" si="13"/>
        <v>100</v>
      </c>
      <c r="V34" s="774" t="s">
        <v>17</v>
      </c>
      <c r="W34" s="775">
        <f t="shared" si="14"/>
        <v>100</v>
      </c>
      <c r="X34" s="1815"/>
      <c r="Y34" s="3534"/>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3"/>
      <c r="L35" s="1145"/>
      <c r="M35" s="1146"/>
      <c r="N35" s="1133"/>
      <c r="O35" s="1146"/>
      <c r="P35" s="3516" t="str">
        <f>A35</f>
        <v>成交单价（元/平方米）</v>
      </c>
      <c r="Q35" s="3516"/>
      <c r="R35" s="3547">
        <f>E35</f>
        <v>0</v>
      </c>
      <c r="S35" s="3547"/>
      <c r="T35" s="3547">
        <f>G35</f>
        <v>0</v>
      </c>
      <c r="U35" s="3547"/>
      <c r="V35" s="3547">
        <f>I35</f>
        <v>0</v>
      </c>
      <c r="W35" s="3547"/>
      <c r="X35" s="759"/>
      <c r="Y35" s="781"/>
      <c r="Z35" s="759"/>
      <c r="AA35" s="759"/>
      <c r="AB35" s="759"/>
      <c r="AC35" s="759"/>
    </row>
    <row r="36" spans="1:29" ht="15.75" thickBot="1">
      <c r="A36" s="486" t="s">
        <v>2625</v>
      </c>
      <c r="B36" s="487"/>
      <c r="C36" s="1415" t="e">
        <f>R37</f>
        <v>#DIV/0!</v>
      </c>
      <c r="D36" s="1416"/>
      <c r="E36" s="1417" t="e">
        <f>R36</f>
        <v>#DIV/0!</v>
      </c>
      <c r="F36" s="1417"/>
      <c r="G36" s="1415" t="e">
        <f>T36</f>
        <v>#DIV/0!</v>
      </c>
      <c r="H36" s="1416"/>
      <c r="I36" s="1417" t="e">
        <f>V36</f>
        <v>#DIV/0!</v>
      </c>
      <c r="J36" s="1416"/>
      <c r="K36" s="784"/>
      <c r="L36" s="1145"/>
      <c r="M36" s="1146"/>
      <c r="N36" s="1133"/>
      <c r="O36" s="1146"/>
      <c r="P36" s="3516" t="str">
        <f>A36</f>
        <v>比较价值（元/平方米）</v>
      </c>
      <c r="Q36" s="3516"/>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759"/>
      <c r="Y36" s="759"/>
      <c r="Z36" s="759"/>
      <c r="AA36" s="759"/>
      <c r="AB36" s="759"/>
      <c r="AC36" s="759"/>
    </row>
    <row r="37" spans="1:29" ht="15.75" thickBot="1">
      <c r="A37" s="492" t="s">
        <v>2626</v>
      </c>
      <c r="B37" s="493"/>
      <c r="C37" s="1419" t="e">
        <f>R37</f>
        <v>#DIV/0!</v>
      </c>
      <c r="D37" s="1419"/>
      <c r="E37" s="1419"/>
      <c r="F37" s="1419"/>
      <c r="G37" s="1419"/>
      <c r="H37" s="1419"/>
      <c r="I37" s="1419"/>
      <c r="J37" s="1419"/>
      <c r="K37" s="785"/>
      <c r="L37" s="1145"/>
      <c r="M37" s="1146"/>
      <c r="N37" s="1146"/>
      <c r="O37" s="1146"/>
      <c r="P37" s="3536" t="str">
        <f>A37</f>
        <v>估价对象XX用房的比较价值（楼面单价，元/平方米）</v>
      </c>
      <c r="Q37" s="3537"/>
      <c r="R37" s="3546" t="e">
        <f>IF(F1="售价",ROUND(AVERAGE(R36:V36),0),ROUND(AVERAGE(R36:V36),1))</f>
        <v>#DIV/0!</v>
      </c>
      <c r="S37" s="3546"/>
      <c r="T37" s="3546"/>
      <c r="U37" s="3546"/>
      <c r="V37" s="3546"/>
      <c r="W37" s="3546"/>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2630</v>
      </c>
      <c r="B45" s="759"/>
      <c r="C45" s="764"/>
      <c r="D45" s="764"/>
      <c r="E45" s="764"/>
      <c r="F45" s="765"/>
      <c r="G45" s="765"/>
      <c r="H45" s="764"/>
      <c r="I45" s="764"/>
      <c r="J45" s="764"/>
      <c r="K45" s="766"/>
      <c r="L45" s="767"/>
      <c r="M45" s="764"/>
      <c r="N45" s="764"/>
      <c r="O45" s="764"/>
      <c r="P45" s="503"/>
      <c r="Q45" s="504"/>
    </row>
    <row r="46" spans="1:29" s="508" customFormat="1" ht="15">
      <c r="A46" s="505" t="s">
        <v>2504</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2286</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ROUND(IF(D3="",B2*10000/'数据-汇总表'!E3,B2*10000/D3),0)</f>
        <v>#DIV/0!</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517" t="s">
        <v>2602</v>
      </c>
      <c r="D4" s="3518"/>
      <c r="E4" s="3519" t="s">
        <v>2603</v>
      </c>
      <c r="F4" s="3520"/>
      <c r="G4" s="3517" t="s">
        <v>2604</v>
      </c>
      <c r="H4" s="3518"/>
      <c r="I4" s="3517" t="s">
        <v>2605</v>
      </c>
      <c r="J4" s="3518"/>
      <c r="K4" s="610" t="s">
        <v>2606</v>
      </c>
      <c r="L4" s="1132"/>
      <c r="M4" s="1133"/>
      <c r="N4" s="1133"/>
      <c r="O4" s="1133"/>
      <c r="P4" s="3521" t="s">
        <v>2607</v>
      </c>
      <c r="Q4" s="3522"/>
      <c r="R4" s="3503" t="s">
        <v>2603</v>
      </c>
      <c r="S4" s="3504"/>
      <c r="T4" s="3503" t="s">
        <v>2604</v>
      </c>
      <c r="U4" s="3504"/>
      <c r="V4" s="3529" t="s">
        <v>2605</v>
      </c>
      <c r="W4" s="3529"/>
      <c r="X4" s="1815"/>
      <c r="Y4" s="3503" t="s">
        <v>2607</v>
      </c>
      <c r="Z4" s="3504"/>
      <c r="AA4" s="3498" t="s">
        <v>2603</v>
      </c>
      <c r="AB4" s="3499" t="s">
        <v>2604</v>
      </c>
      <c r="AC4" s="3498" t="s">
        <v>2605</v>
      </c>
    </row>
    <row r="5" spans="1:29" ht="15">
      <c r="A5" s="404"/>
      <c r="B5" s="405"/>
      <c r="C5" s="3509" t="s">
        <v>2498</v>
      </c>
      <c r="D5" s="3510"/>
      <c r="E5" s="3545" t="s">
        <v>2499</v>
      </c>
      <c r="F5" s="3508"/>
      <c r="G5" s="3509" t="s">
        <v>2500</v>
      </c>
      <c r="H5" s="3510"/>
      <c r="I5" s="3509" t="s">
        <v>2501</v>
      </c>
      <c r="J5" s="3510"/>
      <c r="K5" s="610"/>
      <c r="L5" s="1132"/>
      <c r="M5" s="1133"/>
      <c r="N5" s="1133"/>
      <c r="O5" s="1133"/>
      <c r="P5" s="3523"/>
      <c r="Q5" s="3524"/>
      <c r="R5" s="3505"/>
      <c r="S5" s="3506"/>
      <c r="T5" s="3505"/>
      <c r="U5" s="3506"/>
      <c r="V5" s="3529"/>
      <c r="W5" s="3529"/>
      <c r="X5" s="1815"/>
      <c r="Y5" s="3505"/>
      <c r="Z5" s="3506"/>
      <c r="AA5" s="3499"/>
      <c r="AB5" s="3499"/>
      <c r="AC5" s="3499"/>
    </row>
    <row r="6" spans="1:29" ht="15.75" thickBot="1">
      <c r="A6" s="406"/>
      <c r="B6" s="407"/>
      <c r="C6" s="3637" t="s">
        <v>2753</v>
      </c>
      <c r="D6" s="3638"/>
      <c r="E6" s="3639" t="s">
        <v>2753</v>
      </c>
      <c r="F6" s="3640"/>
      <c r="G6" s="3637" t="s">
        <v>2753</v>
      </c>
      <c r="H6" s="3638"/>
      <c r="I6" s="3637" t="s">
        <v>2753</v>
      </c>
      <c r="J6" s="3638"/>
      <c r="K6" s="610" t="s">
        <v>2503</v>
      </c>
      <c r="L6" s="1132"/>
      <c r="M6" s="1133"/>
      <c r="N6" s="1133"/>
      <c r="O6" s="1133"/>
      <c r="P6" s="3525"/>
      <c r="Q6" s="3526"/>
      <c r="R6" s="3505"/>
      <c r="S6" s="3506"/>
      <c r="T6" s="3527"/>
      <c r="U6" s="3528"/>
      <c r="V6" s="3529"/>
      <c r="W6" s="3529"/>
      <c r="X6" s="1815"/>
      <c r="Y6" s="3527"/>
      <c r="Z6" s="3528"/>
      <c r="AA6" s="3500"/>
      <c r="AB6" s="3500"/>
      <c r="AC6" s="3500"/>
    </row>
    <row r="7" spans="1:29" s="117" customFormat="1" ht="15.75" thickBot="1">
      <c r="A7" s="408" t="s">
        <v>2504</v>
      </c>
      <c r="B7" s="409"/>
      <c r="C7" s="410">
        <f>'数据-取费表'!B2</f>
        <v>43109</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01" t="s">
        <v>2505</v>
      </c>
      <c r="Q7" s="3530"/>
      <c r="R7" s="770" t="s">
        <v>17</v>
      </c>
      <c r="S7" s="771">
        <f t="shared" ref="S7:S15" si="0">F7</f>
        <v>0</v>
      </c>
      <c r="T7" s="770" t="s">
        <v>17</v>
      </c>
      <c r="U7" s="771">
        <f t="shared" ref="U7:U15" si="1">H7</f>
        <v>0</v>
      </c>
      <c r="V7" s="770" t="s">
        <v>17</v>
      </c>
      <c r="W7" s="771">
        <f t="shared" ref="W7:W15" si="2">J7</f>
        <v>0</v>
      </c>
      <c r="X7" s="772"/>
      <c r="Y7" s="3501" t="s">
        <v>2505</v>
      </c>
      <c r="Z7" s="3502"/>
      <c r="AA7" s="773" t="e">
        <f>D7/F7</f>
        <v>#DIV/0!</v>
      </c>
      <c r="AB7" s="773" t="e">
        <f>D7/H7</f>
        <v>#DIV/0!</v>
      </c>
      <c r="AC7" s="773"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01" t="s">
        <v>2508</v>
      </c>
      <c r="Q8" s="3502"/>
      <c r="R8" s="770" t="s">
        <v>17</v>
      </c>
      <c r="S8" s="771">
        <f t="shared" si="0"/>
        <v>0</v>
      </c>
      <c r="T8" s="770" t="s">
        <v>17</v>
      </c>
      <c r="U8" s="771">
        <f t="shared" si="1"/>
        <v>0</v>
      </c>
      <c r="V8" s="770" t="s">
        <v>17</v>
      </c>
      <c r="W8" s="771">
        <f t="shared" si="2"/>
        <v>0</v>
      </c>
      <c r="X8" s="772"/>
      <c r="Y8" s="3501" t="s">
        <v>2508</v>
      </c>
      <c r="Z8" s="3502"/>
      <c r="AA8" s="773" t="e">
        <f t="shared" ref="AA8:AA40" si="3">D8/F8</f>
        <v>#DIV/0!</v>
      </c>
      <c r="AB8" s="773" t="e">
        <f t="shared" ref="AB8:AB40" si="4">D8/H8</f>
        <v>#DIV/0!</v>
      </c>
      <c r="AC8" s="773" t="e">
        <f t="shared" ref="AC8:AC40" si="5">D8/J8</f>
        <v>#DIV/0!</v>
      </c>
    </row>
    <row r="9" spans="1:29" s="117" customFormat="1">
      <c r="A9" s="415" t="s">
        <v>2509</v>
      </c>
      <c r="B9" s="71" t="s">
        <v>2510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516" t="s">
        <v>2511</v>
      </c>
      <c r="Q9" s="1797" t="str">
        <f t="shared" ref="Q9:Q15" si="6">B9</f>
        <v>用途</v>
      </c>
      <c r="R9" s="770" t="s">
        <v>17</v>
      </c>
      <c r="S9" s="771">
        <f t="shared" si="0"/>
        <v>100</v>
      </c>
      <c r="T9" s="770" t="s">
        <v>17</v>
      </c>
      <c r="U9" s="771">
        <f t="shared" si="1"/>
        <v>100</v>
      </c>
      <c r="V9" s="770" t="s">
        <v>17</v>
      </c>
      <c r="W9" s="771">
        <f t="shared" si="2"/>
        <v>100</v>
      </c>
      <c r="X9" s="772"/>
      <c r="Y9" s="3378" t="s">
        <v>2512</v>
      </c>
      <c r="Z9" s="55" t="str">
        <f t="shared" ref="Z9:Z15" si="7">Q9</f>
        <v>用途</v>
      </c>
      <c r="AA9" s="773">
        <f t="shared" si="3"/>
        <v>1</v>
      </c>
      <c r="AB9" s="773">
        <f t="shared" si="4"/>
        <v>1</v>
      </c>
      <c r="AC9" s="773">
        <f t="shared" si="5"/>
        <v>1</v>
      </c>
    </row>
    <row r="10" spans="1:29" s="427" customFormat="1" ht="27">
      <c r="A10" s="421"/>
      <c r="B10" s="422" t="s">
        <v>2513</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516"/>
      <c r="Q10" s="1797" t="str">
        <f t="shared" si="6"/>
        <v>土地使用年限（年）</v>
      </c>
      <c r="R10" s="770" t="s">
        <v>17</v>
      </c>
      <c r="S10" s="771">
        <f t="shared" si="0"/>
        <v>102</v>
      </c>
      <c r="T10" s="770" t="s">
        <v>17</v>
      </c>
      <c r="U10" s="771">
        <f t="shared" si="1"/>
        <v>102</v>
      </c>
      <c r="V10" s="770" t="s">
        <v>17</v>
      </c>
      <c r="W10" s="771">
        <f t="shared" si="2"/>
        <v>102</v>
      </c>
      <c r="X10" s="772"/>
      <c r="Y10" s="3378"/>
      <c r="Z10" s="55" t="str">
        <f t="shared" si="7"/>
        <v>土地使用年限（年）</v>
      </c>
      <c r="AA10" s="773">
        <f t="shared" si="3"/>
        <v>0.98039215686274506</v>
      </c>
      <c r="AB10" s="773">
        <f t="shared" si="4"/>
        <v>0.98039215686274506</v>
      </c>
      <c r="AC10" s="773">
        <f t="shared" si="5"/>
        <v>0.98039215686274506</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516"/>
      <c r="Q11" s="1797" t="str">
        <f t="shared" si="6"/>
        <v>容积率</v>
      </c>
      <c r="R11" s="770" t="s">
        <v>17</v>
      </c>
      <c r="S11" s="771" t="e">
        <f t="shared" si="0"/>
        <v>#N/A</v>
      </c>
      <c r="T11" s="770" t="s">
        <v>17</v>
      </c>
      <c r="U11" s="771" t="e">
        <f t="shared" si="1"/>
        <v>#N/A</v>
      </c>
      <c r="V11" s="770" t="s">
        <v>17</v>
      </c>
      <c r="W11" s="771" t="e">
        <f t="shared" si="2"/>
        <v>#N/A</v>
      </c>
      <c r="X11" s="772"/>
      <c r="Y11" s="3378"/>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516"/>
      <c r="Q12" s="1797">
        <f t="shared" si="6"/>
        <v>111</v>
      </c>
      <c r="R12" s="770" t="s">
        <v>17</v>
      </c>
      <c r="S12" s="771">
        <f t="shared" si="0"/>
        <v>100</v>
      </c>
      <c r="T12" s="770" t="s">
        <v>17</v>
      </c>
      <c r="U12" s="771">
        <f t="shared" si="1"/>
        <v>100</v>
      </c>
      <c r="V12" s="770" t="s">
        <v>17</v>
      </c>
      <c r="W12" s="771">
        <f t="shared" si="2"/>
        <v>100</v>
      </c>
      <c r="X12" s="772"/>
      <c r="Y12" s="3378"/>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516"/>
      <c r="Q13" s="1797">
        <f t="shared" si="6"/>
        <v>111</v>
      </c>
      <c r="R13" s="770" t="s">
        <v>17</v>
      </c>
      <c r="S13" s="771">
        <f t="shared" si="0"/>
        <v>100</v>
      </c>
      <c r="T13" s="770" t="s">
        <v>17</v>
      </c>
      <c r="U13" s="771">
        <f t="shared" si="1"/>
        <v>100</v>
      </c>
      <c r="V13" s="770" t="s">
        <v>17</v>
      </c>
      <c r="W13" s="771">
        <f t="shared" si="2"/>
        <v>100</v>
      </c>
      <c r="X13" s="772"/>
      <c r="Y13" s="3378"/>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516"/>
      <c r="Q14" s="1797">
        <f t="shared" si="6"/>
        <v>111</v>
      </c>
      <c r="R14" s="770" t="s">
        <v>17</v>
      </c>
      <c r="S14" s="771">
        <f t="shared" si="0"/>
        <v>100</v>
      </c>
      <c r="T14" s="770" t="s">
        <v>17</v>
      </c>
      <c r="U14" s="771">
        <f t="shared" si="1"/>
        <v>100</v>
      </c>
      <c r="V14" s="770" t="s">
        <v>17</v>
      </c>
      <c r="W14" s="771">
        <f t="shared" si="2"/>
        <v>100</v>
      </c>
      <c r="X14" s="772"/>
      <c r="Y14" s="3378"/>
      <c r="Z14" s="55">
        <f t="shared" si="7"/>
        <v>111</v>
      </c>
      <c r="AA14" s="773">
        <f t="shared" si="3"/>
        <v>1</v>
      </c>
      <c r="AB14" s="773">
        <f t="shared" si="4"/>
        <v>1</v>
      </c>
      <c r="AC14" s="773">
        <f t="shared" si="5"/>
        <v>1</v>
      </c>
    </row>
    <row r="15" spans="1:29" ht="57">
      <c r="A15" s="440" t="s">
        <v>2515</v>
      </c>
      <c r="B15" s="629" t="s">
        <v>2754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531" t="s">
        <v>2516</v>
      </c>
      <c r="Q15" s="1812" t="str">
        <f t="shared" si="6"/>
        <v>产业集聚程度</v>
      </c>
      <c r="R15" s="774" t="s">
        <v>17</v>
      </c>
      <c r="S15" s="775">
        <f t="shared" si="0"/>
        <v>100</v>
      </c>
      <c r="T15" s="774" t="s">
        <v>17</v>
      </c>
      <c r="U15" s="775">
        <f t="shared" si="1"/>
        <v>100</v>
      </c>
      <c r="V15" s="774" t="s">
        <v>17</v>
      </c>
      <c r="W15" s="775">
        <f t="shared" si="2"/>
        <v>100</v>
      </c>
      <c r="X15" s="1815"/>
      <c r="Y15" s="3531" t="s">
        <v>2516</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2"/>
      <c r="M16" s="1133"/>
      <c r="N16" s="1133"/>
      <c r="O16" s="1141"/>
      <c r="P16" s="3532"/>
      <c r="Q16" s="1812"/>
      <c r="R16" s="774"/>
      <c r="S16" s="775"/>
      <c r="T16" s="774"/>
      <c r="U16" s="775"/>
      <c r="V16" s="774"/>
      <c r="W16" s="775"/>
      <c r="X16" s="1815"/>
      <c r="Y16" s="3532"/>
      <c r="Z16" s="1816"/>
      <c r="AA16" s="1813">
        <v>1</v>
      </c>
      <c r="AB16" s="1813">
        <v>1</v>
      </c>
      <c r="AC16" s="1813">
        <v>1</v>
      </c>
    </row>
    <row r="17" spans="1:29" ht="85.5">
      <c r="A17" s="428"/>
      <c r="B17" s="631" t="s">
        <v>2665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32"/>
      <c r="Q17" s="1812" t="str">
        <f>B17</f>
        <v>交通便捷度</v>
      </c>
      <c r="R17" s="774" t="s">
        <v>17</v>
      </c>
      <c r="S17" s="775">
        <f>F17</f>
        <v>100</v>
      </c>
      <c r="T17" s="774" t="s">
        <v>17</v>
      </c>
      <c r="U17" s="775">
        <f>H17</f>
        <v>100</v>
      </c>
      <c r="V17" s="774" t="s">
        <v>17</v>
      </c>
      <c r="W17" s="775">
        <f>J17</f>
        <v>100</v>
      </c>
      <c r="X17" s="1815"/>
      <c r="Y17" s="3532"/>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2"/>
      <c r="M18" s="1133"/>
      <c r="N18" s="1133"/>
      <c r="O18" s="1141"/>
      <c r="P18" s="3532"/>
      <c r="Q18" s="1812"/>
      <c r="R18" s="774"/>
      <c r="S18" s="775"/>
      <c r="T18" s="774"/>
      <c r="U18" s="775"/>
      <c r="V18" s="774"/>
      <c r="W18" s="775"/>
      <c r="X18" s="1815"/>
      <c r="Y18" s="3532"/>
      <c r="Z18" s="1816"/>
      <c r="AA18" s="1813">
        <v>1</v>
      </c>
      <c r="AB18" s="1813">
        <v>1</v>
      </c>
      <c r="AC18" s="1813">
        <v>1</v>
      </c>
    </row>
    <row r="19" spans="1:29" ht="15">
      <c r="A19" s="428"/>
      <c r="B19" s="631" t="s">
        <v>2704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32"/>
      <c r="Q19" s="1812" t="str">
        <f t="shared" ref="Q19:Q33" si="8">B19</f>
        <v>区域土地利用方向</v>
      </c>
      <c r="R19" s="774" t="s">
        <v>17</v>
      </c>
      <c r="S19" s="775">
        <f>F19</f>
        <v>100</v>
      </c>
      <c r="T19" s="774" t="s">
        <v>17</v>
      </c>
      <c r="U19" s="775">
        <f>H19</f>
        <v>100</v>
      </c>
      <c r="V19" s="774" t="s">
        <v>17</v>
      </c>
      <c r="W19" s="775">
        <f>J19</f>
        <v>100</v>
      </c>
      <c r="X19" s="1815"/>
      <c r="Y19" s="3532"/>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1"/>
      <c r="L20" s="1142"/>
      <c r="M20" s="1133"/>
      <c r="N20" s="1133"/>
      <c r="O20" s="1141"/>
      <c r="P20" s="3532"/>
      <c r="Q20" s="1812"/>
      <c r="R20" s="774"/>
      <c r="S20" s="775"/>
      <c r="T20" s="774"/>
      <c r="U20" s="775"/>
      <c r="V20" s="774"/>
      <c r="W20" s="775"/>
      <c r="X20" s="1815"/>
      <c r="Y20" s="3532"/>
      <c r="Z20" s="1816"/>
      <c r="AA20" s="1813"/>
      <c r="AB20" s="1813"/>
      <c r="AC20" s="1813"/>
    </row>
    <row r="21" spans="1:29" ht="71.25">
      <c r="A21" s="404"/>
      <c r="B21" s="631" t="s">
        <v>2755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32"/>
      <c r="Q21" s="1812" t="str">
        <f t="shared" si="8"/>
        <v>环境状况</v>
      </c>
      <c r="R21" s="774" t="s">
        <v>17</v>
      </c>
      <c r="S21" s="775">
        <f>F21</f>
        <v>100</v>
      </c>
      <c r="T21" s="774" t="s">
        <v>17</v>
      </c>
      <c r="U21" s="775">
        <f>H21</f>
        <v>100</v>
      </c>
      <c r="V21" s="774" t="s">
        <v>17</v>
      </c>
      <c r="W21" s="775">
        <f>J21</f>
        <v>100</v>
      </c>
      <c r="X21" s="1815"/>
      <c r="Y21" s="3532"/>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2"/>
      <c r="M22" s="1133"/>
      <c r="N22" s="1133"/>
      <c r="O22" s="1141"/>
      <c r="P22" s="3532"/>
      <c r="Q22" s="1812"/>
      <c r="R22" s="774"/>
      <c r="S22" s="775"/>
      <c r="T22" s="774"/>
      <c r="U22" s="775"/>
      <c r="V22" s="774"/>
      <c r="W22" s="775"/>
      <c r="X22" s="1815"/>
      <c r="Y22" s="3532"/>
      <c r="Z22" s="1816"/>
      <c r="AA22" s="1813">
        <v>1</v>
      </c>
      <c r="AB22" s="1813">
        <v>1</v>
      </c>
      <c r="AC22" s="1813">
        <v>1</v>
      </c>
    </row>
    <row r="23" spans="1:29" s="117" customFormat="1" ht="42.75">
      <c r="A23" s="649"/>
      <c r="B23" s="633" t="s">
        <v>2610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32"/>
      <c r="Q23" s="1797" t="str">
        <f t="shared" si="8"/>
        <v>公共配套设施</v>
      </c>
      <c r="R23" s="770" t="s">
        <v>17</v>
      </c>
      <c r="S23" s="771">
        <f>F23</f>
        <v>100</v>
      </c>
      <c r="T23" s="770" t="s">
        <v>17</v>
      </c>
      <c r="U23" s="771">
        <f>H23</f>
        <v>100</v>
      </c>
      <c r="V23" s="770" t="s">
        <v>17</v>
      </c>
      <c r="W23" s="771">
        <f>J23</f>
        <v>100</v>
      </c>
      <c r="X23" s="772"/>
      <c r="Y23" s="3532"/>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4"/>
      <c r="M24" s="1135"/>
      <c r="N24" s="1135"/>
      <c r="O24" s="1136"/>
      <c r="P24" s="3532"/>
      <c r="Q24" s="1797"/>
      <c r="R24" s="770"/>
      <c r="S24" s="771"/>
      <c r="T24" s="770"/>
      <c r="U24" s="771"/>
      <c r="V24" s="770"/>
      <c r="W24" s="771"/>
      <c r="X24" s="772"/>
      <c r="Y24" s="3532"/>
      <c r="Z24" s="55"/>
      <c r="AA24" s="773">
        <v>1</v>
      </c>
      <c r="AB24" s="773">
        <v>1</v>
      </c>
      <c r="AC24" s="773">
        <v>1</v>
      </c>
    </row>
    <row r="25" spans="1:29" s="117" customFormat="1" ht="28.5">
      <c r="A25" s="649"/>
      <c r="B25" s="633" t="s">
        <v>2611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32"/>
      <c r="Q25" s="1797" t="str">
        <f t="shared" ref="Q25" si="9">B25</f>
        <v>基础设施水平</v>
      </c>
      <c r="R25" s="770" t="s">
        <v>17</v>
      </c>
      <c r="S25" s="771">
        <f>F25</f>
        <v>100</v>
      </c>
      <c r="T25" s="770" t="s">
        <v>17</v>
      </c>
      <c r="U25" s="771">
        <f>H25</f>
        <v>100</v>
      </c>
      <c r="V25" s="770" t="s">
        <v>17</v>
      </c>
      <c r="W25" s="771">
        <f>J25</f>
        <v>100</v>
      </c>
      <c r="X25" s="772"/>
      <c r="Y25" s="3532"/>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4"/>
      <c r="M26" s="1135"/>
      <c r="N26" s="1135"/>
      <c r="O26" s="1136"/>
      <c r="P26" s="3532"/>
      <c r="Q26" s="1797"/>
      <c r="R26" s="770"/>
      <c r="S26" s="771"/>
      <c r="T26" s="770"/>
      <c r="U26" s="771"/>
      <c r="V26" s="770"/>
      <c r="W26" s="771"/>
      <c r="X26" s="772"/>
      <c r="Y26" s="3532"/>
      <c r="Z26" s="55"/>
      <c r="AA26" s="773">
        <v>1</v>
      </c>
      <c r="AB26" s="773">
        <v>1</v>
      </c>
      <c r="AC26" s="773">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3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532"/>
      <c r="Z27" s="1816" t="str">
        <f t="shared" ref="Z27:Z40" si="13">Q27</f>
        <v>临街状况</v>
      </c>
      <c r="AA27" s="1813">
        <f t="shared" si="3"/>
        <v>1</v>
      </c>
      <c r="AB27" s="1813">
        <f t="shared" si="4"/>
        <v>1</v>
      </c>
      <c r="AC27" s="1813">
        <f t="shared" si="5"/>
        <v>1</v>
      </c>
    </row>
    <row r="28" spans="1:29" ht="27">
      <c r="A28" s="428"/>
      <c r="B28" s="633" t="s">
        <v>2647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32"/>
      <c r="Q28" s="1812" t="str">
        <f t="shared" si="8"/>
        <v>毗邻道路的类型与等级</v>
      </c>
      <c r="R28" s="774" t="s">
        <v>17</v>
      </c>
      <c r="S28" s="775">
        <f t="shared" si="10"/>
        <v>100</v>
      </c>
      <c r="T28" s="774" t="s">
        <v>17</v>
      </c>
      <c r="U28" s="775">
        <f t="shared" si="11"/>
        <v>100</v>
      </c>
      <c r="V28" s="774" t="s">
        <v>17</v>
      </c>
      <c r="W28" s="775">
        <f t="shared" si="12"/>
        <v>100</v>
      </c>
      <c r="X28" s="1815"/>
      <c r="Y28" s="3532"/>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2"/>
      <c r="M29" s="1133"/>
      <c r="N29" s="1133"/>
      <c r="O29" s="1141"/>
      <c r="P29" s="3532"/>
      <c r="Q29" s="1812"/>
      <c r="R29" s="774"/>
      <c r="S29" s="775"/>
      <c r="T29" s="774"/>
      <c r="U29" s="775"/>
      <c r="V29" s="774"/>
      <c r="W29" s="775"/>
      <c r="X29" s="1815"/>
      <c r="Y29" s="3532"/>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32"/>
      <c r="Q30" s="1812" t="str">
        <f t="shared" si="8"/>
        <v>土地级别</v>
      </c>
      <c r="R30" s="774" t="s">
        <v>17</v>
      </c>
      <c r="S30" s="775">
        <f t="shared" si="10"/>
        <v>100</v>
      </c>
      <c r="T30" s="774" t="s">
        <v>17</v>
      </c>
      <c r="U30" s="775">
        <f t="shared" si="11"/>
        <v>100</v>
      </c>
      <c r="V30" s="774" t="s">
        <v>17</v>
      </c>
      <c r="W30" s="775">
        <f t="shared" si="12"/>
        <v>100</v>
      </c>
      <c r="X30" s="1815"/>
      <c r="Y30" s="3532"/>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32"/>
      <c r="Q31" s="1812">
        <f t="shared" si="8"/>
        <v>111</v>
      </c>
      <c r="R31" s="774" t="s">
        <v>17</v>
      </c>
      <c r="S31" s="775">
        <f t="shared" si="10"/>
        <v>100</v>
      </c>
      <c r="T31" s="774" t="s">
        <v>17</v>
      </c>
      <c r="U31" s="775">
        <f t="shared" si="11"/>
        <v>100</v>
      </c>
      <c r="V31" s="774" t="s">
        <v>17</v>
      </c>
      <c r="W31" s="775">
        <f t="shared" si="12"/>
        <v>100</v>
      </c>
      <c r="X31" s="1815"/>
      <c r="Y31" s="3532"/>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33" t="s">
        <v>2521</v>
      </c>
      <c r="Q32" s="1812">
        <f t="shared" si="8"/>
        <v>111</v>
      </c>
      <c r="R32" s="774" t="s">
        <v>17</v>
      </c>
      <c r="S32" s="775">
        <f t="shared" si="10"/>
        <v>100</v>
      </c>
      <c r="T32" s="774" t="s">
        <v>17</v>
      </c>
      <c r="U32" s="775">
        <f t="shared" si="11"/>
        <v>100</v>
      </c>
      <c r="V32" s="774" t="s">
        <v>17</v>
      </c>
      <c r="W32" s="775">
        <f t="shared" si="12"/>
        <v>100</v>
      </c>
      <c r="X32" s="1815"/>
      <c r="Y32" s="3534" t="s">
        <v>2521</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34"/>
      <c r="Q33" s="1812">
        <f t="shared" si="8"/>
        <v>111</v>
      </c>
      <c r="R33" s="777" t="s">
        <v>17</v>
      </c>
      <c r="S33" s="778">
        <f t="shared" si="10"/>
        <v>100</v>
      </c>
      <c r="T33" s="777" t="s">
        <v>17</v>
      </c>
      <c r="U33" s="778">
        <f t="shared" si="11"/>
        <v>100</v>
      </c>
      <c r="V33" s="777" t="s">
        <v>17</v>
      </c>
      <c r="W33" s="778">
        <f t="shared" si="12"/>
        <v>100</v>
      </c>
      <c r="X33" s="779"/>
      <c r="Y33" s="3534"/>
      <c r="Z33" s="780">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34"/>
      <c r="Q34" s="1812" t="str">
        <f>B34</f>
        <v>宗地面积</v>
      </c>
      <c r="R34" s="774" t="s">
        <v>17</v>
      </c>
      <c r="S34" s="775" t="e">
        <f t="shared" si="10"/>
        <v>#N/A</v>
      </c>
      <c r="T34" s="774" t="s">
        <v>17</v>
      </c>
      <c r="U34" s="775" t="e">
        <f t="shared" si="11"/>
        <v>#N/A</v>
      </c>
      <c r="V34" s="774" t="s">
        <v>17</v>
      </c>
      <c r="W34" s="775" t="e">
        <f t="shared" si="12"/>
        <v>#N/A</v>
      </c>
      <c r="X34" s="1815"/>
      <c r="Y34" s="3534"/>
      <c r="Z34" s="1816" t="str">
        <f t="shared" si="13"/>
        <v>宗地面积</v>
      </c>
      <c r="AA34" s="1813" t="e">
        <f t="shared" si="3"/>
        <v>#N/A</v>
      </c>
      <c r="AB34" s="1813" t="e">
        <f t="shared" si="4"/>
        <v>#N/A</v>
      </c>
      <c r="AC34" s="1813" t="e">
        <f t="shared" si="5"/>
        <v>#N/A</v>
      </c>
    </row>
    <row r="35" spans="1:29" ht="15">
      <c r="A35" s="472"/>
      <c r="B35" s="422" t="s">
        <v>2708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34"/>
      <c r="Q35" s="1812" t="str">
        <f t="shared" ref="Q35:Q40" si="14">B35</f>
        <v>宗地形状</v>
      </c>
      <c r="R35" s="774" t="s">
        <v>17</v>
      </c>
      <c r="S35" s="775">
        <f t="shared" si="10"/>
        <v>100</v>
      </c>
      <c r="T35" s="774" t="s">
        <v>17</v>
      </c>
      <c r="U35" s="775">
        <f t="shared" si="11"/>
        <v>100</v>
      </c>
      <c r="V35" s="774" t="s">
        <v>17</v>
      </c>
      <c r="W35" s="775">
        <f t="shared" si="12"/>
        <v>100</v>
      </c>
      <c r="X35" s="1815"/>
      <c r="Y35" s="3534"/>
      <c r="Z35" s="1816" t="str">
        <f t="shared" si="13"/>
        <v>宗地形状</v>
      </c>
      <c r="AA35" s="1813">
        <f t="shared" si="3"/>
        <v>1</v>
      </c>
      <c r="AB35" s="1813">
        <f t="shared" si="4"/>
        <v>1</v>
      </c>
      <c r="AC35" s="1813">
        <f t="shared" si="5"/>
        <v>1</v>
      </c>
    </row>
    <row r="36" spans="1:29" s="117" customFormat="1" ht="15">
      <c r="A36" s="473"/>
      <c r="B36" s="422" t="s">
        <v>2710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34"/>
      <c r="Q36" s="1812" t="str">
        <f t="shared" si="14"/>
        <v>宗地开发程度</v>
      </c>
      <c r="R36" s="770" t="s">
        <v>17</v>
      </c>
      <c r="S36" s="771">
        <f t="shared" si="10"/>
        <v>100</v>
      </c>
      <c r="T36" s="770" t="s">
        <v>17</v>
      </c>
      <c r="U36" s="771">
        <f t="shared" si="11"/>
        <v>100</v>
      </c>
      <c r="V36" s="770" t="s">
        <v>17</v>
      </c>
      <c r="W36" s="771">
        <f t="shared" si="12"/>
        <v>100</v>
      </c>
      <c r="X36" s="772"/>
      <c r="Y36" s="3534"/>
      <c r="Z36" s="55" t="str">
        <f t="shared" si="13"/>
        <v>宗地开发程度</v>
      </c>
      <c r="AA36" s="773">
        <f t="shared" si="3"/>
        <v>1</v>
      </c>
      <c r="AB36" s="773">
        <f t="shared" si="4"/>
        <v>1</v>
      </c>
      <c r="AC36" s="773">
        <f t="shared" si="5"/>
        <v>1</v>
      </c>
    </row>
    <row r="37" spans="1:29" ht="15">
      <c r="A37" s="472"/>
      <c r="B37" s="422" t="s">
        <v>2711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34" t="s">
        <v>2521</v>
      </c>
      <c r="Q37" s="1812" t="str">
        <f t="shared" si="14"/>
        <v>工程地质条件</v>
      </c>
      <c r="R37" s="774" t="s">
        <v>17</v>
      </c>
      <c r="S37" s="775">
        <f t="shared" si="10"/>
        <v>100</v>
      </c>
      <c r="T37" s="774" t="s">
        <v>17</v>
      </c>
      <c r="U37" s="775">
        <f t="shared" si="11"/>
        <v>100</v>
      </c>
      <c r="V37" s="774" t="s">
        <v>17</v>
      </c>
      <c r="W37" s="775">
        <f t="shared" si="12"/>
        <v>100</v>
      </c>
      <c r="X37" s="1815"/>
      <c r="Y37" s="3534"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34"/>
      <c r="Q38" s="1812">
        <f t="shared" si="14"/>
        <v>111</v>
      </c>
      <c r="R38" s="774" t="s">
        <v>17</v>
      </c>
      <c r="S38" s="775">
        <f t="shared" si="10"/>
        <v>100</v>
      </c>
      <c r="T38" s="774" t="s">
        <v>17</v>
      </c>
      <c r="U38" s="775">
        <f t="shared" si="11"/>
        <v>100</v>
      </c>
      <c r="V38" s="774" t="s">
        <v>17</v>
      </c>
      <c r="W38" s="775">
        <f t="shared" si="12"/>
        <v>100</v>
      </c>
      <c r="X38" s="1815"/>
      <c r="Y38" s="3534"/>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34"/>
      <c r="Q39" s="1812">
        <f t="shared" si="14"/>
        <v>111</v>
      </c>
      <c r="R39" s="774" t="s">
        <v>17</v>
      </c>
      <c r="S39" s="775">
        <f t="shared" si="10"/>
        <v>100</v>
      </c>
      <c r="T39" s="774" t="s">
        <v>17</v>
      </c>
      <c r="U39" s="775">
        <f t="shared" si="11"/>
        <v>100</v>
      </c>
      <c r="V39" s="774" t="s">
        <v>17</v>
      </c>
      <c r="W39" s="775">
        <f t="shared" si="12"/>
        <v>100</v>
      </c>
      <c r="X39" s="1815"/>
      <c r="Y39" s="3534"/>
      <c r="Z39" s="1816">
        <f t="shared" si="13"/>
        <v>111</v>
      </c>
      <c r="AA39" s="1813">
        <f t="shared" si="3"/>
        <v>1</v>
      </c>
      <c r="AB39" s="1813">
        <f t="shared" si="4"/>
        <v>1</v>
      </c>
      <c r="AC39" s="1813">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34"/>
      <c r="Q40" s="1812">
        <f t="shared" si="14"/>
        <v>111</v>
      </c>
      <c r="R40" s="777" t="s">
        <v>17</v>
      </c>
      <c r="S40" s="778">
        <f t="shared" si="10"/>
        <v>100</v>
      </c>
      <c r="T40" s="777" t="s">
        <v>17</v>
      </c>
      <c r="U40" s="778">
        <f t="shared" si="11"/>
        <v>100</v>
      </c>
      <c r="V40" s="777" t="s">
        <v>17</v>
      </c>
      <c r="W40" s="778">
        <f t="shared" si="12"/>
        <v>100</v>
      </c>
      <c r="X40" s="779"/>
      <c r="Y40" s="3534"/>
      <c r="Z40" s="780">
        <f t="shared" si="13"/>
        <v>111</v>
      </c>
      <c r="AA40" s="1813">
        <f t="shared" si="3"/>
        <v>1</v>
      </c>
      <c r="AB40" s="1813">
        <f t="shared" si="4"/>
        <v>1</v>
      </c>
      <c r="AC40" s="1813">
        <f t="shared" si="5"/>
        <v>1</v>
      </c>
    </row>
    <row r="41" spans="1:29" ht="15">
      <c r="A41" s="479" t="s">
        <v>2676</v>
      </c>
      <c r="B41" s="2701" t="s">
        <v>2756</v>
      </c>
      <c r="C41" s="682" t="s">
        <v>1</v>
      </c>
      <c r="D41" s="481"/>
      <c r="E41" s="482"/>
      <c r="F41" s="483"/>
      <c r="G41" s="484"/>
      <c r="H41" s="485"/>
      <c r="I41" s="482"/>
      <c r="J41" s="485"/>
      <c r="K41" s="783"/>
      <c r="L41" s="1145"/>
      <c r="M41" s="1133"/>
      <c r="N41" s="1133"/>
      <c r="O41" s="1146"/>
      <c r="P41" s="3516" t="str">
        <f>A41</f>
        <v>成交单价</v>
      </c>
      <c r="Q41" s="3516"/>
      <c r="R41" s="3529">
        <f>E41</f>
        <v>0</v>
      </c>
      <c r="S41" s="3529"/>
      <c r="T41" s="3529">
        <f>G41</f>
        <v>0</v>
      </c>
      <c r="U41" s="3529"/>
      <c r="V41" s="3529">
        <f>I41</f>
        <v>0</v>
      </c>
      <c r="W41" s="3529"/>
      <c r="X41" s="759"/>
      <c r="Y41" s="781"/>
      <c r="Z41" s="759"/>
      <c r="AA41" s="759"/>
      <c r="AB41" s="759"/>
      <c r="AC41" s="759"/>
    </row>
    <row r="42" spans="1:29" ht="15.75" thickBot="1">
      <c r="A42" s="486" t="s">
        <v>2625</v>
      </c>
      <c r="B42" s="683"/>
      <c r="C42" s="490" t="e">
        <f>R43</f>
        <v>#DIV/0!</v>
      </c>
      <c r="D42" s="489"/>
      <c r="E42" s="490" t="e">
        <f>R42</f>
        <v>#DIV/0!</v>
      </c>
      <c r="F42" s="491"/>
      <c r="G42" s="488" t="e">
        <f>T42</f>
        <v>#DIV/0!</v>
      </c>
      <c r="H42" s="489"/>
      <c r="I42" s="490" t="e">
        <f>V42</f>
        <v>#DIV/0!</v>
      </c>
      <c r="J42" s="489"/>
      <c r="K42" s="784"/>
      <c r="L42" s="1145"/>
      <c r="M42" s="1133"/>
      <c r="N42" s="1133"/>
      <c r="O42" s="1146"/>
      <c r="P42" s="3516" t="str">
        <f>A42</f>
        <v>比较价值（元/平方米）</v>
      </c>
      <c r="Q42" s="3516"/>
      <c r="R42" s="3535" t="e">
        <f>ROUND(PRODUCT(R41,AA7:AA40),0)</f>
        <v>#DIV/0!</v>
      </c>
      <c r="S42" s="3535"/>
      <c r="T42" s="3535" t="e">
        <f>ROUND(PRODUCT(T41,AB7:AB40),0)</f>
        <v>#DIV/0!</v>
      </c>
      <c r="U42" s="3535"/>
      <c r="V42" s="3535" t="e">
        <f>ROUND(PRODUCT(V41,AC7:AC40),0)</f>
        <v>#DIV/0!</v>
      </c>
      <c r="W42" s="3535"/>
      <c r="X42" s="759"/>
      <c r="Y42" s="759"/>
      <c r="Z42" s="759"/>
      <c r="AA42" s="759"/>
      <c r="AB42" s="759"/>
      <c r="AC42" s="759"/>
    </row>
    <row r="43" spans="1:29" ht="15.75" thickBot="1">
      <c r="A43" s="492" t="s">
        <v>2626</v>
      </c>
      <c r="B43" s="493"/>
      <c r="C43" s="494" t="e">
        <f>R43</f>
        <v>#DIV/0!</v>
      </c>
      <c r="D43" s="494"/>
      <c r="E43" s="494"/>
      <c r="F43" s="494"/>
      <c r="G43" s="494"/>
      <c r="H43" s="494"/>
      <c r="I43" s="494"/>
      <c r="J43" s="494"/>
      <c r="K43" s="785"/>
      <c r="L43" s="1145"/>
      <c r="M43" s="1133"/>
      <c r="N43" s="1133"/>
      <c r="O43" s="1146"/>
      <c r="P43" s="3536" t="str">
        <f>A43</f>
        <v>估价对象XX用房的比较价值（楼面单价，元/平方米）</v>
      </c>
      <c r="Q43" s="3537"/>
      <c r="R43" s="3538" t="e">
        <f>ROUND(AVERAGE(R42:V42),0)</f>
        <v>#DIV/0!</v>
      </c>
      <c r="S43" s="3538"/>
      <c r="T43" s="3538"/>
      <c r="U43" s="3538"/>
      <c r="V43" s="3538"/>
      <c r="W43" s="3538"/>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2714</v>
      </c>
      <c r="B50" s="685" t="s">
        <v>2715</v>
      </c>
      <c r="C50" s="2702" t="s">
        <v>2716</v>
      </c>
      <c r="D50" s="2703" t="s">
        <v>2717</v>
      </c>
      <c r="E50" s="686" t="s">
        <v>2718</v>
      </c>
      <c r="F50" s="687" t="s">
        <v>2719</v>
      </c>
      <c r="G50" s="3517" t="s">
        <v>2720</v>
      </c>
      <c r="H50" s="3539"/>
      <c r="I50" s="1816" t="s">
        <v>2757</v>
      </c>
      <c r="J50" s="1816">
        <f>项目基本情况!F35</f>
        <v>0</v>
      </c>
      <c r="K50" s="2705" t="s">
        <v>2722</v>
      </c>
      <c r="L50" s="1108"/>
      <c r="M50" s="1146"/>
      <c r="N50" s="1146"/>
      <c r="O50" s="1146"/>
    </row>
    <row r="51" spans="1:17" s="692" customFormat="1">
      <c r="A51" s="688" t="s">
        <v>2723</v>
      </c>
      <c r="B51" s="689" t="e">
        <f>C43</f>
        <v>#DIV/0!</v>
      </c>
      <c r="C51" s="690">
        <v>1</v>
      </c>
      <c r="D51" s="1165">
        <v>1</v>
      </c>
      <c r="E51" s="690">
        <f>'数据-汇总表'!E8+'数据-汇总表'!E9</f>
        <v>38115.5</v>
      </c>
      <c r="F51" s="691" t="e">
        <f t="shared" ref="F51:F60" si="15">ROUND(B51*E51/10000,0)</f>
        <v>#DIV/0!</v>
      </c>
      <c r="G51" s="3540"/>
      <c r="H51" s="3516"/>
      <c r="I51" s="944">
        <v>1</v>
      </c>
      <c r="J51" s="944">
        <v>1</v>
      </c>
      <c r="K51" s="1147"/>
      <c r="L51" s="943"/>
      <c r="M51" s="943"/>
      <c r="N51" s="943"/>
      <c r="O51" s="943"/>
    </row>
    <row r="52" spans="1:17" s="692" customFormat="1">
      <c r="A52" s="693" t="s">
        <v>2724</v>
      </c>
      <c r="B52" s="262" t="e">
        <f>ROUND($C$43*C52*D52,0)</f>
        <v>#DIV/0!</v>
      </c>
      <c r="C52" s="200">
        <f t="shared" ref="C52:C60" si="16">IF($C$50="北京市系数",I52,J52)</f>
        <v>0.8</v>
      </c>
      <c r="D52" s="1166">
        <v>0.25</v>
      </c>
      <c r="E52" s="694"/>
      <c r="F52" s="691" t="e">
        <f t="shared" si="15"/>
        <v>#DIV/0!</v>
      </c>
      <c r="G52" s="3541" t="s">
        <v>2725</v>
      </c>
      <c r="H52" s="1106" t="str">
        <f>项目基本情况!B37</f>
        <v>二级</v>
      </c>
      <c r="I52" s="944">
        <f>SUMIF(修正!A45:A56,H52,修正!B45:B56)</f>
        <v>0.8</v>
      </c>
      <c r="J52" s="945"/>
      <c r="K52" s="1146"/>
      <c r="L52" s="943"/>
      <c r="M52" s="943"/>
      <c r="N52" s="943"/>
      <c r="O52" s="943"/>
    </row>
    <row r="53" spans="1:17" s="692" customFormat="1">
      <c r="A53" s="693" t="s">
        <v>2726</v>
      </c>
      <c r="B53" s="262" t="e">
        <f t="shared" ref="B53:B60" si="17">ROUND($C$43*C53*D53,0)</f>
        <v>#DIV/0!</v>
      </c>
      <c r="C53" s="200">
        <f t="shared" si="16"/>
        <v>0.5</v>
      </c>
      <c r="D53" s="1166">
        <v>0.25</v>
      </c>
      <c r="E53" s="694"/>
      <c r="F53" s="691" t="e">
        <f t="shared" si="15"/>
        <v>#DIV/0!</v>
      </c>
      <c r="G53" s="3541"/>
      <c r="H53" s="1106" t="str">
        <f>项目基本情况!B37</f>
        <v>二级</v>
      </c>
      <c r="I53" s="944">
        <f>SUMIF(修正!A45:A56,H53,修正!C45:C56)</f>
        <v>0.5</v>
      </c>
      <c r="J53" s="945"/>
      <c r="K53" s="1147"/>
      <c r="L53" s="943"/>
      <c r="M53" s="943"/>
      <c r="N53" s="943"/>
      <c r="O53" s="943"/>
    </row>
    <row r="54" spans="1:17" s="692" customFormat="1">
      <c r="A54" s="693" t="s">
        <v>2727</v>
      </c>
      <c r="B54" s="262" t="e">
        <f t="shared" si="17"/>
        <v>#DIV/0!</v>
      </c>
      <c r="C54" s="200">
        <f t="shared" si="16"/>
        <v>0.36</v>
      </c>
      <c r="D54" s="1166">
        <v>0.25</v>
      </c>
      <c r="E54" s="694"/>
      <c r="F54" s="691" t="e">
        <f t="shared" si="15"/>
        <v>#DIV/0!</v>
      </c>
      <c r="G54" s="3541"/>
      <c r="H54" s="1106" t="str">
        <f>项目基本情况!B37</f>
        <v>二级</v>
      </c>
      <c r="I54" s="944">
        <f>SUMIF(修正!A45:A56,H54,修正!D45:D56)</f>
        <v>0.36</v>
      </c>
      <c r="J54" s="945"/>
      <c r="K54" s="1146"/>
      <c r="L54" s="943"/>
      <c r="M54" s="943"/>
      <c r="N54" s="943"/>
      <c r="O54" s="943"/>
    </row>
    <row r="55" spans="1:17" s="692" customFormat="1">
      <c r="A55" s="693" t="s">
        <v>2728</v>
      </c>
      <c r="B55" s="262" t="e">
        <f t="shared" si="17"/>
        <v>#DIV/0!</v>
      </c>
      <c r="C55" s="200">
        <f t="shared" si="16"/>
        <v>0.3</v>
      </c>
      <c r="D55" s="1166">
        <v>0.25</v>
      </c>
      <c r="E55" s="694"/>
      <c r="F55" s="691" t="e">
        <f t="shared" si="15"/>
        <v>#DIV/0!</v>
      </c>
      <c r="G55" s="3541"/>
      <c r="H55" s="1106" t="str">
        <f>项目基本情况!B37</f>
        <v>二级</v>
      </c>
      <c r="I55" s="944">
        <f>SUMIF(修正!A45:A56,H55,修正!E45:E56)</f>
        <v>0.3</v>
      </c>
      <c r="J55" s="945"/>
      <c r="K55" s="1147"/>
      <c r="L55" s="943"/>
      <c r="M55" s="943"/>
      <c r="N55" s="943"/>
      <c r="O55" s="943"/>
    </row>
    <row r="56" spans="1:17" s="692" customFormat="1">
      <c r="A56" s="693" t="s">
        <v>2729</v>
      </c>
      <c r="B56" s="262" t="e">
        <f t="shared" si="17"/>
        <v>#DIV/0!</v>
      </c>
      <c r="C56" s="200">
        <f t="shared" si="16"/>
        <v>0.3</v>
      </c>
      <c r="D56" s="1166">
        <v>0.25</v>
      </c>
      <c r="E56" s="261">
        <f>'数据-汇总表'!E11</f>
        <v>0</v>
      </c>
      <c r="F56" s="691" t="e">
        <f t="shared" si="15"/>
        <v>#DIV/0!</v>
      </c>
      <c r="G56" s="2706" t="s">
        <v>2730</v>
      </c>
      <c r="H56" s="1106" t="str">
        <f>项目基本情况!C37</f>
        <v>二级</v>
      </c>
      <c r="I56" s="944">
        <f>SUMIF(修正!A45:A56,H56,修正!F45:F56)</f>
        <v>0.3</v>
      </c>
      <c r="J56" s="945"/>
      <c r="K56" s="1146"/>
      <c r="L56" s="943"/>
      <c r="M56" s="943"/>
      <c r="N56" s="943"/>
      <c r="O56" s="943"/>
    </row>
    <row r="57" spans="1:17" s="692" customFormat="1">
      <c r="A57" s="693" t="s">
        <v>2731</v>
      </c>
      <c r="B57" s="262" t="e">
        <f t="shared" si="17"/>
        <v>#DIV/0!</v>
      </c>
      <c r="C57" s="200">
        <f t="shared" si="16"/>
        <v>0.3</v>
      </c>
      <c r="D57" s="1166">
        <v>0.25</v>
      </c>
      <c r="E57" s="261">
        <f>'数据-汇总表'!E12</f>
        <v>0</v>
      </c>
      <c r="F57" s="691" t="e">
        <f t="shared" si="15"/>
        <v>#DIV/0!</v>
      </c>
      <c r="G57" s="1111" t="s">
        <v>2732</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0.25</v>
      </c>
      <c r="D59" s="1166">
        <v>0.25</v>
      </c>
      <c r="E59" s="261">
        <f>'数据-汇总表'!E14</f>
        <v>0</v>
      </c>
      <c r="F59" s="691" t="e">
        <f t="shared" si="15"/>
        <v>#DIV/0!</v>
      </c>
      <c r="G59" s="2706" t="s">
        <v>2725</v>
      </c>
      <c r="H59" s="1106" t="str">
        <f>项目基本情况!B37</f>
        <v>二级</v>
      </c>
      <c r="I59" s="944">
        <f>SUMIF(修正!A45:A56,H59,修正!H45:H56)</f>
        <v>0.25</v>
      </c>
      <c r="J59" s="945"/>
      <c r="K59" s="1147"/>
      <c r="L59" s="943"/>
      <c r="M59" s="943"/>
      <c r="N59" s="943"/>
      <c r="O59" s="943"/>
    </row>
    <row r="60" spans="1:17" s="692" customFormat="1" ht="15" thickBot="1">
      <c r="A60" s="693" t="s">
        <v>2736</v>
      </c>
      <c r="B60" s="262" t="e">
        <f t="shared" si="17"/>
        <v>#DIV/0!</v>
      </c>
      <c r="C60" s="200">
        <f t="shared" si="16"/>
        <v>0.25</v>
      </c>
      <c r="D60" s="1166">
        <v>0.25</v>
      </c>
      <c r="E60" s="261">
        <f>'数据-汇总表'!E15</f>
        <v>5184.72</v>
      </c>
      <c r="F60" s="691" t="e">
        <f t="shared" si="15"/>
        <v>#DIV/0!</v>
      </c>
      <c r="G60" s="2707" t="s">
        <v>2730</v>
      </c>
      <c r="H60" s="1116" t="str">
        <f>项目基本情况!C37</f>
        <v>二级</v>
      </c>
      <c r="I60" s="944">
        <f>SUMIF(修正!A45:A56,H60,修正!H45:H56)</f>
        <v>0.25</v>
      </c>
      <c r="J60" s="945"/>
      <c r="K60" s="1146"/>
      <c r="L60" s="943"/>
      <c r="M60" s="943"/>
      <c r="N60" s="943"/>
      <c r="O60" s="943"/>
    </row>
    <row r="61" spans="1:17" s="692" customFormat="1" ht="15" thickBot="1">
      <c r="A61" s="695" t="s">
        <v>2737</v>
      </c>
      <c r="B61" s="696" t="s">
        <v>27</v>
      </c>
      <c r="C61" s="696" t="s">
        <v>28</v>
      </c>
      <c r="D61" s="696" t="s">
        <v>1027</v>
      </c>
      <c r="E61" s="696">
        <f>IF(B41="楼面地价",SUM(E51:E60),'数据-汇总表'!D3)</f>
        <v>7449.74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2630</v>
      </c>
      <c r="B64" s="759"/>
      <c r="C64" s="764"/>
      <c r="D64" s="764"/>
      <c r="E64" s="764"/>
      <c r="F64" s="765"/>
      <c r="G64" s="765"/>
      <c r="H64" s="764"/>
      <c r="I64" s="764"/>
      <c r="J64" s="764"/>
      <c r="K64" s="766"/>
      <c r="L64" s="767"/>
      <c r="M64" s="764"/>
      <c r="N64" s="764"/>
      <c r="O64" s="1161"/>
      <c r="P64" s="503"/>
      <c r="Q64" s="504"/>
    </row>
    <row r="65" spans="1:17" s="508" customFormat="1" ht="15">
      <c r="A65" s="2708"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3" t="s">
        <v>2758</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33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8">
      <c r="A3" s="3318" t="str">
        <f>IF(项目基本情况!B9="房地产市场价值","估价结果一览表（市场价值不需“结果表-1”）","估价结果一览表")</f>
        <v>估价结果一览表</v>
      </c>
      <c r="B3" s="3318"/>
      <c r="C3" s="3318"/>
      <c r="D3" s="3318"/>
      <c r="E3" s="3318"/>
    </row>
    <row r="4" spans="1:5" ht="19.5" thickBot="1">
      <c r="A4" s="1963"/>
      <c r="B4" s="3316" t="s">
        <v>1627</v>
      </c>
      <c r="C4" s="3316"/>
      <c r="D4" s="3316"/>
      <c r="E4" s="1963"/>
    </row>
    <row r="5" spans="1:5" ht="16.5" thickTop="1">
      <c r="A5" s="1961"/>
      <c r="B5" s="3314" t="s">
        <v>1619</v>
      </c>
      <c r="C5" s="1964" t="s">
        <v>1620</v>
      </c>
      <c r="D5" s="1042">
        <f ca="1">结果表!H101</f>
        <v>330818</v>
      </c>
      <c r="E5" s="1961"/>
    </row>
    <row r="6" spans="1:5" ht="15.75">
      <c r="A6" s="1961"/>
      <c r="B6" s="3314"/>
      <c r="C6" s="1964" t="s">
        <v>1621</v>
      </c>
      <c r="D6" s="1042" t="str">
        <f ca="1">NUMBERSTRING(INT(D5*10000),2)&amp;"元整"</f>
        <v>叁拾叁亿零捌佰壹拾捌万元整</v>
      </c>
      <c r="E6" s="1961"/>
    </row>
    <row r="7" spans="1:5" ht="15.75">
      <c r="A7" s="1961"/>
      <c r="B7" s="3319"/>
      <c r="C7" s="1965" t="s">
        <v>1622</v>
      </c>
      <c r="D7" s="1043">
        <f ca="1">结果表!H102</f>
        <v>68207</v>
      </c>
      <c r="E7" s="1961"/>
    </row>
    <row r="8" spans="1:5" ht="15.75">
      <c r="A8" s="1961"/>
      <c r="B8" s="3320" t="str">
        <f>结果表!E103</f>
        <v>2.估价师知悉的法定优先受偿款</v>
      </c>
      <c r="C8" s="1966" t="s">
        <v>1623</v>
      </c>
      <c r="D8" s="1043">
        <f>结果表!H103</f>
        <v>0</v>
      </c>
      <c r="E8" s="1961"/>
    </row>
    <row r="9" spans="1:5" ht="15.75">
      <c r="A9" s="1961"/>
      <c r="B9" s="3322"/>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3313" t="str">
        <f>结果表!E107</f>
        <v>3.房地产抵押价值</v>
      </c>
      <c r="C13" s="1969" t="s">
        <v>1620</v>
      </c>
      <c r="D13" s="1045">
        <f ca="1">结果表!H107</f>
        <v>330818</v>
      </c>
      <c r="E13" s="1961"/>
    </row>
    <row r="14" spans="1:5" ht="15.75">
      <c r="A14" s="1961"/>
      <c r="B14" s="3314"/>
      <c r="C14" s="1964" t="s">
        <v>1621</v>
      </c>
      <c r="D14" s="1042" t="str">
        <f ca="1">NUMBERSTRING(INT(D13*10000),2)&amp;"元整"</f>
        <v>叁拾叁亿零捌佰壹拾捌万元整</v>
      </c>
      <c r="E14" s="1961"/>
    </row>
    <row r="15" spans="1:5" ht="15">
      <c r="A15" s="1961"/>
      <c r="B15" s="3319"/>
      <c r="C15" s="1965" t="s">
        <v>1631</v>
      </c>
      <c r="D15" s="1054">
        <f ca="1">结果表!H108</f>
        <v>68207</v>
      </c>
      <c r="E15" s="1961"/>
    </row>
    <row r="16" spans="1:5" ht="15">
      <c r="A16" s="1961"/>
      <c r="B16" s="3320" t="str">
        <f>结果表!E109</f>
        <v>——</v>
      </c>
      <c r="C16" s="1969" t="s">
        <v>1632</v>
      </c>
      <c r="D16" s="1970" t="str">
        <f>结果表!H109</f>
        <v>——</v>
      </c>
      <c r="E16" s="1961"/>
    </row>
    <row r="17" spans="1:5" ht="15.75">
      <c r="A17" s="1961"/>
      <c r="B17" s="3321"/>
      <c r="C17" s="1964" t="s">
        <v>1633</v>
      </c>
      <c r="D17" s="1042" t="e">
        <f>NUMBERSTRING(INT(D16*10000),2)&amp;"元整"</f>
        <v>#VALUE!</v>
      </c>
      <c r="E17" s="1961"/>
    </row>
    <row r="18" spans="1:5" ht="15">
      <c r="A18" s="1961"/>
      <c r="B18" s="3322"/>
      <c r="C18" s="1965" t="s">
        <v>1622</v>
      </c>
      <c r="D18" s="1054" t="str">
        <f>结果表!H110</f>
        <v>——</v>
      </c>
      <c r="E18" s="1961"/>
    </row>
    <row r="19" spans="1:5" ht="15.75">
      <c r="A19" s="1961"/>
      <c r="B19" s="3313" t="str">
        <f>结果表!E111</f>
        <v>——</v>
      </c>
      <c r="C19" s="1969" t="s">
        <v>1620</v>
      </c>
      <c r="D19" s="1043" t="str">
        <f>结果表!H111</f>
        <v>——</v>
      </c>
      <c r="E19" s="1961"/>
    </row>
    <row r="20" spans="1:5" ht="15.75">
      <c r="A20" s="1961"/>
      <c r="B20" s="3314"/>
      <c r="C20" s="1964" t="s">
        <v>1633</v>
      </c>
      <c r="D20" s="1042" t="e">
        <f>NUMBERSTRING(INT(D19*10000),2)&amp;"元整"</f>
        <v>#VALUE!</v>
      </c>
      <c r="E20" s="1961"/>
    </row>
    <row r="21" spans="1:5" ht="15.75" thickBot="1">
      <c r="A21" s="1961"/>
      <c r="B21" s="3315"/>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4" sqref="G64"/>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43486.11</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102302</v>
      </c>
      <c r="C2" s="2718" t="s">
        <v>2769</v>
      </c>
      <c r="D2" s="2719" t="s">
        <v>2770</v>
      </c>
      <c r="E2" s="2720" t="s">
        <v>26</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Ⅱ—17</v>
      </c>
      <c r="J2" s="2722"/>
      <c r="K2" s="1372"/>
      <c r="L2" s="2723" t="s">
        <v>2773</v>
      </c>
      <c r="M2" s="1083">
        <f>SUMPRODUCT((区片价!B10:B28=I2)*(区片价!C3:F3=E2)*(区片价!C10:F28))</f>
        <v>23900</v>
      </c>
      <c r="N2" s="1085">
        <f>SUMPRODUCT((因素修正幅度!B10:B28=I2)*(因素修正幅度!C3:F3=E2)*(因素修正幅度!C10:F28))</f>
        <v>9.6000000000000002E-2</v>
      </c>
      <c r="O2" s="1372"/>
      <c r="P2" s="1372"/>
      <c r="Q2" s="1372"/>
      <c r="R2" s="1604">
        <v>1</v>
      </c>
      <c r="S2" s="1604">
        <f>ROUND(IF(G3&gt;1,IF(R2&lt;7,SUMPRODUCT((B93:B98=R2)*(C92:N92=G2)*(C93:N98)),SUMIF(C92:N92,G2,C100:N100)),IF(R2&lt;7,SUMPRODUCT((B102:B107=R2)*(C92:N92=G2)*(C102:N107)),SUMIF(C92:N92,G2,C109:N109))),4)</f>
        <v>1.9361999999999999</v>
      </c>
      <c r="T2" s="1604">
        <f ca="1">ROUND($C$5*$C$18*$C$19*$C$20*S2*$C$24,0)</f>
        <v>59696</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23525</v>
      </c>
      <c r="C3" s="2718" t="s">
        <v>2775</v>
      </c>
      <c r="D3" s="2719" t="s">
        <v>2776</v>
      </c>
      <c r="E3" s="2724" t="s">
        <v>3080</v>
      </c>
      <c r="F3" s="2725" t="s">
        <v>2777</v>
      </c>
      <c r="G3" s="915">
        <f>IF(F3="宗地容积率",'数据-汇总表'!I4,IF(F3="估价对象容积率",'数据-汇总表'!I6,'数据-汇总表'!I7))</f>
        <v>4.6900000000000004</v>
      </c>
      <c r="H3" s="198" t="s">
        <v>2778</v>
      </c>
      <c r="I3" s="946"/>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43775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55"/>
      <c r="B4" s="3656"/>
      <c r="C4" s="3656"/>
      <c r="D4" s="3657"/>
      <c r="E4" s="3657"/>
      <c r="F4" s="3657"/>
      <c r="G4" s="3657"/>
      <c r="H4" s="3657"/>
      <c r="I4" s="3657"/>
      <c r="J4" s="3658"/>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35746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23869</v>
      </c>
      <c r="D5" s="1789">
        <f>ROUND(IF(E2="商业",IF(F16="增加",C6+C16,C6-C16)),0)</f>
        <v>0</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29666</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23900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25951</v>
      </c>
      <c r="U6" s="1605"/>
      <c r="V6" s="1604">
        <f t="shared" ca="1" si="1"/>
        <v>0</v>
      </c>
      <c r="W6" s="1608"/>
      <c r="X6" s="1608"/>
      <c r="Y6" s="1608"/>
      <c r="Z6" s="1608"/>
      <c r="AA6" s="1608"/>
      <c r="AB6" s="1608"/>
      <c r="AC6" s="2732"/>
      <c r="AD6" s="2733"/>
      <c r="AE6" s="2733"/>
      <c r="AF6" s="2733"/>
      <c r="AG6" s="2733"/>
      <c r="AH6" s="2733"/>
      <c r="AI6" s="2733"/>
      <c r="AJ6" s="2734"/>
    </row>
    <row r="7" spans="1:36" ht="24">
      <c r="A7" s="3641"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23457</v>
      </c>
      <c r="U7" s="1605"/>
      <c r="V7" s="1604">
        <f t="shared" ca="1" si="1"/>
        <v>0</v>
      </c>
      <c r="W7" s="1818" t="s">
        <v>2791</v>
      </c>
      <c r="X7" s="1606" t="str">
        <f>G2</f>
        <v>二级</v>
      </c>
      <c r="Y7" s="1606" t="s">
        <v>2792</v>
      </c>
      <c r="Z7" s="1607">
        <f>G3</f>
        <v>4.6900000000000004</v>
      </c>
      <c r="AA7" s="1608"/>
      <c r="AB7" s="1608"/>
      <c r="AC7" s="1609"/>
      <c r="AD7" s="1610"/>
      <c r="AE7" s="1610"/>
      <c r="AF7" s="1610"/>
      <c r="AG7" s="1610"/>
      <c r="AH7" s="1610"/>
      <c r="AI7" s="1610"/>
      <c r="AJ7" s="1611"/>
    </row>
    <row r="8" spans="1:36" ht="25.5">
      <c r="A8" s="3642"/>
      <c r="B8" s="198" t="s">
        <v>2793</v>
      </c>
      <c r="C8" s="2747" t="s">
        <v>3081</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52" t="s">
        <v>2796</v>
      </c>
      <c r="X8" s="3653"/>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42"/>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54"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2"/>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2"/>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54" t="s">
        <v>2820</v>
      </c>
      <c r="X11" s="1616" t="s">
        <v>2821</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1"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54"/>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59"/>
      <c r="B13" s="2761" t="s">
        <v>2827</v>
      </c>
      <c r="C13" s="2762" t="s">
        <v>2828</v>
      </c>
      <c r="D13" s="1810" t="s">
        <v>2829</v>
      </c>
      <c r="E13" s="1810"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54"/>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59"/>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60"/>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1" t="s">
        <v>2839</v>
      </c>
      <c r="B16" s="2742" t="s">
        <v>2840</v>
      </c>
      <c r="C16" s="1803">
        <f>ROUND(SUM(G17:J17)/C17,0)</f>
        <v>31</v>
      </c>
      <c r="D16" s="2776" t="s">
        <v>2841</v>
      </c>
      <c r="E16" s="2777" t="s">
        <v>3082</v>
      </c>
      <c r="F16" s="2778" t="s">
        <v>3083</v>
      </c>
      <c r="G16" s="2779" t="s">
        <v>3084</v>
      </c>
      <c r="H16" s="2779" t="s">
        <v>3085</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2"/>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3087</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0.9869</v>
      </c>
      <c r="D20" s="2803" t="s">
        <v>2854</v>
      </c>
      <c r="E20" s="1770">
        <f ca="1">存贷款利率!D4/100</f>
        <v>4.3499999999999997E-2</v>
      </c>
      <c r="F20" s="2803" t="s">
        <v>2846</v>
      </c>
      <c r="G20" s="936">
        <f ca="1">SUMIF(M15:P15,E2,M17:P17)</f>
        <v>5.1999999999999998E-2</v>
      </c>
      <c r="H20" s="2803" t="s">
        <v>2855</v>
      </c>
      <c r="I20" s="937">
        <f>SUMIF('数据-取费表'!C6:C15,E2,'数据-取费表'!F6:F15)/COUNTIF('数据-取费表'!C6:C15,E2)</f>
        <v>47.21</v>
      </c>
      <c r="J20" s="938">
        <f>IF(E2="住宅",70,IF(E2="商业",40,50))</f>
        <v>50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3086</v>
      </c>
      <c r="C21" s="939">
        <f>IF(B21="容积率修正",IF(G3&lt;=10,D22,J22),C23)</f>
        <v>0.93030000000000002</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1812" t="s">
        <v>2863</v>
      </c>
      <c r="D22" s="1812">
        <f>IF(E22=G22,F22,IF(G3&lt;=10,ROUND(F22+(H22-F22)*(G3-E22)/(G22-E22),4),"——"))</f>
        <v>0.93030000000000002</v>
      </c>
      <c r="E22" s="915">
        <f>ROUNDDOWN(G3,1)</f>
        <v>4.5999999999999996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0.93410000000000004</v>
      </c>
      <c r="G22" s="915">
        <f>ROUNDUP(G3,1)</f>
        <v>4.6999999999999993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0.92989999999999995</v>
      </c>
      <c r="I22" s="1812"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1.0314000000000001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102302</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28683</v>
      </c>
      <c r="D29" s="2842">
        <f>'数据-汇总表'!F19</f>
        <v>34273.35</v>
      </c>
      <c r="E29" s="944">
        <f ca="1">ROUND(C29*D29/10000,0)</f>
        <v>98306</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7171</v>
      </c>
      <c r="D30" s="2848"/>
      <c r="E30" s="944">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49" t="s">
        <v>2886</v>
      </c>
      <c r="B33" s="2858" t="s">
        <v>2887</v>
      </c>
      <c r="C33" s="206">
        <f ca="1">ROUND(D5*C19*C20*C24*F33,0)</f>
        <v>0</v>
      </c>
      <c r="D33" s="2842">
        <f>'数据-汇总表'!G22</f>
        <v>4028.04</v>
      </c>
      <c r="E33" s="200">
        <f ca="1">ROUND(C33*D33/10000,0)</f>
        <v>0</v>
      </c>
      <c r="F33" s="200">
        <f>SUMIF(修正!A45:A56,G2,修正!B45:B56)</f>
        <v>0.8</v>
      </c>
      <c r="G33" s="200">
        <f t="shared" ref="G33:G39" ca="1" si="6">ROUND(IF(E2="工业",C33*$M$39,C33*$M$38),0)</f>
        <v>0</v>
      </c>
      <c r="H33" s="200">
        <f>D33</f>
        <v>4028.04</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0"/>
      <c r="B34" s="2762" t="s">
        <v>2888</v>
      </c>
      <c r="C34" s="206">
        <f ca="1">ROUND(D5*C19*C20*C24*F34,0)</f>
        <v>0</v>
      </c>
      <c r="D34" s="2842"/>
      <c r="E34" s="200">
        <f t="shared" ref="E34:E39" ca="1" si="7">ROUND(C34*D34/10000,0)</f>
        <v>0</v>
      </c>
      <c r="F34" s="200">
        <f>SUMIF(修正!A45:A56,G2,修正!C45:C56)</f>
        <v>0.5</v>
      </c>
      <c r="G34" s="200">
        <f t="shared" ca="1" si="6"/>
        <v>0</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0"/>
      <c r="B35" s="2762" t="s">
        <v>2889</v>
      </c>
      <c r="C35" s="206">
        <f ca="1">ROUND(D5*C19*C20*C24*F35,0)</f>
        <v>0</v>
      </c>
      <c r="D35" s="2842"/>
      <c r="E35" s="200">
        <f t="shared" ca="1" si="7"/>
        <v>0</v>
      </c>
      <c r="F35" s="200">
        <f>SUMIF(修正!A45:A56,G2,修正!D45:D56)</f>
        <v>0.36</v>
      </c>
      <c r="G35" s="200">
        <f t="shared" ca="1" si="6"/>
        <v>0</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51"/>
      <c r="B36" s="2762" t="s">
        <v>2890</v>
      </c>
      <c r="C36" s="206">
        <f ca="1">ROUND(D5*C19*C20*C24*F36,0)</f>
        <v>0</v>
      </c>
      <c r="D36" s="2842"/>
      <c r="E36" s="200">
        <f t="shared" ca="1" si="7"/>
        <v>0</v>
      </c>
      <c r="F36" s="200">
        <f>SUMIF(修正!A45:A56,G2,修正!E45:E56)</f>
        <v>0.3</v>
      </c>
      <c r="G36" s="200">
        <f t="shared" ca="1" si="6"/>
        <v>0</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9249</v>
      </c>
      <c r="D37" s="2842"/>
      <c r="E37" s="200">
        <f t="shared" ca="1" si="7"/>
        <v>0</v>
      </c>
      <c r="F37" s="206">
        <f>SUMIF(修正!A45:A56,G2,修正!F45:F56)</f>
        <v>0.3</v>
      </c>
      <c r="G37" s="200">
        <f t="shared" ca="1" si="6"/>
        <v>2312</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9249</v>
      </c>
      <c r="D38" s="2842"/>
      <c r="E38" s="200">
        <f t="shared" ca="1" si="7"/>
        <v>0</v>
      </c>
      <c r="F38" s="206">
        <f>SUMIF(修正!A45:A56,G2,修正!G45:G56)</f>
        <v>0.3</v>
      </c>
      <c r="G38" s="200">
        <f t="shared" ca="1" si="6"/>
        <v>2312</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7708</v>
      </c>
      <c r="D39" s="2848">
        <f>'数据-汇总表'!G21</f>
        <v>5184.72</v>
      </c>
      <c r="E39" s="229">
        <f t="shared" ca="1" si="7"/>
        <v>3996</v>
      </c>
      <c r="F39" s="934">
        <f>SUMIF(修正!A45:A56,G2,修正!H45:H56)</f>
        <v>0.25</v>
      </c>
      <c r="G39" s="229" t="e">
        <f t="shared" si="6"/>
        <v>#DIV/0!</v>
      </c>
      <c r="H39" s="229">
        <f t="shared" si="8"/>
        <v>5184.72</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1811" t="s">
        <v>2899</v>
      </c>
      <c r="C47" s="1811" t="s">
        <v>2900</v>
      </c>
      <c r="D47" s="1811" t="s">
        <v>2901</v>
      </c>
      <c r="E47" s="818" t="s">
        <v>2902</v>
      </c>
      <c r="F47" s="2876" t="s">
        <v>2903</v>
      </c>
      <c r="G47" s="1811" t="s">
        <v>753</v>
      </c>
      <c r="H47" s="2877" t="s">
        <v>2904</v>
      </c>
      <c r="I47" s="1811"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1.0314000000000001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1811"/>
      <c r="C58" s="1811" t="s">
        <v>2900</v>
      </c>
      <c r="D58" s="1811" t="s">
        <v>2901</v>
      </c>
      <c r="E58" s="818" t="s">
        <v>2902</v>
      </c>
      <c r="F58" s="2876" t="s">
        <v>2918</v>
      </c>
      <c r="G58" s="1811" t="s">
        <v>753</v>
      </c>
      <c r="H58" s="2877" t="s">
        <v>2904</v>
      </c>
      <c r="I58" s="1811"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t="s">
        <v>3094</v>
      </c>
      <c r="D59" s="1288">
        <f t="shared" ref="D59:D67" si="15">SUMIF($J$58:$N$58,C59,J59:N59)</f>
        <v>1.0999999999999999E-2</v>
      </c>
      <c r="E59" s="820">
        <f>ROUND(SUM(D59:D67),4)</f>
        <v>3.1399999999999997E-2</v>
      </c>
      <c r="F59" s="2498">
        <f>IF(E2="办公",SUMIF(L1:L12,G2,N1:N12),"——")</f>
        <v>9.6000000000000002E-2</v>
      </c>
      <c r="G59" s="1286">
        <v>1.0999999999999999E-2</v>
      </c>
      <c r="H59" s="1290">
        <f t="shared" ref="H59:H67" si="16">IFERROR(ROUNDDOWN($F$59*I59/2,4),"——")</f>
        <v>1.15E-2</v>
      </c>
      <c r="I59" s="819">
        <v>0.24</v>
      </c>
      <c r="J59" s="1287">
        <f t="shared" ref="J59:J67" si="17">K59+$G59</f>
        <v>2.1999999999999999E-2</v>
      </c>
      <c r="K59" s="1287">
        <f t="shared" ref="K59:K67" si="18">$L59+$G59</f>
        <v>1.0999999999999999E-2</v>
      </c>
      <c r="L59" s="1287">
        <v>0</v>
      </c>
      <c r="M59" s="1287">
        <f t="shared" ref="M59:N67" si="19">L59-$G59</f>
        <v>-1.0999999999999999E-2</v>
      </c>
      <c r="N59" s="1287">
        <f t="shared" si="19"/>
        <v>-2.1999999999999999E-2</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t="s">
        <v>3094</v>
      </c>
      <c r="D60" s="1288">
        <f t="shared" si="15"/>
        <v>1.4E-2</v>
      </c>
      <c r="E60" s="821"/>
      <c r="F60" s="2498"/>
      <c r="G60" s="1286">
        <v>1.4E-2</v>
      </c>
      <c r="H60" s="1290">
        <f t="shared" si="16"/>
        <v>1.44E-2</v>
      </c>
      <c r="I60" s="819">
        <v>0.3</v>
      </c>
      <c r="J60" s="1287">
        <f t="shared" si="17"/>
        <v>2.8000000000000001E-2</v>
      </c>
      <c r="K60" s="1287">
        <f t="shared" si="18"/>
        <v>1.4E-2</v>
      </c>
      <c r="L60" s="1287">
        <v>0</v>
      </c>
      <c r="M60" s="1287">
        <f t="shared" si="19"/>
        <v>-1.4E-2</v>
      </c>
      <c r="N60" s="1287">
        <f t="shared" si="19"/>
        <v>-2.8000000000000001E-2</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t="s">
        <v>3094</v>
      </c>
      <c r="D61" s="1288">
        <f t="shared" si="15"/>
        <v>3.0000000000000001E-3</v>
      </c>
      <c r="E61" s="821"/>
      <c r="F61" s="2498"/>
      <c r="G61" s="1286">
        <v>3.0000000000000001E-3</v>
      </c>
      <c r="H61" s="1290">
        <f t="shared" si="16"/>
        <v>3.8E-3</v>
      </c>
      <c r="I61" s="819">
        <v>0.08</v>
      </c>
      <c r="J61" s="1287">
        <f t="shared" si="17"/>
        <v>6.0000000000000001E-3</v>
      </c>
      <c r="K61" s="1287">
        <f t="shared" si="18"/>
        <v>3.0000000000000001E-3</v>
      </c>
      <c r="L61" s="1287">
        <v>0</v>
      </c>
      <c r="M61" s="1287">
        <f t="shared" si="19"/>
        <v>-3.0000000000000001E-3</v>
      </c>
      <c r="N61" s="1287">
        <f t="shared" si="19"/>
        <v>-6.0000000000000001E-3</v>
      </c>
      <c r="AA61" s="1373"/>
      <c r="AB61" s="1373"/>
      <c r="AC61" s="1373"/>
      <c r="AD61" s="1373"/>
      <c r="AE61" s="1373"/>
      <c r="AF61" s="1373"/>
      <c r="AG61" s="1373"/>
      <c r="AH61" s="1373"/>
      <c r="AI61" s="1373"/>
      <c r="AJ61" s="1373"/>
      <c r="AK61" s="1373"/>
    </row>
    <row r="62" spans="1:37" s="1372" customFormat="1" ht="36.75">
      <c r="A62" s="2875" t="s">
        <v>2909</v>
      </c>
      <c r="B62" s="2880" t="s">
        <v>2910</v>
      </c>
      <c r="C62" s="2767" t="s">
        <v>3094</v>
      </c>
      <c r="D62" s="1288">
        <f t="shared" si="15"/>
        <v>1E-3</v>
      </c>
      <c r="E62" s="821"/>
      <c r="F62" s="2498"/>
      <c r="G62" s="1286">
        <v>1E-3</v>
      </c>
      <c r="H62" s="1290">
        <f t="shared" si="16"/>
        <v>1.9E-3</v>
      </c>
      <c r="I62" s="819">
        <v>0.04</v>
      </c>
      <c r="J62" s="1287">
        <f t="shared" si="17"/>
        <v>2E-3</v>
      </c>
      <c r="K62" s="1287">
        <f t="shared" si="18"/>
        <v>1E-3</v>
      </c>
      <c r="L62" s="1287">
        <v>0</v>
      </c>
      <c r="M62" s="1287">
        <f t="shared" si="19"/>
        <v>-1E-3</v>
      </c>
      <c r="N62" s="1287">
        <f t="shared" si="19"/>
        <v>-2E-3</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t="s">
        <v>3094</v>
      </c>
      <c r="D63" s="1288">
        <f t="shared" si="15"/>
        <v>2.3999999999999998E-3</v>
      </c>
      <c r="E63" s="821"/>
      <c r="F63" s="2498"/>
      <c r="G63" s="1286">
        <v>2.3999999999999998E-3</v>
      </c>
      <c r="H63" s="1290">
        <f t="shared" si="16"/>
        <v>2.3999999999999998E-3</v>
      </c>
      <c r="I63" s="819">
        <v>0.05</v>
      </c>
      <c r="J63" s="1287">
        <f t="shared" si="17"/>
        <v>4.7999999999999996E-3</v>
      </c>
      <c r="K63" s="1287">
        <f t="shared" si="18"/>
        <v>2.3999999999999998E-3</v>
      </c>
      <c r="L63" s="1287">
        <v>0</v>
      </c>
      <c r="M63" s="1287">
        <f t="shared" si="19"/>
        <v>-2.3999999999999998E-3</v>
      </c>
      <c r="N63" s="1287">
        <f t="shared" si="19"/>
        <v>-4.7999999999999996E-3</v>
      </c>
      <c r="AA63" s="1373"/>
      <c r="AB63" s="1373"/>
      <c r="AC63" s="1373"/>
      <c r="AD63" s="1373"/>
      <c r="AE63" s="1373"/>
      <c r="AF63" s="1373"/>
      <c r="AG63" s="1373"/>
      <c r="AH63" s="1373"/>
      <c r="AI63" s="1373"/>
      <c r="AJ63" s="1373"/>
      <c r="AK63" s="1373"/>
    </row>
    <row r="64" spans="1:37" s="1372" customFormat="1" ht="24">
      <c r="A64" s="2875" t="s">
        <v>2912</v>
      </c>
      <c r="B64" s="2881" t="s">
        <v>2913</v>
      </c>
      <c r="C64" s="2767" t="s">
        <v>3094</v>
      </c>
      <c r="D64" s="1288">
        <f t="shared" si="15"/>
        <v>0</v>
      </c>
      <c r="E64" s="821"/>
      <c r="F64" s="2498"/>
      <c r="G64" s="1286"/>
      <c r="H64" s="1290">
        <f t="shared" si="16"/>
        <v>2.3999999999999998E-3</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t="s">
        <v>3094</v>
      </c>
      <c r="D65" s="1288">
        <f t="shared" si="15"/>
        <v>0</v>
      </c>
      <c r="E65" s="821"/>
      <c r="F65" s="2498"/>
      <c r="G65" s="1286"/>
      <c r="H65" s="1290">
        <f t="shared" si="16"/>
        <v>2.8E-3</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t="s">
        <v>3094</v>
      </c>
      <c r="D66" s="1288">
        <f t="shared" si="15"/>
        <v>0</v>
      </c>
      <c r="E66" s="821"/>
      <c r="F66" s="2498"/>
      <c r="G66" s="1286"/>
      <c r="H66" s="1290">
        <f t="shared" si="16"/>
        <v>5.7000000000000002E-3</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t="s">
        <v>3094</v>
      </c>
      <c r="D67" s="1288">
        <f t="shared" si="15"/>
        <v>0</v>
      </c>
      <c r="E67" s="824"/>
      <c r="F67" s="2498"/>
      <c r="G67" s="1286"/>
      <c r="H67" s="1290">
        <f t="shared" si="16"/>
        <v>2.8E-3</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1811"/>
      <c r="C69" s="1811" t="s">
        <v>2900</v>
      </c>
      <c r="D69" s="1811" t="s">
        <v>2901</v>
      </c>
      <c r="E69" s="818" t="s">
        <v>2902</v>
      </c>
      <c r="F69" s="2876" t="s">
        <v>2918</v>
      </c>
      <c r="G69" s="1811" t="s">
        <v>753</v>
      </c>
      <c r="H69" s="2877" t="s">
        <v>2904</v>
      </c>
      <c r="I69" s="1811"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1811"/>
      <c r="C80" s="1811" t="s">
        <v>2900</v>
      </c>
      <c r="D80" s="1811" t="s">
        <v>2901</v>
      </c>
      <c r="E80" s="818" t="s">
        <v>2902</v>
      </c>
      <c r="F80" s="2876" t="s">
        <v>2918</v>
      </c>
      <c r="G80" s="1811" t="s">
        <v>753</v>
      </c>
      <c r="H80" s="2877" t="s">
        <v>2904</v>
      </c>
      <c r="I80" s="1811"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43" t="s">
        <v>2928</v>
      </c>
      <c r="B90" s="3643"/>
      <c r="C90" s="3643"/>
      <c r="D90" s="3643"/>
      <c r="E90" s="3643"/>
      <c r="F90" s="3643"/>
      <c r="G90" s="3643"/>
      <c r="H90" s="3643"/>
      <c r="I90" s="3643"/>
      <c r="J90" s="3643"/>
      <c r="K90" s="2889"/>
      <c r="L90" s="2889"/>
      <c r="M90" s="2889"/>
      <c r="N90" s="2889"/>
    </row>
    <row r="91" spans="1:37">
      <c r="A91" s="3645" t="s">
        <v>2929</v>
      </c>
      <c r="B91" s="3645" t="s">
        <v>2930</v>
      </c>
      <c r="C91" s="2843" t="s">
        <v>2931</v>
      </c>
      <c r="D91" s="2844"/>
      <c r="E91" s="2844"/>
      <c r="F91" s="2844"/>
      <c r="G91" s="2844"/>
      <c r="H91" s="2844"/>
      <c r="I91" s="2844"/>
      <c r="J91" s="2890"/>
      <c r="K91" s="2891"/>
      <c r="L91" s="2891"/>
      <c r="M91" s="2891"/>
      <c r="N91" s="2891"/>
    </row>
    <row r="92" spans="1:37">
      <c r="A92" s="3645"/>
      <c r="B92" s="3645"/>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646"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4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4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4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4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4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47"/>
      <c r="B99" s="2892" t="s">
        <v>2813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48"/>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46" t="s">
        <v>2933</v>
      </c>
      <c r="B101" s="2896" t="s">
        <v>2934</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47"/>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47"/>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47"/>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47"/>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47"/>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47"/>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47"/>
      <c r="B108" s="3432" t="s">
        <v>2935</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48"/>
      <c r="B109" s="3433"/>
      <c r="C109" s="2895">
        <f>(-0.163*(C108^2)-0.59*C108+7617)*(10^(-4))/C101</f>
        <v>0.162409381663113</v>
      </c>
      <c r="D109" s="2895">
        <f>(-0.163*(D108^2)-0.59*D108+7617)*(10^(-4))/D101</f>
        <v>0.162409381663113</v>
      </c>
      <c r="E109" s="2895">
        <f>(-0.161*(E108^2)-7.509*E108+6533)*(10^(-4))/E101</f>
        <v>0.1392963752665245</v>
      </c>
      <c r="F109" s="2895">
        <f>(-0.161*(F108^2)-7.509*F108+6533)*(10^(-4))/F101</f>
        <v>0.1392963752665245</v>
      </c>
      <c r="G109" s="2895">
        <f>(-0.161*(G108^2)-7.509*G108+6533)*(10^(-4))/G101</f>
        <v>0.1392963752665245</v>
      </c>
      <c r="H109" s="2895">
        <f>(-0.161*(H108^2)-7.509*H108+6533)*(10^(-4))/H101</f>
        <v>0.1392963752665245</v>
      </c>
      <c r="I109" s="2895">
        <f>(-0.161*(I108^2)-7.509*I108+6533)*(10^(-4))/I101</f>
        <v>0.1392963752665245</v>
      </c>
      <c r="J109" s="2895">
        <f>(-0.214*(J108^2)-21.991*J108+4665)*(10^(-4))/J101</f>
        <v>9.9466950959488265E-2</v>
      </c>
      <c r="K109" s="2895">
        <f>(-0.214*(K108^2)-21.991*K108+4665)*(10^(-4))/K101</f>
        <v>9.9466950959488265E-2</v>
      </c>
      <c r="L109" s="2895">
        <f>(-0.214*(L108^2)-21.991*L108+4665)*(10^(-4))/L101</f>
        <v>9.9466950959488265E-2</v>
      </c>
      <c r="M109" s="2895">
        <f>(-0.214*(M108^2)-21.991*M108+4665)*(10^(-4))/M101</f>
        <v>9.9466950959488265E-2</v>
      </c>
      <c r="N109" s="2895">
        <f>(-0.214*(N108^2)-21.991*N108+4665)*(10^(-4))/N101</f>
        <v>9.9466950959488265E-2</v>
      </c>
    </row>
    <row r="110" spans="1:14">
      <c r="A110" s="3644" t="s">
        <v>2936</v>
      </c>
      <c r="B110" s="3644"/>
      <c r="C110" s="3644"/>
      <c r="D110" s="3644"/>
      <c r="E110" s="3644"/>
      <c r="F110" s="3644"/>
      <c r="G110" s="3644"/>
      <c r="H110" s="3644"/>
      <c r="I110" s="3644"/>
      <c r="J110" s="3644"/>
      <c r="K110" s="2898"/>
      <c r="L110" s="2898"/>
      <c r="M110" s="2898"/>
      <c r="N110" s="2898"/>
    </row>
    <row r="112" spans="1:14" ht="13.5" thickBot="1"/>
    <row r="113" spans="1:13" ht="25.5" thickBot="1">
      <c r="A113" s="902" t="s">
        <v>2937</v>
      </c>
      <c r="B113" s="1289">
        <f>G3</f>
        <v>4.6900000000000004</v>
      </c>
      <c r="C113" s="903" t="s">
        <v>2938</v>
      </c>
      <c r="D113" s="904">
        <f>SUMPRODUCT((A115:A118=F113)*(B114:M114=H113)*B115:M118)</f>
        <v>0.89270000000000005</v>
      </c>
      <c r="E113" s="2721" t="s">
        <v>2770</v>
      </c>
      <c r="F113" s="2900" t="str">
        <f>E2</f>
        <v>办公</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2836</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2837</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2838</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3842.1499999999996</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25054</v>
      </c>
      <c r="C2" s="2718" t="s">
        <v>2769</v>
      </c>
      <c r="D2" s="2719" t="s">
        <v>2770</v>
      </c>
      <c r="E2" s="2720" t="s">
        <v>1373</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Ⅱ—14</v>
      </c>
      <c r="J2" s="2722"/>
      <c r="K2" s="1372"/>
      <c r="L2" s="2723" t="s">
        <v>2773</v>
      </c>
      <c r="M2" s="1083">
        <f>SUMPRODUCT((区片价!B10:B28=I2)*(区片价!C3:F3=E2)*(区片价!C10:F28))</f>
        <v>24700</v>
      </c>
      <c r="N2" s="1085">
        <f>SUMPRODUCT((因素修正幅度!B10:B28=I2)*(因素修正幅度!C3:F3=E2)*(因素修正幅度!C10:F28))</f>
        <v>9.9000000000000005E-2</v>
      </c>
      <c r="O2" s="1372"/>
      <c r="P2" s="1372"/>
      <c r="Q2" s="1372"/>
      <c r="R2" s="1604">
        <v>1</v>
      </c>
      <c r="S2" s="1604">
        <f>ROUND(IF(G3&gt;1,IF(R2&lt;7,SUMPRODUCT((B93:B98=R2)*(C92:N92=G2)*(C93:N98)),SUMIF(C92:N92,G2,C100:N100)),IF(R2&lt;7,SUMPRODUCT((B102:B107=R2)*(C92:N92=G2)*(C102:N107)),SUMIF(C92:N92,G2,C109:N109))),4)</f>
        <v>1.9361999999999999</v>
      </c>
      <c r="T2" s="1604">
        <f ca="1">ROUND($C$5*$C$18*$C$19*$C$20*S2*$C$24,0)</f>
        <v>65207</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65208</v>
      </c>
      <c r="C3" s="2718" t="s">
        <v>2775</v>
      </c>
      <c r="D3" s="2719" t="s">
        <v>2776</v>
      </c>
      <c r="E3" s="2724" t="s">
        <v>3088</v>
      </c>
      <c r="F3" s="2725" t="s">
        <v>2777</v>
      </c>
      <c r="G3" s="915">
        <f>IF(F3="宗地容积率",'数据-汇总表'!I4,IF(F3="估价对象容积率",'数据-汇总表'!I6,'数据-汇总表'!I7))</f>
        <v>4.6900000000000004</v>
      </c>
      <c r="H3" s="198" t="s">
        <v>2778</v>
      </c>
      <c r="I3" s="946">
        <v>1</v>
      </c>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47816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55"/>
      <c r="B4" s="3656"/>
      <c r="C4" s="3656"/>
      <c r="D4" s="3657"/>
      <c r="E4" s="3657"/>
      <c r="F4" s="3657"/>
      <c r="G4" s="3657"/>
      <c r="H4" s="3657"/>
      <c r="I4" s="3657"/>
      <c r="J4" s="3658"/>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39046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24669</v>
      </c>
      <c r="D5" s="1789">
        <f>ROUND(IF(E2="商业",IF(F16="增加",C6+C16,C6-C16)),0)</f>
        <v>24669</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32405</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24700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28347</v>
      </c>
      <c r="U6" s="1605"/>
      <c r="V6" s="1604">
        <f t="shared" ca="1" si="1"/>
        <v>0</v>
      </c>
      <c r="W6" s="1608"/>
      <c r="X6" s="1608"/>
      <c r="Y6" s="1608"/>
      <c r="Z6" s="1608"/>
      <c r="AA6" s="1608"/>
      <c r="AB6" s="1608"/>
      <c r="AC6" s="2732"/>
      <c r="AD6" s="2733"/>
      <c r="AE6" s="2733"/>
      <c r="AF6" s="2733"/>
      <c r="AG6" s="2733"/>
      <c r="AH6" s="2733"/>
      <c r="AI6" s="2733"/>
      <c r="AJ6" s="2734"/>
    </row>
    <row r="7" spans="1:36" ht="24">
      <c r="A7" s="3641"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25622</v>
      </c>
      <c r="U7" s="1605"/>
      <c r="V7" s="1604">
        <f t="shared" ca="1" si="1"/>
        <v>0</v>
      </c>
      <c r="W7" s="2958" t="s">
        <v>2791</v>
      </c>
      <c r="X7" s="1606" t="str">
        <f>G2</f>
        <v>二级</v>
      </c>
      <c r="Y7" s="1606" t="s">
        <v>2792</v>
      </c>
      <c r="Z7" s="1607">
        <f>G3</f>
        <v>4.6900000000000004</v>
      </c>
      <c r="AA7" s="1608"/>
      <c r="AB7" s="1608"/>
      <c r="AC7" s="1609"/>
      <c r="AD7" s="1610"/>
      <c r="AE7" s="1610"/>
      <c r="AF7" s="1610"/>
      <c r="AG7" s="1610"/>
      <c r="AH7" s="1610"/>
      <c r="AI7" s="1610"/>
      <c r="AJ7" s="1611"/>
    </row>
    <row r="8" spans="1:36" ht="25.5">
      <c r="A8" s="3642"/>
      <c r="B8" s="198" t="s">
        <v>2793</v>
      </c>
      <c r="C8" s="2747" t="s">
        <v>3081</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52" t="s">
        <v>2796</v>
      </c>
      <c r="X8" s="3653"/>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42"/>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54"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2"/>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2"/>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54" t="s">
        <v>2820</v>
      </c>
      <c r="X11" s="1616" t="s">
        <v>2792</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1"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54"/>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59"/>
      <c r="B13" s="2761" t="s">
        <v>2827</v>
      </c>
      <c r="C13" s="2762" t="s">
        <v>2828</v>
      </c>
      <c r="D13" s="2951" t="s">
        <v>2829</v>
      </c>
      <c r="E13" s="2951"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54"/>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59"/>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60"/>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1" t="s">
        <v>2839</v>
      </c>
      <c r="B16" s="2742" t="s">
        <v>2840</v>
      </c>
      <c r="C16" s="2947">
        <f>ROUND(SUM(G17:J17)/C17,0)</f>
        <v>31</v>
      </c>
      <c r="D16" s="2776" t="s">
        <v>2841</v>
      </c>
      <c r="E16" s="2777" t="s">
        <v>3082</v>
      </c>
      <c r="F16" s="2778" t="s">
        <v>3083</v>
      </c>
      <c r="G16" s="2779" t="s">
        <v>3084</v>
      </c>
      <c r="H16" s="2779" t="s">
        <v>3085</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2"/>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1.1000000000000001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3087</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0.97799999999999998</v>
      </c>
      <c r="D20" s="2803" t="s">
        <v>2854</v>
      </c>
      <c r="E20" s="1770">
        <f ca="1">存贷款利率!D4/100</f>
        <v>4.3499999999999997E-2</v>
      </c>
      <c r="F20" s="2803" t="s">
        <v>2846</v>
      </c>
      <c r="G20" s="936">
        <f ca="1">SUMIF(M15:P15,E2,M17:P17)</f>
        <v>5.3999999999999999E-2</v>
      </c>
      <c r="H20" s="2803" t="s">
        <v>2855</v>
      </c>
      <c r="I20" s="937">
        <f>SUMIF('数据-取费表'!C6:C15,E2,'数据-取费表'!F6:F15)/COUNTIF('数据-取费表'!C6:C15,E2)</f>
        <v>37.200000000000003</v>
      </c>
      <c r="J20" s="938">
        <f>IF(E2="住宅",70,IF(E2="商业",40,50))</f>
        <v>40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3089</v>
      </c>
      <c r="C21" s="2957">
        <f>IF(B21="容积率修正",IF(G3&lt;=10,D22,J22),C23)</f>
        <v>1.9361999999999999</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2956" t="s">
        <v>2863</v>
      </c>
      <c r="D22" s="2956">
        <f>IF(E22=G22,F22,IF(G3&lt;=10,ROUND(F22+(H22-F22)*(G3-E22)/(G22-E22),4),"——"))</f>
        <v>0.93869999999999998</v>
      </c>
      <c r="E22" s="915">
        <f>ROUNDDOWN(G3,1)</f>
        <v>4.5999999999999996</v>
      </c>
      <c r="F22" s="2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0.94230000000000003</v>
      </c>
      <c r="G22" s="915">
        <f>ROUNDUP(G3,1)</f>
        <v>4.6999999999999993</v>
      </c>
      <c r="H22" s="2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0.93830000000000002</v>
      </c>
      <c r="I22" s="2956"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1.9361999999999999</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25054</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65207</v>
      </c>
      <c r="D29" s="2842">
        <f>'数据-汇总表'!F20</f>
        <v>3842.1499999999996</v>
      </c>
      <c r="E29" s="2961">
        <f ca="1">ROUND(C29*D29/10000,0)</f>
        <v>25054</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16302</v>
      </c>
      <c r="D30" s="2848"/>
      <c r="E30" s="2961">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49" t="s">
        <v>2886</v>
      </c>
      <c r="B33" s="2858" t="s">
        <v>2887</v>
      </c>
      <c r="C33" s="206">
        <f ca="1">ROUND(D5*C19*C20*C24*F33,0)</f>
        <v>24493</v>
      </c>
      <c r="D33" s="2842">
        <f>'数据-汇总表'!G20</f>
        <v>0</v>
      </c>
      <c r="E33" s="200">
        <f ca="1">ROUND(C33*D33/10000,0)</f>
        <v>0</v>
      </c>
      <c r="F33" s="200">
        <f>SUMIF(修正!A45:A56,G2,修正!B45:B56)</f>
        <v>0.8</v>
      </c>
      <c r="G33" s="200">
        <f t="shared" ref="G33:G39" ca="1" si="6">ROUND(IF(E2="工业",C33*$M$39,C33*$M$38),0)</f>
        <v>6123</v>
      </c>
      <c r="H33" s="200">
        <f>D33</f>
        <v>0</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0"/>
      <c r="B34" s="2762" t="s">
        <v>2888</v>
      </c>
      <c r="C34" s="206">
        <f ca="1">ROUND(D5*C19*C20*C24*F34,0)</f>
        <v>15308</v>
      </c>
      <c r="D34" s="2842"/>
      <c r="E34" s="200">
        <f t="shared" ref="E34:E39" ca="1" si="7">ROUND(C34*D34/10000,0)</f>
        <v>0</v>
      </c>
      <c r="F34" s="200">
        <f>SUMIF(修正!A45:A56,G2,修正!C45:C56)</f>
        <v>0.5</v>
      </c>
      <c r="G34" s="200">
        <f t="shared" ca="1" si="6"/>
        <v>3827</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0"/>
      <c r="B35" s="2762" t="s">
        <v>2889</v>
      </c>
      <c r="C35" s="206">
        <f ca="1">ROUND(D5*C19*C20*C24*F35,0)</f>
        <v>11022</v>
      </c>
      <c r="D35" s="2842"/>
      <c r="E35" s="200">
        <f t="shared" ca="1" si="7"/>
        <v>0</v>
      </c>
      <c r="F35" s="200">
        <f>SUMIF(修正!A45:A56,G2,修正!D45:D56)</f>
        <v>0.36</v>
      </c>
      <c r="G35" s="200">
        <f t="shared" ca="1" si="6"/>
        <v>2756</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51"/>
      <c r="B36" s="2762" t="s">
        <v>2890</v>
      </c>
      <c r="C36" s="206">
        <f ca="1">ROUND(D5*C19*C20*C24*F36,0)</f>
        <v>9185</v>
      </c>
      <c r="D36" s="2842"/>
      <c r="E36" s="200">
        <f t="shared" ca="1" si="7"/>
        <v>0</v>
      </c>
      <c r="F36" s="200">
        <f>SUMIF(修正!A45:A56,G2,修正!E45:E56)</f>
        <v>0.3</v>
      </c>
      <c r="G36" s="200">
        <f t="shared" ca="1" si="6"/>
        <v>2296</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9185</v>
      </c>
      <c r="D37" s="2842"/>
      <c r="E37" s="200">
        <f t="shared" ca="1" si="7"/>
        <v>0</v>
      </c>
      <c r="F37" s="206">
        <f>SUMIF(修正!A45:A56,G2,修正!F45:F56)</f>
        <v>0.3</v>
      </c>
      <c r="G37" s="200">
        <f t="shared" ca="1" si="6"/>
        <v>2296</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9185</v>
      </c>
      <c r="D38" s="2842"/>
      <c r="E38" s="200">
        <f t="shared" ca="1" si="7"/>
        <v>0</v>
      </c>
      <c r="F38" s="206">
        <f>SUMIF(修正!A45:A56,G2,修正!G45:G56)</f>
        <v>0.3</v>
      </c>
      <c r="G38" s="200">
        <f t="shared" ca="1" si="6"/>
        <v>2296</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7654</v>
      </c>
      <c r="D39" s="2848"/>
      <c r="E39" s="229">
        <f t="shared" ca="1" si="7"/>
        <v>0</v>
      </c>
      <c r="F39" s="934">
        <f>SUMIF(修正!A45:A56,G2,修正!H45:H56)</f>
        <v>0.25</v>
      </c>
      <c r="G39" s="229" t="e">
        <f t="shared" si="6"/>
        <v>#DIV/0!</v>
      </c>
      <c r="H39" s="229">
        <f t="shared" si="8"/>
        <v>0</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2950" t="s">
        <v>2899</v>
      </c>
      <c r="C47" s="2950" t="s">
        <v>2900</v>
      </c>
      <c r="D47" s="2950" t="s">
        <v>2901</v>
      </c>
      <c r="E47" s="818" t="s">
        <v>2902</v>
      </c>
      <c r="F47" s="2876" t="s">
        <v>2903</v>
      </c>
      <c r="G47" s="2950" t="s">
        <v>753</v>
      </c>
      <c r="H47" s="2877" t="s">
        <v>2904</v>
      </c>
      <c r="I47" s="2950"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f>IF(E2="商业",SUMIF(L1:L12,G2,N1:N12),"——")</f>
        <v>9.9000000000000005E-2</v>
      </c>
      <c r="G48" s="1286"/>
      <c r="H48" s="1290">
        <f t="shared" ref="H48:H56" si="11">IFERROR(ROUNDDOWN($F$48*I48/2,4),"——")</f>
        <v>1.6299999999999999E-2</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f t="shared" si="11"/>
        <v>1.23E-2</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f t="shared" si="11"/>
        <v>2.3999999999999998E-3</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f t="shared" si="11"/>
        <v>2.3999999999999998E-3</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f t="shared" si="11"/>
        <v>3.8999999999999998E-3</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f t="shared" si="11"/>
        <v>1.4E-3</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f t="shared" si="11"/>
        <v>2.3999999999999998E-3</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f t="shared" si="11"/>
        <v>4.8999999999999998E-3</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f t="shared" si="11"/>
        <v>2.8999999999999998E-3</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2950"/>
      <c r="C58" s="2950" t="s">
        <v>2900</v>
      </c>
      <c r="D58" s="2950" t="s">
        <v>2901</v>
      </c>
      <c r="E58" s="818" t="s">
        <v>2902</v>
      </c>
      <c r="F58" s="2876" t="s">
        <v>2918</v>
      </c>
      <c r="G58" s="2950" t="s">
        <v>753</v>
      </c>
      <c r="H58" s="2877" t="s">
        <v>2904</v>
      </c>
      <c r="I58" s="2950"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2909</v>
      </c>
      <c r="B62" s="2880" t="s">
        <v>2910</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2912</v>
      </c>
      <c r="B64" s="2881" t="s">
        <v>2913</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2950"/>
      <c r="C69" s="2950" t="s">
        <v>2900</v>
      </c>
      <c r="D69" s="2950" t="s">
        <v>2901</v>
      </c>
      <c r="E69" s="818" t="s">
        <v>2902</v>
      </c>
      <c r="F69" s="2876" t="s">
        <v>2918</v>
      </c>
      <c r="G69" s="2950" t="s">
        <v>753</v>
      </c>
      <c r="H69" s="2877" t="s">
        <v>2904</v>
      </c>
      <c r="I69" s="2950"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2950"/>
      <c r="C80" s="2950" t="s">
        <v>2900</v>
      </c>
      <c r="D80" s="2950" t="s">
        <v>2901</v>
      </c>
      <c r="E80" s="818" t="s">
        <v>2902</v>
      </c>
      <c r="F80" s="2876" t="s">
        <v>2918</v>
      </c>
      <c r="G80" s="2950" t="s">
        <v>753</v>
      </c>
      <c r="H80" s="2877" t="s">
        <v>2904</v>
      </c>
      <c r="I80" s="2950"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43" t="s">
        <v>2928</v>
      </c>
      <c r="B90" s="3643"/>
      <c r="C90" s="3643"/>
      <c r="D90" s="3643"/>
      <c r="E90" s="3643"/>
      <c r="F90" s="3643"/>
      <c r="G90" s="3643"/>
      <c r="H90" s="3643"/>
      <c r="I90" s="3643"/>
      <c r="J90" s="3643"/>
      <c r="K90" s="2959"/>
      <c r="L90" s="2959"/>
      <c r="M90" s="2959"/>
      <c r="N90" s="2959"/>
    </row>
    <row r="91" spans="1:37">
      <c r="A91" s="3645" t="s">
        <v>2929</v>
      </c>
      <c r="B91" s="3645" t="s">
        <v>2930</v>
      </c>
      <c r="C91" s="2843" t="s">
        <v>2931</v>
      </c>
      <c r="D91" s="2844"/>
      <c r="E91" s="2844"/>
      <c r="F91" s="2844"/>
      <c r="G91" s="2844"/>
      <c r="H91" s="2844"/>
      <c r="I91" s="2844"/>
      <c r="J91" s="2890"/>
      <c r="K91" s="2891"/>
      <c r="L91" s="2891"/>
      <c r="M91" s="2891"/>
      <c r="N91" s="2891"/>
    </row>
    <row r="92" spans="1:37">
      <c r="A92" s="3645"/>
      <c r="B92" s="3645"/>
      <c r="C92" s="2961" t="s">
        <v>2797</v>
      </c>
      <c r="D92" s="2961" t="s">
        <v>2798</v>
      </c>
      <c r="E92" s="2961" t="s">
        <v>2799</v>
      </c>
      <c r="F92" s="2961" t="s">
        <v>2800</v>
      </c>
      <c r="G92" s="2961" t="s">
        <v>2801</v>
      </c>
      <c r="H92" s="2961" t="s">
        <v>2802</v>
      </c>
      <c r="I92" s="2961" t="s">
        <v>2803</v>
      </c>
      <c r="J92" s="2961" t="s">
        <v>2804</v>
      </c>
      <c r="K92" s="2961" t="s">
        <v>2805</v>
      </c>
      <c r="L92" s="2961" t="s">
        <v>2806</v>
      </c>
      <c r="M92" s="2961" t="s">
        <v>2807</v>
      </c>
      <c r="N92" s="2961" t="s">
        <v>2808</v>
      </c>
    </row>
    <row r="93" spans="1:37">
      <c r="A93" s="3646"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4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4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4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4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4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47"/>
      <c r="B99" s="2892" t="s">
        <v>2813</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648"/>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646" t="s">
        <v>2933</v>
      </c>
      <c r="B101" s="2896" t="s">
        <v>2934</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47"/>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47"/>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47"/>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47"/>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47"/>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47"/>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47"/>
      <c r="B108" s="3432" t="s">
        <v>2826</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648"/>
      <c r="B109" s="3433"/>
      <c r="C109" s="2895">
        <f>(-0.163*(C108^2)-0.59*C108+7617)*(10^(-4))/C101</f>
        <v>0.1623933262260128</v>
      </c>
      <c r="D109" s="2895">
        <f>(-0.163*(D108^2)-0.59*D108+7617)*(10^(-4))/D101</f>
        <v>0.1623933262260128</v>
      </c>
      <c r="E109" s="2895">
        <f>(-0.161*(E108^2)-7.509*E108+6533)*(10^(-4))/E101</f>
        <v>0.13913283582089553</v>
      </c>
      <c r="F109" s="2895">
        <f>(-0.161*(F108^2)-7.509*F108+6533)*(10^(-4))/F101</f>
        <v>0.13913283582089553</v>
      </c>
      <c r="G109" s="2895">
        <f>(-0.161*(G108^2)-7.509*G108+6533)*(10^(-4))/G101</f>
        <v>0.13913283582089553</v>
      </c>
      <c r="H109" s="2895">
        <f>(-0.161*(H108^2)-7.509*H108+6533)*(10^(-4))/H101</f>
        <v>0.13913283582089553</v>
      </c>
      <c r="I109" s="2895">
        <f>(-0.161*(I108^2)-7.509*I108+6533)*(10^(-4))/I101</f>
        <v>0.13913283582089553</v>
      </c>
      <c r="J109" s="2895">
        <f>(-0.214*(J108^2)-21.991*J108+4665)*(10^(-4))/J101</f>
        <v>9.8993496801705758E-2</v>
      </c>
      <c r="K109" s="2895">
        <f>(-0.214*(K108^2)-21.991*K108+4665)*(10^(-4))/K101</f>
        <v>9.8993496801705758E-2</v>
      </c>
      <c r="L109" s="2895">
        <f>(-0.214*(L108^2)-21.991*L108+4665)*(10^(-4))/L101</f>
        <v>9.8993496801705758E-2</v>
      </c>
      <c r="M109" s="2895">
        <f>(-0.214*(M108^2)-21.991*M108+4665)*(10^(-4))/M101</f>
        <v>9.8993496801705758E-2</v>
      </c>
      <c r="N109" s="2895">
        <f>(-0.214*(N108^2)-21.991*N108+4665)*(10^(-4))/N101</f>
        <v>9.8993496801705758E-2</v>
      </c>
    </row>
    <row r="110" spans="1:14">
      <c r="A110" s="3644" t="s">
        <v>2936</v>
      </c>
      <c r="B110" s="3644"/>
      <c r="C110" s="3644"/>
      <c r="D110" s="3644"/>
      <c r="E110" s="3644"/>
      <c r="F110" s="3644"/>
      <c r="G110" s="3644"/>
      <c r="H110" s="3644"/>
      <c r="I110" s="3644"/>
      <c r="J110" s="3644"/>
      <c r="K110" s="2960"/>
      <c r="L110" s="2960"/>
      <c r="M110" s="2960"/>
      <c r="N110" s="2960"/>
    </row>
    <row r="112" spans="1:14" ht="13.5" thickBot="1"/>
    <row r="113" spans="1:13" ht="25.5" thickBot="1">
      <c r="A113" s="902" t="s">
        <v>2937</v>
      </c>
      <c r="B113" s="1289">
        <f>G3</f>
        <v>4.6900000000000004</v>
      </c>
      <c r="C113" s="903" t="s">
        <v>2938</v>
      </c>
      <c r="D113" s="904">
        <f>SUMPRODUCT((A115:A118=F113)*(B114:M114=H113)*B115:M118)</f>
        <v>0.88939999999999997</v>
      </c>
      <c r="E113" s="2721" t="s">
        <v>2770</v>
      </c>
      <c r="F113" s="2900" t="str">
        <f>E2</f>
        <v>商业</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2836</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2837</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2838</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661" t="s">
        <v>182</v>
      </c>
      <c r="B18" s="881" t="s">
        <v>559</v>
      </c>
      <c r="C18" s="882" t="s">
        <v>560</v>
      </c>
      <c r="D18" s="883"/>
      <c r="E18" s="881">
        <v>1</v>
      </c>
      <c r="F18" s="884" t="s">
        <v>561</v>
      </c>
      <c r="G18" s="885"/>
      <c r="H18" s="877"/>
      <c r="I18" s="877"/>
    </row>
    <row r="19" spans="1:9" s="886" customFormat="1" ht="19.5" customHeight="1">
      <c r="A19" s="3661"/>
      <c r="B19" s="3661" t="s">
        <v>562</v>
      </c>
      <c r="C19" s="882" t="s">
        <v>563</v>
      </c>
      <c r="D19" s="883"/>
      <c r="E19" s="881">
        <v>0.9</v>
      </c>
      <c r="F19" s="884" t="s">
        <v>564</v>
      </c>
      <c r="G19" s="885"/>
      <c r="H19" s="877"/>
      <c r="I19" s="877"/>
    </row>
    <row r="20" spans="1:9" s="886" customFormat="1" ht="19.5" customHeight="1">
      <c r="A20" s="3661"/>
      <c r="B20" s="3661"/>
      <c r="C20" s="882" t="s">
        <v>565</v>
      </c>
      <c r="D20" s="883"/>
      <c r="E20" s="881">
        <v>1.1000000000000001</v>
      </c>
      <c r="F20" s="884" t="s">
        <v>566</v>
      </c>
      <c r="G20" s="885"/>
      <c r="H20" s="877"/>
      <c r="I20" s="877"/>
    </row>
    <row r="21" spans="1:9" s="886" customFormat="1" ht="19.5" customHeight="1">
      <c r="A21" s="3661"/>
      <c r="B21" s="3661"/>
      <c r="C21" s="882" t="s">
        <v>567</v>
      </c>
      <c r="D21" s="883"/>
      <c r="E21" s="881">
        <v>0.8</v>
      </c>
      <c r="F21" s="884" t="s">
        <v>568</v>
      </c>
      <c r="G21" s="885"/>
      <c r="H21" s="877"/>
      <c r="I21" s="877"/>
    </row>
    <row r="22" spans="1:9" s="886" customFormat="1" ht="19.5" customHeight="1">
      <c r="A22" s="3661"/>
      <c r="B22" s="3661"/>
      <c r="C22" s="882" t="s">
        <v>569</v>
      </c>
      <c r="D22" s="883"/>
      <c r="E22" s="881">
        <v>0.5</v>
      </c>
      <c r="F22" s="884"/>
      <c r="G22" s="885"/>
      <c r="H22" s="877"/>
      <c r="I22" s="877"/>
    </row>
    <row r="23" spans="1:9" s="886" customFormat="1" ht="19.5" customHeight="1">
      <c r="A23" s="3661" t="s">
        <v>183</v>
      </c>
      <c r="B23" s="881" t="s">
        <v>559</v>
      </c>
      <c r="C23" s="882" t="s">
        <v>570</v>
      </c>
      <c r="D23" s="883"/>
      <c r="E23" s="881">
        <v>1</v>
      </c>
      <c r="F23" s="884" t="s">
        <v>571</v>
      </c>
      <c r="G23" s="885"/>
      <c r="H23" s="877"/>
      <c r="I23" s="877"/>
    </row>
    <row r="24" spans="1:9" s="886" customFormat="1" ht="19.5" customHeight="1">
      <c r="A24" s="3661"/>
      <c r="B24" s="3661" t="s">
        <v>562</v>
      </c>
      <c r="C24" s="882" t="s">
        <v>572</v>
      </c>
      <c r="D24" s="883"/>
      <c r="E24" s="881">
        <v>0.5</v>
      </c>
      <c r="F24" s="884"/>
      <c r="G24" s="885"/>
      <c r="H24" s="877"/>
      <c r="I24" s="877"/>
    </row>
    <row r="25" spans="1:9" s="886" customFormat="1" ht="19.5" customHeight="1">
      <c r="A25" s="3661"/>
      <c r="B25" s="3661"/>
      <c r="C25" s="882" t="s">
        <v>573</v>
      </c>
      <c r="D25" s="883"/>
      <c r="E25" s="881">
        <v>1.1000000000000001</v>
      </c>
      <c r="F25" s="884"/>
      <c r="G25" s="885"/>
      <c r="H25" s="877"/>
      <c r="I25" s="877"/>
    </row>
    <row r="26" spans="1:9" s="886" customFormat="1" ht="19.5" customHeight="1">
      <c r="A26" s="3661"/>
      <c r="B26" s="3661"/>
      <c r="C26" s="882" t="s">
        <v>574</v>
      </c>
      <c r="D26" s="883"/>
      <c r="E26" s="881">
        <v>1.1000000000000001</v>
      </c>
      <c r="F26" s="884"/>
      <c r="G26" s="885"/>
      <c r="H26" s="877"/>
      <c r="I26" s="877"/>
    </row>
    <row r="27" spans="1:9" s="886" customFormat="1" ht="19.5" customHeight="1">
      <c r="A27" s="3661"/>
      <c r="B27" s="3661"/>
      <c r="C27" s="882" t="s">
        <v>575</v>
      </c>
      <c r="D27" s="883"/>
      <c r="E27" s="881">
        <v>0.9</v>
      </c>
      <c r="F27" s="884" t="s">
        <v>576</v>
      </c>
      <c r="G27" s="885"/>
      <c r="H27" s="877"/>
      <c r="I27" s="877"/>
    </row>
    <row r="28" spans="1:9" s="886" customFormat="1" ht="19.5" customHeight="1">
      <c r="A28" s="3661"/>
      <c r="B28" s="3661"/>
      <c r="C28" s="882" t="s">
        <v>577</v>
      </c>
      <c r="D28" s="883"/>
      <c r="E28" s="881">
        <v>0.9</v>
      </c>
      <c r="F28" s="884" t="s">
        <v>578</v>
      </c>
      <c r="G28" s="885"/>
      <c r="H28" s="877"/>
      <c r="I28" s="877"/>
    </row>
    <row r="29" spans="1:9" s="886" customFormat="1" ht="19.5" customHeight="1">
      <c r="A29" s="3661"/>
      <c r="B29" s="3661"/>
      <c r="C29" s="882" t="s">
        <v>579</v>
      </c>
      <c r="D29" s="883"/>
      <c r="E29" s="881">
        <v>0.9</v>
      </c>
      <c r="F29" s="884" t="s">
        <v>580</v>
      </c>
      <c r="G29" s="885"/>
      <c r="H29" s="877"/>
      <c r="I29" s="877"/>
    </row>
    <row r="30" spans="1:9" s="886" customFormat="1" ht="19.5" customHeight="1">
      <c r="A30" s="3661"/>
      <c r="B30" s="3661"/>
      <c r="C30" s="882" t="s">
        <v>581</v>
      </c>
      <c r="D30" s="883"/>
      <c r="E30" s="881">
        <v>0.9</v>
      </c>
      <c r="F30" s="884" t="s">
        <v>582</v>
      </c>
      <c r="G30" s="885"/>
      <c r="H30" s="877"/>
      <c r="I30" s="877"/>
    </row>
    <row r="31" spans="1:9" s="886" customFormat="1" ht="19.5" customHeight="1">
      <c r="A31" s="3661"/>
      <c r="B31" s="3661"/>
      <c r="C31" s="882" t="s">
        <v>583</v>
      </c>
      <c r="D31" s="883"/>
      <c r="E31" s="881">
        <v>0.8</v>
      </c>
      <c r="F31" s="884" t="s">
        <v>584</v>
      </c>
      <c r="G31" s="885"/>
      <c r="H31" s="877"/>
      <c r="I31" s="877"/>
    </row>
    <row r="32" spans="1:9" s="886" customFormat="1" ht="19.5" customHeight="1">
      <c r="A32" s="3661"/>
      <c r="B32" s="3661"/>
      <c r="C32" s="882" t="s">
        <v>585</v>
      </c>
      <c r="D32" s="883"/>
      <c r="E32" s="881">
        <v>0.8</v>
      </c>
      <c r="F32" s="884" t="s">
        <v>586</v>
      </c>
      <c r="G32" s="885"/>
      <c r="H32" s="877"/>
      <c r="I32" s="877"/>
    </row>
    <row r="33" spans="1:9" s="886" customFormat="1" ht="19.5" customHeight="1">
      <c r="A33" s="3661" t="s">
        <v>184</v>
      </c>
      <c r="B33" s="881" t="s">
        <v>559</v>
      </c>
      <c r="C33" s="882" t="s">
        <v>587</v>
      </c>
      <c r="D33" s="883"/>
      <c r="E33" s="881">
        <v>1</v>
      </c>
      <c r="F33" s="884" t="s">
        <v>588</v>
      </c>
      <c r="G33" s="885"/>
      <c r="H33" s="877"/>
      <c r="I33" s="877"/>
    </row>
    <row r="34" spans="1:9" s="886" customFormat="1" ht="19.5" customHeight="1">
      <c r="A34" s="3661"/>
      <c r="B34" s="881" t="s">
        <v>562</v>
      </c>
      <c r="C34" s="882" t="s">
        <v>589</v>
      </c>
      <c r="D34" s="883"/>
      <c r="E34" s="881">
        <v>1.5</v>
      </c>
      <c r="F34" s="884" t="s">
        <v>590</v>
      </c>
      <c r="G34" s="885"/>
      <c r="H34" s="877"/>
      <c r="I34" s="877"/>
    </row>
    <row r="35" spans="1:9" s="886" customFormat="1" ht="19.5" customHeight="1">
      <c r="A35" s="3661" t="s">
        <v>185</v>
      </c>
      <c r="B35" s="881" t="s">
        <v>559</v>
      </c>
      <c r="C35" s="882" t="s">
        <v>591</v>
      </c>
      <c r="D35" s="883"/>
      <c r="E35" s="881">
        <v>1</v>
      </c>
      <c r="F35" s="884" t="s">
        <v>592</v>
      </c>
      <c r="G35" s="885"/>
      <c r="H35" s="877"/>
      <c r="I35" s="877"/>
    </row>
    <row r="36" spans="1:9" s="886" customFormat="1" ht="19.5" customHeight="1">
      <c r="A36" s="3661"/>
      <c r="B36" s="3661" t="s">
        <v>562</v>
      </c>
      <c r="C36" s="882" t="s">
        <v>593</v>
      </c>
      <c r="D36" s="883"/>
      <c r="E36" s="881">
        <v>1</v>
      </c>
      <c r="F36" s="884" t="s">
        <v>594</v>
      </c>
      <c r="G36" s="885"/>
      <c r="H36" s="877"/>
      <c r="I36" s="877"/>
    </row>
    <row r="37" spans="1:9" s="886" customFormat="1" ht="19.5" customHeight="1">
      <c r="A37" s="3661"/>
      <c r="B37" s="3661"/>
      <c r="C37" s="882" t="s">
        <v>595</v>
      </c>
      <c r="D37" s="883"/>
      <c r="E37" s="881">
        <v>1.5</v>
      </c>
      <c r="F37" s="884" t="s">
        <v>596</v>
      </c>
      <c r="G37" s="885"/>
      <c r="H37" s="877"/>
      <c r="I37" s="877"/>
    </row>
    <row r="38" spans="1:9" s="886" customFormat="1" ht="19.5" customHeight="1">
      <c r="A38" s="3661"/>
      <c r="B38" s="3661"/>
      <c r="C38" s="882" t="s">
        <v>597</v>
      </c>
      <c r="D38" s="883"/>
      <c r="E38" s="881">
        <v>1</v>
      </c>
      <c r="F38" s="884" t="s">
        <v>598</v>
      </c>
      <c r="G38" s="885"/>
      <c r="H38" s="877"/>
      <c r="I38" s="877"/>
    </row>
    <row r="39" spans="1:9" s="886" customFormat="1" ht="19.5" customHeight="1">
      <c r="A39" s="3661"/>
      <c r="B39" s="3661"/>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661" t="s">
        <v>613</v>
      </c>
      <c r="C61" s="817" t="s">
        <v>614</v>
      </c>
      <c r="D61" s="817" t="s">
        <v>615</v>
      </c>
      <c r="E61" s="894">
        <v>0.5</v>
      </c>
      <c r="F61" s="881">
        <v>80</v>
      </c>
    </row>
    <row r="62" spans="1:8" s="877" customFormat="1" ht="24">
      <c r="A62" s="881">
        <v>2</v>
      </c>
      <c r="B62" s="3661"/>
      <c r="C62" s="817" t="s">
        <v>616</v>
      </c>
      <c r="D62" s="817" t="s">
        <v>617</v>
      </c>
      <c r="E62" s="894">
        <v>0.5</v>
      </c>
      <c r="F62" s="881">
        <v>80</v>
      </c>
    </row>
    <row r="63" spans="1:8" s="877" customFormat="1" ht="36">
      <c r="A63" s="881">
        <v>3</v>
      </c>
      <c r="B63" s="3661"/>
      <c r="C63" s="817" t="s">
        <v>618</v>
      </c>
      <c r="D63" s="817" t="s">
        <v>619</v>
      </c>
      <c r="E63" s="894">
        <v>0.5</v>
      </c>
      <c r="F63" s="881">
        <v>80</v>
      </c>
    </row>
    <row r="64" spans="1:8" s="877" customFormat="1" ht="36">
      <c r="A64" s="881">
        <v>4</v>
      </c>
      <c r="B64" s="3661"/>
      <c r="C64" s="817" t="s">
        <v>620</v>
      </c>
      <c r="D64" s="817" t="s">
        <v>621</v>
      </c>
      <c r="E64" s="894">
        <v>0.4</v>
      </c>
      <c r="F64" s="881">
        <v>60</v>
      </c>
    </row>
    <row r="65" spans="1:6" s="877" customFormat="1" ht="36">
      <c r="A65" s="881">
        <v>5</v>
      </c>
      <c r="B65" s="3661"/>
      <c r="C65" s="817" t="s">
        <v>622</v>
      </c>
      <c r="D65" s="817" t="s">
        <v>623</v>
      </c>
      <c r="E65" s="894">
        <v>0.2</v>
      </c>
      <c r="F65" s="881">
        <v>30</v>
      </c>
    </row>
    <row r="66" spans="1:6" s="877" customFormat="1" ht="36">
      <c r="A66" s="881">
        <v>6</v>
      </c>
      <c r="B66" s="3661"/>
      <c r="C66" s="817" t="s">
        <v>624</v>
      </c>
      <c r="D66" s="817" t="s">
        <v>625</v>
      </c>
      <c r="E66" s="894">
        <v>0.3</v>
      </c>
      <c r="F66" s="881">
        <v>50</v>
      </c>
    </row>
    <row r="67" spans="1:6" s="877" customFormat="1" ht="36">
      <c r="A67" s="881">
        <v>7</v>
      </c>
      <c r="B67" s="3661"/>
      <c r="C67" s="817" t="s">
        <v>626</v>
      </c>
      <c r="D67" s="817" t="s">
        <v>627</v>
      </c>
      <c r="E67" s="894">
        <v>0.2</v>
      </c>
      <c r="F67" s="881">
        <v>30</v>
      </c>
    </row>
    <row r="68" spans="1:6" s="877" customFormat="1" ht="36">
      <c r="A68" s="881">
        <v>8</v>
      </c>
      <c r="B68" s="3661"/>
      <c r="C68" s="817" t="s">
        <v>628</v>
      </c>
      <c r="D68" s="817" t="s">
        <v>629</v>
      </c>
      <c r="E68" s="894">
        <v>0.2</v>
      </c>
      <c r="F68" s="881">
        <v>30</v>
      </c>
    </row>
    <row r="69" spans="1:6" s="877" customFormat="1" ht="36">
      <c r="A69" s="881">
        <v>9</v>
      </c>
      <c r="B69" s="3661"/>
      <c r="C69" s="817" t="s">
        <v>630</v>
      </c>
      <c r="D69" s="817" t="s">
        <v>631</v>
      </c>
      <c r="E69" s="894">
        <v>0.2</v>
      </c>
      <c r="F69" s="881">
        <v>30</v>
      </c>
    </row>
    <row r="70" spans="1:6" s="877" customFormat="1" ht="48">
      <c r="A70" s="881">
        <v>10</v>
      </c>
      <c r="B70" s="3661"/>
      <c r="C70" s="817" t="s">
        <v>632</v>
      </c>
      <c r="D70" s="817" t="s">
        <v>633</v>
      </c>
      <c r="E70" s="894">
        <v>0.2</v>
      </c>
      <c r="F70" s="881">
        <v>30</v>
      </c>
    </row>
    <row r="71" spans="1:6" s="877" customFormat="1" ht="48">
      <c r="A71" s="881">
        <v>11</v>
      </c>
      <c r="B71" s="3661"/>
      <c r="C71" s="817" t="s">
        <v>634</v>
      </c>
      <c r="D71" s="817" t="s">
        <v>635</v>
      </c>
      <c r="E71" s="894">
        <v>0.2</v>
      </c>
      <c r="F71" s="881">
        <v>30</v>
      </c>
    </row>
    <row r="72" spans="1:6" s="877" customFormat="1" ht="36">
      <c r="A72" s="881">
        <v>12</v>
      </c>
      <c r="B72" s="3661"/>
      <c r="C72" s="817" t="s">
        <v>636</v>
      </c>
      <c r="D72" s="817" t="s">
        <v>637</v>
      </c>
      <c r="E72" s="894">
        <v>0.5</v>
      </c>
      <c r="F72" s="881">
        <v>80</v>
      </c>
    </row>
    <row r="73" spans="1:6" s="877" customFormat="1" ht="24">
      <c r="A73" s="881">
        <v>13</v>
      </c>
      <c r="B73" s="3661"/>
      <c r="C73" s="817" t="s">
        <v>638</v>
      </c>
      <c r="D73" s="817" t="s">
        <v>639</v>
      </c>
      <c r="E73" s="894">
        <v>0.4</v>
      </c>
      <c r="F73" s="881">
        <v>60</v>
      </c>
    </row>
    <row r="74" spans="1:6" s="877" customFormat="1" ht="24">
      <c r="A74" s="881">
        <v>14</v>
      </c>
      <c r="B74" s="3661"/>
      <c r="C74" s="817" t="s">
        <v>640</v>
      </c>
      <c r="D74" s="817" t="s">
        <v>641</v>
      </c>
      <c r="E74" s="894">
        <v>0.2</v>
      </c>
      <c r="F74" s="881">
        <v>30</v>
      </c>
    </row>
    <row r="75" spans="1:6" s="877" customFormat="1" ht="24">
      <c r="A75" s="881">
        <v>15</v>
      </c>
      <c r="B75" s="3661"/>
      <c r="C75" s="817" t="s">
        <v>642</v>
      </c>
      <c r="D75" s="817" t="s">
        <v>643</v>
      </c>
      <c r="E75" s="894">
        <v>0.2</v>
      </c>
      <c r="F75" s="881">
        <v>30</v>
      </c>
    </row>
    <row r="76" spans="1:6" s="877" customFormat="1" ht="24">
      <c r="A76" s="881">
        <v>16</v>
      </c>
      <c r="B76" s="3661" t="s">
        <v>644</v>
      </c>
      <c r="C76" s="817" t="s">
        <v>645</v>
      </c>
      <c r="D76" s="817" t="s">
        <v>646</v>
      </c>
      <c r="E76" s="894">
        <v>0.5</v>
      </c>
      <c r="F76" s="881">
        <v>80</v>
      </c>
    </row>
    <row r="77" spans="1:6" s="877" customFormat="1" ht="24">
      <c r="A77" s="881">
        <v>17</v>
      </c>
      <c r="B77" s="3661"/>
      <c r="C77" s="817" t="s">
        <v>647</v>
      </c>
      <c r="D77" s="817" t="s">
        <v>648</v>
      </c>
      <c r="E77" s="894">
        <v>0.5</v>
      </c>
      <c r="F77" s="881">
        <v>80</v>
      </c>
    </row>
    <row r="78" spans="1:6" s="877" customFormat="1" ht="24">
      <c r="A78" s="881">
        <v>18</v>
      </c>
      <c r="B78" s="3661"/>
      <c r="C78" s="817" t="s">
        <v>649</v>
      </c>
      <c r="D78" s="817" t="s">
        <v>650</v>
      </c>
      <c r="E78" s="894">
        <v>0.2</v>
      </c>
      <c r="F78" s="881">
        <v>30</v>
      </c>
    </row>
    <row r="79" spans="1:6" s="877" customFormat="1" ht="24">
      <c r="A79" s="881">
        <v>19</v>
      </c>
      <c r="B79" s="3661"/>
      <c r="C79" s="817" t="s">
        <v>651</v>
      </c>
      <c r="D79" s="817" t="s">
        <v>652</v>
      </c>
      <c r="E79" s="894">
        <v>0.5</v>
      </c>
      <c r="F79" s="881">
        <v>80</v>
      </c>
    </row>
    <row r="80" spans="1:6" s="877" customFormat="1" ht="36">
      <c r="A80" s="881">
        <v>20</v>
      </c>
      <c r="B80" s="3661"/>
      <c r="C80" s="817" t="s">
        <v>653</v>
      </c>
      <c r="D80" s="817" t="s">
        <v>654</v>
      </c>
      <c r="E80" s="894">
        <v>0.2</v>
      </c>
      <c r="F80" s="881">
        <v>30</v>
      </c>
    </row>
    <row r="81" spans="1:6" s="877" customFormat="1" ht="36">
      <c r="A81" s="881">
        <v>21</v>
      </c>
      <c r="B81" s="3661"/>
      <c r="C81" s="817" t="s">
        <v>655</v>
      </c>
      <c r="D81" s="817" t="s">
        <v>656</v>
      </c>
      <c r="E81" s="894">
        <v>0.2</v>
      </c>
      <c r="F81" s="881">
        <v>30</v>
      </c>
    </row>
    <row r="82" spans="1:6" s="877" customFormat="1" ht="48">
      <c r="A82" s="881">
        <v>22</v>
      </c>
      <c r="B82" s="3661"/>
      <c r="C82" s="817" t="s">
        <v>657</v>
      </c>
      <c r="D82" s="817" t="s">
        <v>658</v>
      </c>
      <c r="E82" s="894">
        <v>0.2</v>
      </c>
      <c r="F82" s="881">
        <v>30</v>
      </c>
    </row>
    <row r="83" spans="1:6" s="877" customFormat="1" ht="48">
      <c r="A83" s="881">
        <v>23</v>
      </c>
      <c r="B83" s="3661"/>
      <c r="C83" s="817" t="s">
        <v>659</v>
      </c>
      <c r="D83" s="817" t="s">
        <v>660</v>
      </c>
      <c r="E83" s="894">
        <v>0.2</v>
      </c>
      <c r="F83" s="881">
        <v>30</v>
      </c>
    </row>
    <row r="84" spans="1:6" s="877" customFormat="1" ht="36">
      <c r="A84" s="881">
        <v>24</v>
      </c>
      <c r="B84" s="3661"/>
      <c r="C84" s="817" t="s">
        <v>661</v>
      </c>
      <c r="D84" s="817" t="s">
        <v>662</v>
      </c>
      <c r="E84" s="894">
        <v>0.2</v>
      </c>
      <c r="F84" s="881">
        <v>30</v>
      </c>
    </row>
    <row r="85" spans="1:6" s="877" customFormat="1" ht="36">
      <c r="A85" s="881">
        <v>25</v>
      </c>
      <c r="B85" s="3661"/>
      <c r="C85" s="817" t="s">
        <v>663</v>
      </c>
      <c r="D85" s="817" t="s">
        <v>664</v>
      </c>
      <c r="E85" s="894">
        <v>0.5</v>
      </c>
      <c r="F85" s="881">
        <v>80</v>
      </c>
    </row>
    <row r="86" spans="1:6" s="877" customFormat="1" ht="36">
      <c r="A86" s="881">
        <v>26</v>
      </c>
      <c r="B86" s="3661"/>
      <c r="C86" s="817" t="s">
        <v>665</v>
      </c>
      <c r="D86" s="817" t="s">
        <v>666</v>
      </c>
      <c r="E86" s="894">
        <v>0.2</v>
      </c>
      <c r="F86" s="881">
        <v>30</v>
      </c>
    </row>
    <row r="87" spans="1:6" s="877" customFormat="1" ht="36">
      <c r="A87" s="881">
        <v>27</v>
      </c>
      <c r="B87" s="3661"/>
      <c r="C87" s="817" t="s">
        <v>667</v>
      </c>
      <c r="D87" s="817" t="s">
        <v>668</v>
      </c>
      <c r="E87" s="894">
        <v>0.2</v>
      </c>
      <c r="F87" s="881">
        <v>30</v>
      </c>
    </row>
    <row r="88" spans="1:6" s="877" customFormat="1" ht="36">
      <c r="A88" s="881">
        <v>28</v>
      </c>
      <c r="B88" s="3661"/>
      <c r="C88" s="817" t="s">
        <v>669</v>
      </c>
      <c r="D88" s="817" t="s">
        <v>670</v>
      </c>
      <c r="E88" s="894">
        <v>0.2</v>
      </c>
      <c r="F88" s="881">
        <v>30</v>
      </c>
    </row>
    <row r="89" spans="1:6" s="877" customFormat="1" ht="24">
      <c r="A89" s="881">
        <v>29</v>
      </c>
      <c r="B89" s="3661"/>
      <c r="C89" s="817" t="s">
        <v>671</v>
      </c>
      <c r="D89" s="817" t="s">
        <v>672</v>
      </c>
      <c r="E89" s="894">
        <v>0.2</v>
      </c>
      <c r="F89" s="881">
        <v>30</v>
      </c>
    </row>
    <row r="90" spans="1:6" s="877" customFormat="1" ht="24">
      <c r="A90" s="881">
        <v>30</v>
      </c>
      <c r="B90" s="3661"/>
      <c r="C90" s="817" t="s">
        <v>673</v>
      </c>
      <c r="D90" s="817" t="s">
        <v>674</v>
      </c>
      <c r="E90" s="894">
        <v>0.2</v>
      </c>
      <c r="F90" s="881">
        <v>30</v>
      </c>
    </row>
    <row r="91" spans="1:6" s="877" customFormat="1" ht="36">
      <c r="A91" s="881">
        <v>31</v>
      </c>
      <c r="B91" s="3661"/>
      <c r="C91" s="817" t="s">
        <v>675</v>
      </c>
      <c r="D91" s="817" t="s">
        <v>676</v>
      </c>
      <c r="E91" s="894">
        <v>0.2</v>
      </c>
      <c r="F91" s="881">
        <v>30</v>
      </c>
    </row>
    <row r="92" spans="1:6" s="877" customFormat="1" ht="24">
      <c r="A92" s="881">
        <v>32</v>
      </c>
      <c r="B92" s="3661" t="s">
        <v>677</v>
      </c>
      <c r="C92" s="881" t="s">
        <v>678</v>
      </c>
      <c r="D92" s="817" t="s">
        <v>679</v>
      </c>
      <c r="E92" s="894">
        <v>0.2</v>
      </c>
      <c r="F92" s="881">
        <v>30</v>
      </c>
    </row>
    <row r="93" spans="1:6" s="877" customFormat="1" ht="36">
      <c r="A93" s="881">
        <v>33</v>
      </c>
      <c r="B93" s="3661"/>
      <c r="C93" s="881" t="s">
        <v>680</v>
      </c>
      <c r="D93" s="817" t="s">
        <v>681</v>
      </c>
      <c r="E93" s="894">
        <v>0.2</v>
      </c>
      <c r="F93" s="881">
        <v>30</v>
      </c>
    </row>
    <row r="94" spans="1:6" s="877" customFormat="1" ht="48">
      <c r="A94" s="881">
        <v>34</v>
      </c>
      <c r="B94" s="3661"/>
      <c r="C94" s="881" t="s">
        <v>682</v>
      </c>
      <c r="D94" s="817" t="s">
        <v>683</v>
      </c>
      <c r="E94" s="894">
        <v>0.2</v>
      </c>
      <c r="F94" s="881">
        <v>30</v>
      </c>
    </row>
    <row r="95" spans="1:6" s="877" customFormat="1" ht="36">
      <c r="A95" s="881">
        <v>35</v>
      </c>
      <c r="B95" s="3661"/>
      <c r="C95" s="881" t="s">
        <v>684</v>
      </c>
      <c r="D95" s="817" t="s">
        <v>685</v>
      </c>
      <c r="E95" s="894">
        <v>0.2</v>
      </c>
      <c r="F95" s="881">
        <v>30</v>
      </c>
    </row>
    <row r="96" spans="1:6" s="877" customFormat="1" ht="48">
      <c r="A96" s="881">
        <v>36</v>
      </c>
      <c r="B96" s="3661"/>
      <c r="C96" s="817" t="s">
        <v>686</v>
      </c>
      <c r="D96" s="817" t="s">
        <v>687</v>
      </c>
      <c r="E96" s="894">
        <v>0.2</v>
      </c>
      <c r="F96" s="881">
        <v>30</v>
      </c>
    </row>
    <row r="97" spans="1:6" s="877" customFormat="1" ht="36">
      <c r="A97" s="881">
        <v>37</v>
      </c>
      <c r="B97" s="3661"/>
      <c r="C97" s="881" t="s">
        <v>688</v>
      </c>
      <c r="D97" s="817" t="s">
        <v>689</v>
      </c>
      <c r="E97" s="894">
        <v>0.2</v>
      </c>
      <c r="F97" s="881">
        <v>30</v>
      </c>
    </row>
    <row r="98" spans="1:6" s="877" customFormat="1" ht="36">
      <c r="A98" s="881">
        <v>38</v>
      </c>
      <c r="B98" s="3661"/>
      <c r="C98" s="881" t="s">
        <v>690</v>
      </c>
      <c r="D98" s="817" t="s">
        <v>691</v>
      </c>
      <c r="E98" s="894">
        <v>0.2</v>
      </c>
      <c r="F98" s="881">
        <v>30</v>
      </c>
    </row>
    <row r="99" spans="1:6" s="877" customFormat="1" ht="36">
      <c r="A99" s="881">
        <v>39</v>
      </c>
      <c r="B99" s="3661" t="s">
        <v>692</v>
      </c>
      <c r="C99" s="881" t="s">
        <v>693</v>
      </c>
      <c r="D99" s="817" t="s">
        <v>694</v>
      </c>
      <c r="E99" s="894">
        <v>0.3</v>
      </c>
      <c r="F99" s="881">
        <v>50</v>
      </c>
    </row>
    <row r="100" spans="1:6" s="877" customFormat="1" ht="24">
      <c r="A100" s="881">
        <v>40</v>
      </c>
      <c r="B100" s="3661"/>
      <c r="C100" s="881" t="s">
        <v>695</v>
      </c>
      <c r="D100" s="817" t="s">
        <v>696</v>
      </c>
      <c r="E100" s="894">
        <v>0.2</v>
      </c>
      <c r="F100" s="881">
        <v>30</v>
      </c>
    </row>
    <row r="101" spans="1:6" s="877" customFormat="1" ht="36">
      <c r="A101" s="881">
        <v>41</v>
      </c>
      <c r="B101" s="3661"/>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661" t="s">
        <v>707</v>
      </c>
      <c r="C105" s="881" t="s">
        <v>708</v>
      </c>
      <c r="D105" s="817" t="s">
        <v>709</v>
      </c>
      <c r="E105" s="894">
        <v>0.2</v>
      </c>
      <c r="F105" s="881">
        <v>30</v>
      </c>
    </row>
    <row r="106" spans="1:6" s="877" customFormat="1" ht="36">
      <c r="A106" s="881">
        <v>46</v>
      </c>
      <c r="B106" s="3661"/>
      <c r="C106" s="881" t="s">
        <v>710</v>
      </c>
      <c r="D106" s="817" t="s">
        <v>711</v>
      </c>
      <c r="E106" s="894">
        <v>0.2</v>
      </c>
      <c r="F106" s="881">
        <v>30</v>
      </c>
    </row>
    <row r="107" spans="1:6" s="877" customFormat="1" ht="36">
      <c r="A107" s="881">
        <v>47</v>
      </c>
      <c r="B107" s="3661" t="s">
        <v>712</v>
      </c>
      <c r="C107" s="881" t="s">
        <v>713</v>
      </c>
      <c r="D107" s="817" t="s">
        <v>714</v>
      </c>
      <c r="E107" s="894">
        <v>0.3</v>
      </c>
      <c r="F107" s="881">
        <v>50</v>
      </c>
    </row>
    <row r="108" spans="1:6" s="877" customFormat="1" ht="36">
      <c r="A108" s="881">
        <v>48</v>
      </c>
      <c r="B108" s="3661"/>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661" t="s">
        <v>723</v>
      </c>
      <c r="C111" s="881" t="s">
        <v>724</v>
      </c>
      <c r="D111" s="817" t="s">
        <v>725</v>
      </c>
      <c r="E111" s="894">
        <v>0.2</v>
      </c>
      <c r="F111" s="881">
        <v>30</v>
      </c>
    </row>
    <row r="112" spans="1:6" s="877" customFormat="1" ht="24">
      <c r="A112" s="881">
        <v>52</v>
      </c>
      <c r="B112" s="3661"/>
      <c r="C112" s="881" t="s">
        <v>726</v>
      </c>
      <c r="D112" s="817" t="s">
        <v>727</v>
      </c>
      <c r="E112" s="894">
        <v>0.2</v>
      </c>
      <c r="F112" s="881">
        <v>30</v>
      </c>
    </row>
    <row r="113" spans="1:6" s="877" customFormat="1" ht="24">
      <c r="A113" s="881">
        <v>53</v>
      </c>
      <c r="B113" s="3661"/>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661" t="s">
        <v>736</v>
      </c>
      <c r="C116" s="881" t="s">
        <v>737</v>
      </c>
      <c r="D116" s="817" t="s">
        <v>738</v>
      </c>
      <c r="E116" s="894">
        <v>0.2</v>
      </c>
      <c r="F116" s="881">
        <v>30</v>
      </c>
    </row>
    <row r="117" spans="1:6" ht="36">
      <c r="A117" s="881">
        <v>57</v>
      </c>
      <c r="B117" s="3661"/>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0.93410000000000004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2959</v>
      </c>
    </row>
    <row r="2" spans="1:5" ht="15.75">
      <c r="A2" s="2907" t="s">
        <v>2951</v>
      </c>
      <c r="B2" s="2908">
        <f ca="1">SUMIF(B6:B13,"&lt;&gt;#ref!",B6:B13)</f>
        <v>102302</v>
      </c>
      <c r="C2" s="2907" t="s">
        <v>2952</v>
      </c>
      <c r="D2" s="2907" t="s">
        <v>2953</v>
      </c>
      <c r="E2" s="2908" t="e">
        <f ca="1">SUM(E6:E13)</f>
        <v>#REF!</v>
      </c>
    </row>
    <row r="3" spans="1:5" ht="15.75">
      <c r="A3" s="2907" t="s">
        <v>2954</v>
      </c>
      <c r="B3" s="2908" t="e">
        <f ca="1">ROUND(B2*10000/E2,0)</f>
        <v>#REF!</v>
      </c>
      <c r="C3" s="2907" t="s">
        <v>2960</v>
      </c>
      <c r="D3" s="2909"/>
      <c r="E3" s="2909"/>
    </row>
    <row r="4" spans="1:5" ht="15.75">
      <c r="A4" s="2910"/>
      <c r="B4" s="2909"/>
      <c r="C4" s="2909"/>
      <c r="D4" s="2909"/>
      <c r="E4" s="2909"/>
    </row>
    <row r="5" spans="1:5" ht="28.5">
      <c r="A5" s="2911" t="s">
        <v>2955</v>
      </c>
      <c r="B5" s="2907" t="s">
        <v>2956</v>
      </c>
      <c r="C5" s="2908"/>
      <c r="D5" s="2909"/>
      <c r="E5" s="2907" t="s">
        <v>2957</v>
      </c>
    </row>
    <row r="6" spans="1:5" ht="15.75">
      <c r="A6" s="2912" t="s">
        <v>2958</v>
      </c>
      <c r="B6" s="2908">
        <f ca="1">SUMIF(INDIRECT("'"&amp;A6&amp;"'"&amp;"!A:A"),"总价",INDIRECT("'"&amp;A6&amp;"'"&amp;"!B:B"))</f>
        <v>102302</v>
      </c>
      <c r="C6" s="2907" t="s">
        <v>2952</v>
      </c>
      <c r="D6" s="2909"/>
      <c r="E6" s="2572">
        <f ca="1">SUMIF(INDIRECT("'"&amp;A6&amp;"'"&amp;"!C:C"),"建筑面积",INDIRECT("'"&amp;A6&amp;"'"&amp;"!D:D"))</f>
        <v>43486.11</v>
      </c>
    </row>
    <row r="7" spans="1:5" ht="15.75">
      <c r="A7" s="2912"/>
      <c r="B7" s="2908" t="e">
        <f ca="1">SUMIF(INDIRECT("'"&amp;A7&amp;"'"&amp;"!A:A"),"总价",INDIRECT("'"&amp;A7&amp;"'"&amp;"!B:B"))</f>
        <v>#REF!</v>
      </c>
      <c r="C7" s="2907" t="s">
        <v>2952</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2952</v>
      </c>
      <c r="D8" s="2909"/>
      <c r="E8" s="2572" t="e">
        <f t="shared" ca="1" si="0"/>
        <v>#REF!</v>
      </c>
    </row>
    <row r="9" spans="1:5" ht="15.75">
      <c r="A9" s="2912"/>
      <c r="B9" s="2908" t="e">
        <f t="shared" ca="1" si="1"/>
        <v>#REF!</v>
      </c>
      <c r="C9" s="2907" t="s">
        <v>2952</v>
      </c>
      <c r="D9" s="2909"/>
      <c r="E9" s="2572" t="e">
        <f t="shared" ca="1" si="0"/>
        <v>#REF!</v>
      </c>
    </row>
    <row r="10" spans="1:5" ht="15.75">
      <c r="A10" s="2912"/>
      <c r="B10" s="2908" t="e">
        <f t="shared" ca="1" si="1"/>
        <v>#REF!</v>
      </c>
      <c r="C10" s="2907" t="s">
        <v>2952</v>
      </c>
      <c r="D10" s="2909"/>
      <c r="E10" s="2572" t="e">
        <f t="shared" ca="1" si="0"/>
        <v>#REF!</v>
      </c>
    </row>
    <row r="11" spans="1:5" ht="15.75">
      <c r="A11" s="2912"/>
      <c r="B11" s="2908" t="e">
        <f t="shared" ca="1" si="1"/>
        <v>#REF!</v>
      </c>
      <c r="C11" s="2907" t="s">
        <v>2952</v>
      </c>
      <c r="D11" s="2909"/>
      <c r="E11" s="2572" t="e">
        <f t="shared" ca="1" si="0"/>
        <v>#REF!</v>
      </c>
    </row>
    <row r="12" spans="1:5" ht="15.75">
      <c r="A12" s="2912"/>
      <c r="B12" s="2908" t="e">
        <f t="shared" ca="1" si="1"/>
        <v>#REF!</v>
      </c>
      <c r="C12" s="2907" t="s">
        <v>2952</v>
      </c>
      <c r="D12" s="2909"/>
      <c r="E12" s="2572" t="e">
        <f t="shared" ca="1" si="0"/>
        <v>#REF!</v>
      </c>
    </row>
    <row r="13" spans="1:5" ht="15.75">
      <c r="A13" s="2912"/>
      <c r="B13" s="2908" t="e">
        <f t="shared" ca="1" si="1"/>
        <v>#REF!</v>
      </c>
      <c r="C13" s="2907" t="s">
        <v>2952</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667" t="s">
        <v>1145</v>
      </c>
      <c r="C1" s="3667"/>
      <c r="D1" s="3667"/>
      <c r="E1" s="3667"/>
      <c r="F1" s="3667"/>
      <c r="G1" s="3663" t="s">
        <v>1146</v>
      </c>
      <c r="H1" s="3663"/>
      <c r="I1" s="3663"/>
      <c r="J1" s="3663"/>
      <c r="K1" s="3663"/>
      <c r="L1" s="3663"/>
      <c r="N1" s="3663" t="s">
        <v>1147</v>
      </c>
      <c r="O1" s="3663"/>
      <c r="P1" s="3663"/>
      <c r="Q1" s="3663"/>
      <c r="R1" s="1448"/>
      <c r="S1" s="3663" t="s">
        <v>1148</v>
      </c>
      <c r="T1" s="3663"/>
      <c r="U1" s="3663"/>
      <c r="V1" s="3663"/>
      <c r="X1" s="3662" t="s">
        <v>1149</v>
      </c>
      <c r="Y1" s="3663"/>
      <c r="Z1" s="3663"/>
      <c r="AA1" s="3663"/>
      <c r="AB1" s="3663"/>
      <c r="AD1" s="3662" t="s">
        <v>1150</v>
      </c>
      <c r="AE1" s="3663"/>
      <c r="AF1" s="3663"/>
      <c r="AG1" s="3663"/>
      <c r="AH1" s="3663"/>
    </row>
    <row r="2" spans="1:34" s="1449" customFormat="1" ht="14.25" thickBot="1">
      <c r="B2" s="1450" t="s">
        <v>1151</v>
      </c>
      <c r="C2" s="1450" t="s">
        <v>1152</v>
      </c>
      <c r="D2" s="1451" t="s">
        <v>1153</v>
      </c>
      <c r="E2" s="1451" t="s">
        <v>1154</v>
      </c>
      <c r="F2" s="1450" t="s">
        <v>1155</v>
      </c>
      <c r="G2" s="1452"/>
      <c r="H2" s="1453"/>
      <c r="I2" s="1450" t="s">
        <v>1151</v>
      </c>
      <c r="J2" s="1451" t="s">
        <v>1381</v>
      </c>
      <c r="K2" s="1451" t="s">
        <v>750</v>
      </c>
      <c r="L2" s="1450" t="s">
        <v>1155</v>
      </c>
      <c r="N2" s="1450" t="s">
        <v>1151</v>
      </c>
      <c r="O2" s="1451" t="s">
        <v>1381</v>
      </c>
      <c r="P2" s="1451" t="s">
        <v>750</v>
      </c>
      <c r="Q2" s="1450" t="s">
        <v>1155</v>
      </c>
      <c r="R2" s="1454"/>
      <c r="S2" s="1450" t="s">
        <v>1151</v>
      </c>
      <c r="T2" s="1451" t="s">
        <v>1381</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1455" customFormat="1" ht="14.25">
      <c r="B3" s="1456"/>
      <c r="C3" s="1456"/>
      <c r="D3" s="1457"/>
      <c r="E3" s="1457"/>
      <c r="F3" s="1456"/>
      <c r="G3" s="1458"/>
      <c r="H3" s="1459"/>
      <c r="I3" s="2921"/>
      <c r="J3" s="2921"/>
      <c r="K3" s="2921"/>
      <c r="L3" s="292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2996</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1">
        <f>ROUND(AVERAGE(I5:I20),2)</f>
        <v>2.4900000000000002</v>
      </c>
      <c r="J4" s="2921">
        <f t="shared" ref="J4:L4" si="7">ROUND(AVERAGE(J5:J20),2)</f>
        <v>1.64</v>
      </c>
      <c r="K4" s="2921">
        <f t="shared" si="7"/>
        <v>2.78</v>
      </c>
      <c r="L4" s="292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2994</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2995</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1157</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1382</v>
      </c>
      <c r="B7" s="1480">
        <f t="shared" si="20"/>
        <v>419.31181600000002</v>
      </c>
      <c r="C7" s="1480">
        <f t="shared" si="21"/>
        <v>313.95436800000004</v>
      </c>
      <c r="D7" s="1480">
        <f t="shared" si="22"/>
        <v>313.95436800000004</v>
      </c>
      <c r="E7" s="1480">
        <f t="shared" si="23"/>
        <v>596.63028431999999</v>
      </c>
      <c r="F7" s="1480">
        <f t="shared" si="24"/>
        <v>274.74220703999998</v>
      </c>
      <c r="G7" s="291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1156</v>
      </c>
      <c r="B8" s="1480">
        <f>B9*(1+N8)</f>
        <v>405.524</v>
      </c>
      <c r="C8" s="1480">
        <f>C9*(1+O8)</f>
        <v>307.79840000000002</v>
      </c>
      <c r="D8" s="1480">
        <f>C8</f>
        <v>307.79840000000002</v>
      </c>
      <c r="E8" s="1480">
        <f>E9*(1+P8)</f>
        <v>574.67759999999998</v>
      </c>
      <c r="F8" s="1480">
        <f>F9*(1+Q8)</f>
        <v>270.20280000000002</v>
      </c>
      <c r="G8" s="292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153</v>
      </c>
      <c r="B9" s="1472">
        <v>392</v>
      </c>
      <c r="C9" s="1472">
        <v>302</v>
      </c>
      <c r="D9" s="1472">
        <f>C9</f>
        <v>302</v>
      </c>
      <c r="E9" s="1472">
        <v>553</v>
      </c>
      <c r="F9" s="1473">
        <v>266</v>
      </c>
      <c r="G9" s="3668">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152</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665"/>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142</v>
      </c>
      <c r="B11" s="1480">
        <f t="shared" si="33"/>
        <v>360.06949782209392</v>
      </c>
      <c r="C11" s="1480">
        <f t="shared" si="33"/>
        <v>289.84672674747821</v>
      </c>
      <c r="D11" s="1480">
        <f t="shared" si="34"/>
        <v>289.84672674747821</v>
      </c>
      <c r="E11" s="1480">
        <f t="shared" si="35"/>
        <v>501.06543001181495</v>
      </c>
      <c r="F11" s="1480">
        <f t="shared" si="35"/>
        <v>256.82882500744967</v>
      </c>
      <c r="G11" s="3665"/>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151</v>
      </c>
      <c r="B12" s="1480">
        <f t="shared" si="33"/>
        <v>346.720748986128</v>
      </c>
      <c r="C12" s="1480">
        <f t="shared" si="33"/>
        <v>284.30282172386285</v>
      </c>
      <c r="D12" s="1480">
        <f t="shared" si="34"/>
        <v>284.30282172386285</v>
      </c>
      <c r="E12" s="1480">
        <f t="shared" si="35"/>
        <v>479.58023546306947</v>
      </c>
      <c r="F12" s="1480">
        <f t="shared" si="35"/>
        <v>253.25788877571213</v>
      </c>
      <c r="G12" s="3666"/>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150</v>
      </c>
      <c r="B13" s="1472">
        <v>333</v>
      </c>
      <c r="C13" s="1472">
        <v>277</v>
      </c>
      <c r="D13" s="1472">
        <f t="shared" si="34"/>
        <v>277</v>
      </c>
      <c r="E13" s="1472">
        <v>459</v>
      </c>
      <c r="F13" s="1473">
        <v>249</v>
      </c>
      <c r="G13" s="3664">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149</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665"/>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148</v>
      </c>
      <c r="B15" s="1480">
        <f t="shared" si="37"/>
        <v>322.34053690220776</v>
      </c>
      <c r="C15" s="1480">
        <f t="shared" si="37"/>
        <v>271.46160770422546</v>
      </c>
      <c r="D15" s="1480">
        <f t="shared" si="34"/>
        <v>271.46160770422546</v>
      </c>
      <c r="E15" s="1480">
        <f t="shared" si="38"/>
        <v>442.69434542172456</v>
      </c>
      <c r="F15" s="1480">
        <f t="shared" si="38"/>
        <v>241.34030753190925</v>
      </c>
      <c r="G15" s="3665"/>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147</v>
      </c>
      <c r="B16" s="1480">
        <f t="shared" si="37"/>
        <v>319.87748030386797</v>
      </c>
      <c r="C16" s="1480">
        <f t="shared" si="37"/>
        <v>269.60135833173649</v>
      </c>
      <c r="D16" s="1480">
        <f t="shared" si="34"/>
        <v>269.60135833173649</v>
      </c>
      <c r="E16" s="1480">
        <f t="shared" si="38"/>
        <v>439.18089823583784</v>
      </c>
      <c r="F16" s="1480">
        <f t="shared" si="38"/>
        <v>239.23503918706311</v>
      </c>
      <c r="G16" s="3666"/>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146</v>
      </c>
      <c r="B17" s="1493">
        <v>318</v>
      </c>
      <c r="C17" s="1493">
        <v>268</v>
      </c>
      <c r="D17" s="1493">
        <f t="shared" si="34"/>
        <v>268</v>
      </c>
      <c r="E17" s="1493">
        <v>437</v>
      </c>
      <c r="F17" s="1494">
        <v>237</v>
      </c>
      <c r="G17" s="3664">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145</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665"/>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144</v>
      </c>
      <c r="B19" s="1480">
        <f t="shared" si="39"/>
        <v>314.72141172386546</v>
      </c>
      <c r="C19" s="1480">
        <f t="shared" si="39"/>
        <v>263.03901319069001</v>
      </c>
      <c r="D19" s="1480">
        <f t="shared" si="34"/>
        <v>263.03901319069001</v>
      </c>
      <c r="E19" s="1480">
        <f t="shared" si="40"/>
        <v>433.65745506782821</v>
      </c>
      <c r="F19" s="1480">
        <f t="shared" si="40"/>
        <v>233.23005080045735</v>
      </c>
      <c r="G19" s="3665"/>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143</v>
      </c>
      <c r="B20" s="1498">
        <f t="shared" si="39"/>
        <v>307.34512863658733</v>
      </c>
      <c r="C20" s="1498">
        <f t="shared" si="39"/>
        <v>257.80556031626975</v>
      </c>
      <c r="D20" s="1498">
        <f t="shared" si="34"/>
        <v>257.80556031626975</v>
      </c>
      <c r="E20" s="1498">
        <f t="shared" si="40"/>
        <v>422.70928459677179</v>
      </c>
      <c r="F20" s="1498">
        <f t="shared" si="40"/>
        <v>229.73803270336617</v>
      </c>
      <c r="G20" s="3666"/>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1158</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1159</v>
      </c>
      <c r="B21" s="1472">
        <v>299</v>
      </c>
      <c r="C21" s="1472">
        <v>252</v>
      </c>
      <c r="D21" s="1472">
        <f t="shared" si="34"/>
        <v>252</v>
      </c>
      <c r="E21" s="1472">
        <v>409</v>
      </c>
      <c r="F21" s="1473">
        <v>227</v>
      </c>
      <c r="G21" s="3669">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1160</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670"/>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1161</v>
      </c>
      <c r="B23" s="1480">
        <f t="shared" si="43"/>
        <v>288.2649053828776</v>
      </c>
      <c r="C23" s="1480">
        <f t="shared" si="43"/>
        <v>243.64564425013293</v>
      </c>
      <c r="D23" s="1480">
        <f t="shared" si="34"/>
        <v>243.64564425013293</v>
      </c>
      <c r="E23" s="1480">
        <f t="shared" si="44"/>
        <v>393.31080825986544</v>
      </c>
      <c r="F23" s="1480">
        <f t="shared" si="44"/>
        <v>223.07903790551154</v>
      </c>
      <c r="G23" s="3670"/>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1162</v>
      </c>
      <c r="B24" s="1480">
        <f t="shared" si="43"/>
        <v>282.50186729015837</v>
      </c>
      <c r="C24" s="1480">
        <f t="shared" si="43"/>
        <v>238.09796174155468</v>
      </c>
      <c r="D24" s="1480">
        <f t="shared" si="34"/>
        <v>238.09796174155468</v>
      </c>
      <c r="E24" s="1480">
        <f t="shared" si="44"/>
        <v>385.33438646014054</v>
      </c>
      <c r="F24" s="1480">
        <f t="shared" si="44"/>
        <v>221.55034055567739</v>
      </c>
      <c r="G24" s="3671"/>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1163</v>
      </c>
      <c r="B25" s="1514">
        <v>278</v>
      </c>
      <c r="C25" s="1514">
        <v>234</v>
      </c>
      <c r="D25" s="1514">
        <f t="shared" si="34"/>
        <v>234</v>
      </c>
      <c r="E25" s="1514">
        <v>379</v>
      </c>
      <c r="F25" s="1515">
        <v>220</v>
      </c>
      <c r="G25" s="3664">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1164</v>
      </c>
      <c r="B26" s="1480">
        <f>B25/(1+N25)</f>
        <v>275.49301357645425</v>
      </c>
      <c r="C26" s="1480">
        <f>C25/(1+O25)</f>
        <v>232.41954707985698</v>
      </c>
      <c r="D26" s="1480">
        <f t="shared" si="34"/>
        <v>232.41954707985698</v>
      </c>
      <c r="E26" s="1480">
        <f t="shared" ref="E26:F28" si="45">E25/(1+P25)</f>
        <v>375.32184591008121</v>
      </c>
      <c r="F26" s="1480">
        <f t="shared" si="45"/>
        <v>218.03766105054513</v>
      </c>
      <c r="G26" s="3665"/>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1165</v>
      </c>
      <c r="B27" s="1480">
        <f>B26/(1+N26)</f>
        <v>275.24529281292263</v>
      </c>
      <c r="C27" s="1480">
        <f>C26/(1+O26)</f>
        <v>231.74747938962707</v>
      </c>
      <c r="D27" s="1480">
        <f t="shared" si="34"/>
        <v>231.74747938962707</v>
      </c>
      <c r="E27" s="1480">
        <f t="shared" si="45"/>
        <v>375.35938184826603</v>
      </c>
      <c r="F27" s="1480">
        <f t="shared" si="45"/>
        <v>216.78033510692495</v>
      </c>
      <c r="G27" s="3665"/>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1166</v>
      </c>
      <c r="B28" s="1480">
        <f>B27/(1+N27)</f>
        <v>275.19025476197027</v>
      </c>
      <c r="C28" s="1516">
        <v>232</v>
      </c>
      <c r="D28" s="1516">
        <f t="shared" si="34"/>
        <v>232</v>
      </c>
      <c r="E28" s="1480">
        <f t="shared" si="45"/>
        <v>375.65990977608692</v>
      </c>
      <c r="F28" s="1480">
        <f t="shared" si="45"/>
        <v>214.12518283971252</v>
      </c>
      <c r="G28" s="3666"/>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1167</v>
      </c>
      <c r="B29" s="1472">
        <v>275</v>
      </c>
      <c r="C29" s="1472">
        <v>232</v>
      </c>
      <c r="D29" s="1472">
        <f t="shared" si="34"/>
        <v>232</v>
      </c>
      <c r="E29" s="1472">
        <v>376</v>
      </c>
      <c r="F29" s="1473">
        <v>213</v>
      </c>
      <c r="G29" s="3664">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1168</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665">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1169</v>
      </c>
      <c r="B31" s="1480">
        <f t="shared" si="46"/>
        <v>275.19335084830601</v>
      </c>
      <c r="C31" s="1480">
        <f t="shared" si="46"/>
        <v>230.18088050139744</v>
      </c>
      <c r="D31" s="1480">
        <f t="shared" si="34"/>
        <v>230.18088050139744</v>
      </c>
      <c r="E31" s="1480">
        <f t="shared" si="47"/>
        <v>377.58482925212331</v>
      </c>
      <c r="F31" s="1480">
        <f t="shared" si="47"/>
        <v>210.90687997847917</v>
      </c>
      <c r="G31" s="3665">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1170</v>
      </c>
      <c r="B32" s="1480">
        <f t="shared" si="46"/>
        <v>276.29854502841971</v>
      </c>
      <c r="C32" s="1480">
        <f t="shared" si="46"/>
        <v>229.79023709833027</v>
      </c>
      <c r="D32" s="1480">
        <f t="shared" si="34"/>
        <v>229.79023709833027</v>
      </c>
      <c r="E32" s="1480">
        <f t="shared" si="47"/>
        <v>379.78759731655936</v>
      </c>
      <c r="F32" s="1480">
        <f t="shared" si="47"/>
        <v>211.32953905659235</v>
      </c>
      <c r="G32" s="3666">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1171</v>
      </c>
      <c r="B33" s="1472">
        <v>269</v>
      </c>
      <c r="C33" s="1472">
        <v>221</v>
      </c>
      <c r="D33" s="1472">
        <f t="shared" si="34"/>
        <v>221</v>
      </c>
      <c r="E33" s="1472">
        <v>373</v>
      </c>
      <c r="F33" s="1473">
        <v>196</v>
      </c>
      <c r="G33" s="3664">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1172</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665">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1173</v>
      </c>
      <c r="B35" s="1480">
        <f t="shared" si="48"/>
        <v>242.95398227588385</v>
      </c>
      <c r="C35" s="1480">
        <f t="shared" si="48"/>
        <v>199.59137053614126</v>
      </c>
      <c r="D35" s="1480">
        <f t="shared" si="34"/>
        <v>199.59137053614126</v>
      </c>
      <c r="E35" s="1480">
        <f t="shared" si="49"/>
        <v>335.92189522342125</v>
      </c>
      <c r="F35" s="1480">
        <f t="shared" si="49"/>
        <v>183.10139991109489</v>
      </c>
      <c r="G35" s="3665">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1174</v>
      </c>
      <c r="B36" s="1480">
        <f t="shared" si="48"/>
        <v>232.06990378821649</v>
      </c>
      <c r="C36" s="1480">
        <f t="shared" si="48"/>
        <v>192.74878854286936</v>
      </c>
      <c r="D36" s="1480">
        <f t="shared" si="34"/>
        <v>192.74878854286936</v>
      </c>
      <c r="E36" s="1480">
        <f t="shared" si="49"/>
        <v>319.71247284992984</v>
      </c>
      <c r="F36" s="1480">
        <f t="shared" si="49"/>
        <v>175.67053622862409</v>
      </c>
      <c r="G36" s="3666">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1175</v>
      </c>
      <c r="B37" s="1472">
        <v>220</v>
      </c>
      <c r="C37" s="1472">
        <v>187</v>
      </c>
      <c r="D37" s="1472">
        <f t="shared" si="34"/>
        <v>187</v>
      </c>
      <c r="E37" s="1472">
        <v>301</v>
      </c>
      <c r="F37" s="1473">
        <v>168</v>
      </c>
      <c r="G37" s="3664">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1176</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665">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1177</v>
      </c>
      <c r="B39" s="1480">
        <f t="shared" si="50"/>
        <v>210.630522469011</v>
      </c>
      <c r="C39" s="1480">
        <f t="shared" si="50"/>
        <v>181.69567812247232</v>
      </c>
      <c r="D39" s="1480">
        <f t="shared" si="34"/>
        <v>181.69567812247232</v>
      </c>
      <c r="E39" s="1480">
        <f t="shared" si="51"/>
        <v>286.13517466736738</v>
      </c>
      <c r="F39" s="1480">
        <f t="shared" si="51"/>
        <v>165.47535084591149</v>
      </c>
      <c r="G39" s="3665">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1178</v>
      </c>
      <c r="B40" s="1480">
        <f t="shared" si="50"/>
        <v>208.83454537875372</v>
      </c>
      <c r="C40" s="1480">
        <f t="shared" si="50"/>
        <v>183.77230517090351</v>
      </c>
      <c r="D40" s="1480">
        <f t="shared" si="34"/>
        <v>183.77230517090351</v>
      </c>
      <c r="E40" s="1480">
        <f t="shared" si="51"/>
        <v>281.10342338870947</v>
      </c>
      <c r="F40" s="1480">
        <f t="shared" si="51"/>
        <v>168.97309388942256</v>
      </c>
      <c r="G40" s="3666">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1179</v>
      </c>
      <c r="B41" s="1514">
        <v>214</v>
      </c>
      <c r="C41" s="1514">
        <v>188</v>
      </c>
      <c r="D41" s="1514">
        <f t="shared" si="34"/>
        <v>188</v>
      </c>
      <c r="E41" s="1514">
        <v>289</v>
      </c>
      <c r="F41" s="1515">
        <v>166</v>
      </c>
      <c r="G41" s="3664">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1180</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665">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1181</v>
      </c>
      <c r="B43" s="1480">
        <f t="shared" si="52"/>
        <v>206.31694671589116</v>
      </c>
      <c r="C43" s="1480">
        <f t="shared" si="52"/>
        <v>183.61041121036101</v>
      </c>
      <c r="D43" s="1480">
        <f t="shared" si="34"/>
        <v>183.61041121036101</v>
      </c>
      <c r="E43" s="1480">
        <f t="shared" si="53"/>
        <v>276.66850301795557</v>
      </c>
      <c r="F43" s="1480">
        <f t="shared" si="53"/>
        <v>165.1360938278614</v>
      </c>
      <c r="G43" s="3665">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1182</v>
      </c>
      <c r="B44" s="1517">
        <f t="shared" si="52"/>
        <v>196.62341248059772</v>
      </c>
      <c r="C44" s="1517">
        <f t="shared" si="52"/>
        <v>170.99125648199012</v>
      </c>
      <c r="D44" s="1517">
        <f t="shared" si="34"/>
        <v>170.99125648199012</v>
      </c>
      <c r="E44" s="1517">
        <f t="shared" si="53"/>
        <v>266.07857570490052</v>
      </c>
      <c r="F44" s="1517">
        <f t="shared" si="53"/>
        <v>154.53499328828505</v>
      </c>
      <c r="G44" s="3666">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1183</v>
      </c>
      <c r="B45" s="1472">
        <v>188</v>
      </c>
      <c r="C45" s="1472">
        <v>165</v>
      </c>
      <c r="D45" s="1472">
        <f t="shared" si="34"/>
        <v>165</v>
      </c>
      <c r="E45" s="1472">
        <v>254</v>
      </c>
      <c r="F45" s="1473">
        <v>148</v>
      </c>
      <c r="G45" s="3664">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1184</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665">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1185</v>
      </c>
      <c r="B47" s="1480">
        <f t="shared" si="56"/>
        <v>168.82017748715555</v>
      </c>
      <c r="C47" s="1480">
        <f t="shared" si="56"/>
        <v>148.06267029972753</v>
      </c>
      <c r="D47" s="1480">
        <f t="shared" si="34"/>
        <v>148.06267029972753</v>
      </c>
      <c r="E47" s="1480">
        <f t="shared" si="57"/>
        <v>216.46288379323747</v>
      </c>
      <c r="F47" s="1480">
        <f t="shared" si="57"/>
        <v>134.23529411764704</v>
      </c>
      <c r="G47" s="3665">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1186</v>
      </c>
      <c r="B48" s="1480">
        <f t="shared" si="56"/>
        <v>163.84913591779542</v>
      </c>
      <c r="C48" s="1480">
        <f t="shared" si="56"/>
        <v>145.0283378746594</v>
      </c>
      <c r="D48" s="1480">
        <f t="shared" si="34"/>
        <v>145.0283378746594</v>
      </c>
      <c r="E48" s="1480">
        <f t="shared" si="57"/>
        <v>204.95180722891567</v>
      </c>
      <c r="F48" s="1480">
        <f t="shared" si="57"/>
        <v>125.95920303605313</v>
      </c>
      <c r="G48" s="3666">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1187</v>
      </c>
      <c r="B49" s="1493">
        <v>159</v>
      </c>
      <c r="C49" s="1493">
        <v>141</v>
      </c>
      <c r="D49" s="1493">
        <f t="shared" si="34"/>
        <v>141</v>
      </c>
      <c r="E49" s="1493">
        <v>195</v>
      </c>
      <c r="F49" s="1494">
        <v>122</v>
      </c>
      <c r="G49" s="3664">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1188</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665">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1189</v>
      </c>
      <c r="B51" s="1480">
        <f t="shared" si="60"/>
        <v>146.57412060301507</v>
      </c>
      <c r="C51" s="1480">
        <f t="shared" si="60"/>
        <v>136.46831955922866</v>
      </c>
      <c r="D51" s="1480">
        <f t="shared" si="34"/>
        <v>136.46831955922866</v>
      </c>
      <c r="E51" s="1480">
        <f t="shared" si="61"/>
        <v>166.73864894795128</v>
      </c>
      <c r="F51" s="1480">
        <f t="shared" si="61"/>
        <v>115.05882352941177</v>
      </c>
      <c r="G51" s="3665">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1190</v>
      </c>
      <c r="B52" s="1480">
        <f t="shared" si="60"/>
        <v>144.04145728643215</v>
      </c>
      <c r="C52" s="1480">
        <f t="shared" si="60"/>
        <v>136.12396694214877</v>
      </c>
      <c r="D52" s="1480">
        <f t="shared" si="34"/>
        <v>136.12396694214877</v>
      </c>
      <c r="E52" s="1480">
        <f t="shared" si="61"/>
        <v>158.32225913621264</v>
      </c>
      <c r="F52" s="1480">
        <f t="shared" si="61"/>
        <v>114.04278074866311</v>
      </c>
      <c r="G52" s="3666">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1191</v>
      </c>
      <c r="B53" s="1493">
        <v>138</v>
      </c>
      <c r="C53" s="1493">
        <v>131</v>
      </c>
      <c r="D53" s="1493">
        <f t="shared" si="34"/>
        <v>131</v>
      </c>
      <c r="E53" s="1493">
        <v>155</v>
      </c>
      <c r="F53" s="1494">
        <v>114</v>
      </c>
      <c r="G53" s="3664">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1192</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665">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1193</v>
      </c>
      <c r="B55" s="1480">
        <f t="shared" si="64"/>
        <v>124.29032258064517</v>
      </c>
      <c r="C55" s="1480">
        <f t="shared" si="64"/>
        <v>123.8968609865471</v>
      </c>
      <c r="D55" s="1480">
        <f t="shared" si="34"/>
        <v>123.8968609865471</v>
      </c>
      <c r="E55" s="1480">
        <f t="shared" si="65"/>
        <v>138.00507614213197</v>
      </c>
      <c r="F55" s="1480">
        <f t="shared" si="65"/>
        <v>107.96106557377048</v>
      </c>
      <c r="G55" s="3665">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1194</v>
      </c>
      <c r="B56" s="1480">
        <f t="shared" si="64"/>
        <v>122.57204301075269</v>
      </c>
      <c r="C56" s="1480">
        <f t="shared" si="64"/>
        <v>123.4932735426009</v>
      </c>
      <c r="D56" s="1480">
        <f t="shared" si="34"/>
        <v>123.4932735426009</v>
      </c>
      <c r="E56" s="1480">
        <f t="shared" si="65"/>
        <v>129.82233502538071</v>
      </c>
      <c r="F56" s="1480">
        <f t="shared" si="65"/>
        <v>107.39446721311475</v>
      </c>
      <c r="G56" s="3666">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1195</v>
      </c>
      <c r="B57" s="1514">
        <v>121</v>
      </c>
      <c r="C57" s="1514">
        <v>122</v>
      </c>
      <c r="D57" s="1514">
        <f t="shared" si="34"/>
        <v>122</v>
      </c>
      <c r="E57" s="1514">
        <v>124</v>
      </c>
      <c r="F57" s="1515">
        <v>107</v>
      </c>
      <c r="G57" s="3664">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1196</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665">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1197</v>
      </c>
      <c r="B59" s="1480">
        <f t="shared" si="68"/>
        <v>116.99099099099099</v>
      </c>
      <c r="C59" s="1480">
        <f t="shared" si="68"/>
        <v>118.84848484848486</v>
      </c>
      <c r="D59" s="1480">
        <f t="shared" si="34"/>
        <v>118.84848484848486</v>
      </c>
      <c r="E59" s="1480">
        <f t="shared" si="69"/>
        <v>117.60960960960961</v>
      </c>
      <c r="F59" s="1480">
        <f t="shared" si="69"/>
        <v>104</v>
      </c>
      <c r="G59" s="3665">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1198</v>
      </c>
      <c r="B60" s="1517">
        <f t="shared" si="68"/>
        <v>112.48648648648648</v>
      </c>
      <c r="C60" s="1517">
        <f t="shared" si="68"/>
        <v>115.21212121212122</v>
      </c>
      <c r="D60" s="1517">
        <f t="shared" si="34"/>
        <v>115.21212121212122</v>
      </c>
      <c r="E60" s="1517">
        <f t="shared" si="69"/>
        <v>110.4024024024024</v>
      </c>
      <c r="F60" s="1517">
        <f t="shared" si="69"/>
        <v>104</v>
      </c>
      <c r="G60" s="3666">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1199</v>
      </c>
      <c r="B61" s="1535">
        <v>111</v>
      </c>
      <c r="C61" s="1535">
        <v>114</v>
      </c>
      <c r="D61" s="1535">
        <f t="shared" si="34"/>
        <v>114</v>
      </c>
      <c r="E61" s="1535">
        <v>108</v>
      </c>
      <c r="F61" s="1536">
        <v>104</v>
      </c>
      <c r="G61" s="3664">
        <v>2003</v>
      </c>
      <c r="H61" s="1525">
        <v>4</v>
      </c>
      <c r="I61" s="1537"/>
      <c r="J61" s="1537"/>
      <c r="K61" s="1537"/>
      <c r="L61" s="1537"/>
      <c r="N61" s="1538"/>
      <c r="O61" s="1537"/>
      <c r="P61" s="1537"/>
      <c r="Q61" s="1537"/>
      <c r="S61" s="1538"/>
      <c r="T61" s="1537"/>
      <c r="U61" s="1537"/>
      <c r="V61" s="1537"/>
      <c r="X61" s="1529"/>
      <c r="Y61" s="1529"/>
      <c r="Z61" s="1529"/>
    </row>
    <row r="62" spans="1:26">
      <c r="A62" s="1463" t="s">
        <v>1200</v>
      </c>
      <c r="B62" s="1539">
        <f t="shared" ref="B62:C64" si="70">B63+(B$61-B$65)/4</f>
        <v>109.75</v>
      </c>
      <c r="C62" s="1539">
        <f t="shared" si="70"/>
        <v>112.25</v>
      </c>
      <c r="D62" s="1539">
        <f t="shared" si="34"/>
        <v>112.25</v>
      </c>
      <c r="E62" s="1539">
        <f t="shared" ref="E62:F64" si="71">E63+(E$61-E$65)/4</f>
        <v>107.25</v>
      </c>
      <c r="F62" s="1539">
        <f t="shared" si="71"/>
        <v>103.5</v>
      </c>
      <c r="G62" s="3665">
        <v>2003</v>
      </c>
      <c r="H62" s="1490">
        <v>3</v>
      </c>
      <c r="I62" s="1537"/>
      <c r="J62" s="1537"/>
      <c r="K62" s="1537"/>
      <c r="L62" s="1537"/>
      <c r="X62" s="1529"/>
      <c r="Y62" s="1529"/>
      <c r="Z62" s="1529"/>
    </row>
    <row r="63" spans="1:26">
      <c r="A63" s="1463" t="s">
        <v>1201</v>
      </c>
      <c r="B63" s="1539">
        <f t="shared" si="70"/>
        <v>108.5</v>
      </c>
      <c r="C63" s="1539">
        <f t="shared" si="70"/>
        <v>110.5</v>
      </c>
      <c r="D63" s="1539">
        <f t="shared" si="34"/>
        <v>110.5</v>
      </c>
      <c r="E63" s="1539">
        <f t="shared" si="71"/>
        <v>106.5</v>
      </c>
      <c r="F63" s="1539">
        <f t="shared" si="71"/>
        <v>103</v>
      </c>
      <c r="G63" s="3665">
        <v>2003</v>
      </c>
      <c r="H63" s="1467">
        <v>2</v>
      </c>
      <c r="I63" s="1537"/>
      <c r="J63" s="1537"/>
      <c r="K63" s="1537"/>
      <c r="L63" s="1537"/>
      <c r="X63" s="1529"/>
      <c r="Y63" s="1529"/>
      <c r="Z63" s="1529"/>
    </row>
    <row r="64" spans="1:26" ht="13.5" thickBot="1">
      <c r="A64" s="1463" t="s">
        <v>1202</v>
      </c>
      <c r="B64" s="1539">
        <f t="shared" si="70"/>
        <v>107.25</v>
      </c>
      <c r="C64" s="1539">
        <f t="shared" si="70"/>
        <v>108.75</v>
      </c>
      <c r="D64" s="1539">
        <f t="shared" si="34"/>
        <v>108.75</v>
      </c>
      <c r="E64" s="1539">
        <f t="shared" si="71"/>
        <v>105.75</v>
      </c>
      <c r="F64" s="1539">
        <f t="shared" si="71"/>
        <v>102.5</v>
      </c>
      <c r="G64" s="3666">
        <v>2003</v>
      </c>
      <c r="H64" s="1540">
        <v>1</v>
      </c>
      <c r="I64" s="1537"/>
      <c r="J64" s="1537"/>
      <c r="K64" s="1537"/>
      <c r="L64" s="1537"/>
      <c r="S64" s="1475"/>
      <c r="T64" s="1476"/>
      <c r="U64" s="1476"/>
      <c r="X64" s="1529"/>
      <c r="Y64" s="1529"/>
      <c r="Z64" s="1529"/>
    </row>
    <row r="65" spans="1:26" ht="13.5" thickBot="1">
      <c r="A65" s="1463" t="s">
        <v>1203</v>
      </c>
      <c r="B65" s="1541">
        <v>106</v>
      </c>
      <c r="C65" s="1541">
        <v>107</v>
      </c>
      <c r="D65" s="1541">
        <f t="shared" si="34"/>
        <v>107</v>
      </c>
      <c r="E65" s="1541">
        <v>105</v>
      </c>
      <c r="F65" s="1542">
        <v>102</v>
      </c>
      <c r="G65" s="3664">
        <v>2002</v>
      </c>
      <c r="H65" s="1485">
        <v>4</v>
      </c>
      <c r="I65" s="1537"/>
      <c r="J65" s="1537"/>
      <c r="K65" s="1537"/>
      <c r="L65" s="1537"/>
      <c r="N65" s="1538"/>
      <c r="O65" s="1537"/>
      <c r="P65" s="1537"/>
      <c r="Q65" s="1537"/>
      <c r="S65" s="1538"/>
      <c r="T65" s="1537"/>
      <c r="U65" s="1537"/>
      <c r="V65" s="1537"/>
      <c r="X65" s="1529"/>
      <c r="Y65" s="1529"/>
      <c r="Z65" s="1529"/>
    </row>
    <row r="66" spans="1:26">
      <c r="A66" s="1463" t="s">
        <v>1204</v>
      </c>
      <c r="B66" s="1539">
        <f t="shared" ref="B66:C68" si="72">B67+(B$65-B$69)/4</f>
        <v>105</v>
      </c>
      <c r="C66" s="1539">
        <f t="shared" si="72"/>
        <v>106</v>
      </c>
      <c r="D66" s="1539">
        <f t="shared" si="34"/>
        <v>106</v>
      </c>
      <c r="E66" s="1539">
        <f t="shared" ref="E66:F68" si="73">E67+(E$65-E$69)/4</f>
        <v>104.5</v>
      </c>
      <c r="F66" s="1539">
        <f t="shared" si="73"/>
        <v>101.5</v>
      </c>
      <c r="G66" s="3665">
        <v>2002</v>
      </c>
      <c r="H66" s="1490">
        <v>3</v>
      </c>
      <c r="I66" s="1537"/>
      <c r="J66" s="1537"/>
      <c r="K66" s="1537"/>
      <c r="L66" s="1537"/>
      <c r="X66" s="1529"/>
      <c r="Y66" s="1529"/>
      <c r="Z66" s="1529"/>
    </row>
    <row r="67" spans="1:26">
      <c r="A67" s="1463" t="s">
        <v>1205</v>
      </c>
      <c r="B67" s="1539">
        <f t="shared" si="72"/>
        <v>104</v>
      </c>
      <c r="C67" s="1539">
        <f t="shared" si="72"/>
        <v>105</v>
      </c>
      <c r="D67" s="1539">
        <f t="shared" si="34"/>
        <v>105</v>
      </c>
      <c r="E67" s="1539">
        <f t="shared" si="73"/>
        <v>104</v>
      </c>
      <c r="F67" s="1539">
        <f t="shared" si="73"/>
        <v>101</v>
      </c>
      <c r="G67" s="3665">
        <v>2002</v>
      </c>
      <c r="H67" s="1467">
        <v>2</v>
      </c>
      <c r="I67" s="1537"/>
      <c r="J67" s="1537"/>
      <c r="K67" s="1537"/>
      <c r="L67" s="1537"/>
      <c r="X67" s="1529"/>
      <c r="Y67" s="1529"/>
      <c r="Z67" s="1529"/>
    </row>
    <row r="68" spans="1:26" s="1501" customFormat="1" ht="13.5" thickBot="1">
      <c r="A68" s="1497" t="s">
        <v>1206</v>
      </c>
      <c r="B68" s="1543">
        <f t="shared" si="72"/>
        <v>103</v>
      </c>
      <c r="C68" s="1543">
        <f t="shared" si="72"/>
        <v>104</v>
      </c>
      <c r="D68" s="1543">
        <f t="shared" si="34"/>
        <v>104</v>
      </c>
      <c r="E68" s="1543">
        <f t="shared" si="73"/>
        <v>103.5</v>
      </c>
      <c r="F68" s="1543">
        <f t="shared" si="73"/>
        <v>100.5</v>
      </c>
      <c r="G68" s="3666">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1207</v>
      </c>
      <c r="G71" s="1553"/>
      <c r="N71" s="1553"/>
      <c r="S71" s="1553"/>
    </row>
    <row r="72" spans="1:26" s="1552" customFormat="1">
      <c r="A72" s="1552" t="s">
        <v>1208</v>
      </c>
      <c r="G72" s="1553"/>
      <c r="N72" s="1553"/>
      <c r="S72" s="1553"/>
    </row>
    <row r="73" spans="1:26" s="1552" customFormat="1">
      <c r="A73" s="1552" t="s">
        <v>1209</v>
      </c>
      <c r="G73" s="1553"/>
      <c r="I73" s="1554"/>
      <c r="J73" s="1554"/>
      <c r="K73" s="1554"/>
      <c r="L73" s="1554"/>
      <c r="N73" s="1555"/>
      <c r="O73" s="1554"/>
      <c r="P73" s="1554"/>
      <c r="Q73" s="1554"/>
      <c r="S73" s="1555"/>
      <c r="T73" s="1554"/>
      <c r="U73" s="1554"/>
      <c r="V73" s="1554"/>
    </row>
    <row r="74" spans="1:26" s="1552" customFormat="1">
      <c r="A74" s="1552" t="s">
        <v>1210</v>
      </c>
      <c r="G74" s="1553"/>
      <c r="N74" s="1553"/>
      <c r="S74" s="1553"/>
    </row>
    <row r="81" spans="7:22" ht="13.5" thickBot="1"/>
    <row r="82" spans="7:22">
      <c r="G82" s="1474"/>
      <c r="S82" s="1556" t="s">
        <v>1211</v>
      </c>
      <c r="T82" s="1557" t="s">
        <v>1212</v>
      </c>
      <c r="U82" s="1557" t="s">
        <v>1213</v>
      </c>
      <c r="V82" s="1557" t="s">
        <v>1214</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2961</v>
      </c>
      <c r="C1" s="3673" t="s">
        <v>2962</v>
      </c>
      <c r="D1" s="3674"/>
      <c r="E1" s="3674"/>
      <c r="F1" s="3674"/>
      <c r="G1" s="3674"/>
      <c r="H1" s="3674"/>
      <c r="I1" s="3674"/>
      <c r="J1" s="3674"/>
      <c r="K1" s="3674"/>
      <c r="L1" s="3674"/>
      <c r="M1" s="3674"/>
      <c r="N1" s="3674"/>
      <c r="O1" s="3674"/>
      <c r="P1" s="3674"/>
      <c r="Q1" s="3674"/>
      <c r="R1" s="3674"/>
      <c r="S1" s="3675"/>
      <c r="T1" s="1206" t="s">
        <v>2963</v>
      </c>
    </row>
    <row r="2" spans="1:45" s="707" customFormat="1">
      <c r="A2" s="1207"/>
      <c r="B2" s="703" t="s">
        <v>2964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2965</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2966</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2971</v>
      </c>
      <c r="B17" s="2914"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5" t="s">
        <v>2973</v>
      </c>
      <c r="E19" s="1794"/>
      <c r="F19" s="1794"/>
      <c r="G19" s="1794"/>
      <c r="H19" s="1282"/>
      <c r="I19" s="168"/>
      <c r="J19" s="168"/>
      <c r="K19" s="168"/>
      <c r="L19" s="168"/>
      <c r="M19" s="168"/>
      <c r="N19" s="168"/>
      <c r="O19" s="168"/>
      <c r="P19" s="168"/>
      <c r="Q19" s="168"/>
      <c r="R19" s="788"/>
      <c r="S19" s="138"/>
    </row>
    <row r="20" spans="1:45" ht="16.5" thickBot="1">
      <c r="A20" s="715" t="s">
        <v>2974</v>
      </c>
      <c r="B20" s="338" t="e">
        <f ca="1">IF(D20="——",S22,S22-F20)</f>
        <v>#REF!</v>
      </c>
      <c r="C20" s="168"/>
      <c r="D20" s="2916" t="s">
        <v>2975</v>
      </c>
      <c r="E20" s="1795"/>
      <c r="F20" s="1206" t="e">
        <f ca="1">SUMIF(INDIRECT("'"&amp;H20&amp;"'"&amp;"!A:A"),"承租人权益价值",INDIRECT("'"&amp;H20&amp;"'"&amp;"!c:c"))</f>
        <v>#REF!</v>
      </c>
      <c r="G20" s="1206" t="s">
        <v>2976</v>
      </c>
      <c r="H20" s="2917"/>
      <c r="I20" s="168"/>
      <c r="J20" s="168"/>
      <c r="K20" s="168"/>
      <c r="L20" s="168"/>
      <c r="M20" s="168"/>
      <c r="N20" s="168"/>
      <c r="O20" s="168"/>
      <c r="P20" s="168"/>
      <c r="Q20" s="168"/>
      <c r="R20" s="788"/>
      <c r="S20" s="138"/>
    </row>
    <row r="21" spans="1:45" ht="15.75">
      <c r="A21" s="715" t="s">
        <v>2977</v>
      </c>
      <c r="B21" s="338">
        <f>R22</f>
        <v>10000</v>
      </c>
      <c r="C21" s="168"/>
      <c r="D21" s="168"/>
      <c r="E21" s="168"/>
      <c r="F21" s="168"/>
      <c r="G21" s="168"/>
      <c r="H21" s="168"/>
      <c r="I21" s="168"/>
      <c r="J21" s="168"/>
      <c r="K21" s="168"/>
      <c r="L21" s="168"/>
      <c r="M21" s="168"/>
      <c r="N21" s="168"/>
      <c r="O21" s="168"/>
      <c r="P21" s="168"/>
      <c r="Q21" s="168"/>
      <c r="R21" s="788"/>
      <c r="S21" s="138"/>
    </row>
    <row r="22" spans="1:45">
      <c r="A22" s="361" t="s">
        <v>2978</v>
      </c>
      <c r="B22" s="24">
        <f>SUM(B24:B10000)</f>
        <v>100</v>
      </c>
      <c r="C22" s="3413" t="s">
        <v>32</v>
      </c>
      <c r="D22" s="3414"/>
      <c r="E22" s="3414"/>
      <c r="F22" s="3414"/>
      <c r="G22" s="3414"/>
      <c r="H22" s="3414"/>
      <c r="I22" s="3414"/>
      <c r="J22" s="3414"/>
      <c r="K22" s="3414"/>
      <c r="L22" s="3414"/>
      <c r="M22" s="3414"/>
      <c r="N22" s="3414"/>
      <c r="O22" s="3414"/>
      <c r="P22" s="3414"/>
      <c r="Q22" s="3672"/>
      <c r="R22" s="716">
        <f>ROUND(S22*10000/B22,0)</f>
        <v>10000</v>
      </c>
      <c r="S22" s="24">
        <f>SUM(S24:S10000)</f>
        <v>100</v>
      </c>
    </row>
    <row r="23" spans="1:45" s="12" customFormat="1" ht="24">
      <c r="A23" s="11" t="s">
        <v>2979</v>
      </c>
      <c r="B23" s="11" t="s">
        <v>2980</v>
      </c>
      <c r="C23" s="11" t="s">
        <v>2981</v>
      </c>
      <c r="D23" s="11" t="str">
        <f>B5</f>
        <v>修正项2</v>
      </c>
      <c r="E23" s="11" t="s">
        <v>2981</v>
      </c>
      <c r="F23" s="11" t="str">
        <f>B7</f>
        <v>修正项3</v>
      </c>
      <c r="G23" s="11" t="s">
        <v>2981</v>
      </c>
      <c r="H23" s="11" t="str">
        <f>B9</f>
        <v>修正项4</v>
      </c>
      <c r="I23" s="11" t="s">
        <v>2981</v>
      </c>
      <c r="J23" s="11" t="str">
        <f>B11</f>
        <v>修正项5</v>
      </c>
      <c r="K23" s="11" t="s">
        <v>2981</v>
      </c>
      <c r="L23" s="11" t="str">
        <f>B13</f>
        <v>修正项6</v>
      </c>
      <c r="M23" s="11" t="s">
        <v>2981</v>
      </c>
      <c r="N23" s="11" t="str">
        <f>B15</f>
        <v>修正项7</v>
      </c>
      <c r="O23" s="11" t="s">
        <v>2981</v>
      </c>
      <c r="P23" s="11" t="str">
        <f>B17</f>
        <v>楼层</v>
      </c>
      <c r="Q23" s="11" t="s">
        <v>2981</v>
      </c>
      <c r="R23" s="717" t="s">
        <v>2982</v>
      </c>
      <c r="S23" s="11" t="s">
        <v>2983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41295</v>
      </c>
      <c r="C2" s="2" t="s">
        <v>132</v>
      </c>
      <c r="D2" s="243"/>
      <c r="E2" s="243"/>
      <c r="F2" s="243"/>
      <c r="G2" s="243"/>
    </row>
    <row r="3" spans="1:7" s="244" customFormat="1" ht="18" customHeight="1" thickBot="1">
      <c r="A3" s="247" t="s">
        <v>84</v>
      </c>
      <c r="B3" s="248">
        <f ca="1">ROUND(B2*10000/'数据-汇总表'!E3,0)</f>
        <v>8514</v>
      </c>
      <c r="C3" s="2" t="s">
        <v>133</v>
      </c>
      <c r="D3" s="243"/>
      <c r="E3" s="243"/>
      <c r="F3" s="243"/>
      <c r="G3" s="243"/>
    </row>
    <row r="4" spans="1:7" s="252" customFormat="1" ht="15.75">
      <c r="A4" s="249" t="s">
        <v>85</v>
      </c>
      <c r="B4" s="250"/>
      <c r="C4" s="250"/>
      <c r="D4" s="250"/>
      <c r="E4" s="250"/>
      <c r="F4" s="250"/>
      <c r="G4" s="251"/>
    </row>
    <row r="5" spans="1:7" s="258" customFormat="1" ht="13.5" customHeight="1">
      <c r="A5" s="299" t="s">
        <v>1052</v>
      </c>
      <c r="B5" s="254" t="s">
        <v>86</v>
      </c>
      <c r="C5" s="255">
        <f>C6+C7+C8</f>
        <v>20610</v>
      </c>
      <c r="D5" s="255" t="s">
        <v>87</v>
      </c>
      <c r="E5" s="256" t="s">
        <v>88</v>
      </c>
      <c r="F5" s="256" t="s">
        <v>89</v>
      </c>
      <c r="G5" s="257"/>
    </row>
    <row r="6" spans="1:7" s="258" customFormat="1" ht="13.5" customHeight="1">
      <c r="A6" s="951" t="s">
        <v>789</v>
      </c>
      <c r="B6" s="259" t="s">
        <v>90</v>
      </c>
      <c r="C6" s="260">
        <v>20000</v>
      </c>
      <c r="D6" s="261"/>
      <c r="E6" s="262"/>
      <c r="F6" s="262"/>
      <c r="G6" s="263"/>
    </row>
    <row r="7" spans="1:7" s="258" customFormat="1" ht="13.5" customHeight="1">
      <c r="A7" s="951" t="s">
        <v>790</v>
      </c>
      <c r="B7" s="259" t="s">
        <v>56</v>
      </c>
      <c r="C7" s="264">
        <f>ROUND(C6*F7,0)</f>
        <v>610</v>
      </c>
      <c r="D7" s="264"/>
      <c r="E7" s="262"/>
      <c r="F7" s="265">
        <f>'数据-取费表'!B48+'数据-取费表'!B49</f>
        <v>3.0499999999999999E-2</v>
      </c>
      <c r="G7" s="263"/>
    </row>
    <row r="8" spans="1:7" s="267" customFormat="1">
      <c r="A8" s="951" t="s">
        <v>791</v>
      </c>
      <c r="B8" s="259" t="s">
        <v>91</v>
      </c>
      <c r="C8" s="264" t="str">
        <f>IF(G8="已包含在土地购买价格中","0",'数据-取费表'!B29)</f>
        <v>0</v>
      </c>
      <c r="D8" s="266"/>
      <c r="E8" s="264"/>
      <c r="F8" s="265"/>
      <c r="G8" s="1" t="s">
        <v>1143</v>
      </c>
    </row>
    <row r="9" spans="1:7" s="258" customFormat="1" ht="13.5" customHeight="1">
      <c r="A9" s="952" t="s">
        <v>798</v>
      </c>
      <c r="B9" s="268" t="s">
        <v>92</v>
      </c>
      <c r="C9" s="269">
        <f>ROUND(D9*E9/10000,0)</f>
        <v>0</v>
      </c>
      <c r="D9" s="1034">
        <f>'数据-汇总表'!E5</f>
        <v>0</v>
      </c>
      <c r="E9" s="269">
        <f>'数据-取费表'!B27</f>
        <v>0</v>
      </c>
      <c r="F9" s="265"/>
      <c r="G9" s="270"/>
    </row>
    <row r="10" spans="1:7" s="258" customFormat="1" ht="13.5" customHeight="1">
      <c r="A10" s="952" t="s">
        <v>799</v>
      </c>
      <c r="B10" s="268" t="s">
        <v>93</v>
      </c>
      <c r="C10" s="269">
        <f>ROUND(D10*E10/10000,0)</f>
        <v>970</v>
      </c>
      <c r="D10" s="1034">
        <f>'数据-汇总表'!E6</f>
        <v>48502.210000000006</v>
      </c>
      <c r="E10" s="269">
        <f>'数据-取费表'!B28</f>
        <v>200</v>
      </c>
      <c r="F10" s="265"/>
      <c r="G10" s="270"/>
    </row>
    <row r="11" spans="1:7" s="258" customFormat="1" ht="13.5" hidden="1" customHeight="1">
      <c r="A11" s="271" t="s">
        <v>7</v>
      </c>
      <c r="B11" s="259" t="s">
        <v>94</v>
      </c>
      <c r="C11" s="255"/>
      <c r="D11" s="1036"/>
      <c r="E11" s="262"/>
      <c r="F11" s="262"/>
      <c r="G11" s="263"/>
    </row>
    <row r="12" spans="1:7" s="258" customFormat="1" ht="13.5" hidden="1" customHeight="1">
      <c r="A12" s="271" t="s">
        <v>8</v>
      </c>
      <c r="B12" s="259" t="s">
        <v>95</v>
      </c>
      <c r="C12" s="255">
        <v>0</v>
      </c>
      <c r="D12" s="1036"/>
      <c r="E12" s="272"/>
      <c r="F12" s="265">
        <v>3.0499999999999999E-2</v>
      </c>
      <c r="G12" s="263"/>
    </row>
    <row r="13" spans="1:7" s="258" customFormat="1" ht="13.5" hidden="1" customHeight="1">
      <c r="A13" s="271" t="s">
        <v>9</v>
      </c>
      <c r="B13" s="259" t="s">
        <v>96</v>
      </c>
      <c r="C13" s="255"/>
      <c r="D13" s="1036"/>
      <c r="E13" s="262"/>
      <c r="F13" s="262"/>
      <c r="G13" s="263"/>
    </row>
    <row r="14" spans="1:7" s="258" customFormat="1" ht="13.5" hidden="1" customHeight="1">
      <c r="A14" s="271" t="s">
        <v>10</v>
      </c>
      <c r="B14" s="259" t="s">
        <v>91</v>
      </c>
      <c r="C14" s="255"/>
      <c r="D14" s="1036"/>
      <c r="E14" s="262"/>
      <c r="F14" s="262"/>
      <c r="G14" s="263" t="s">
        <v>97</v>
      </c>
    </row>
    <row r="15" spans="1:7" s="258" customFormat="1" ht="13.5" hidden="1" customHeight="1">
      <c r="A15" s="271" t="s">
        <v>11</v>
      </c>
      <c r="B15" s="259" t="s">
        <v>98</v>
      </c>
      <c r="C15" s="264"/>
      <c r="D15" s="1036"/>
      <c r="E15" s="262"/>
      <c r="F15" s="262"/>
      <c r="G15" s="263" t="s">
        <v>99</v>
      </c>
    </row>
    <row r="16" spans="1:7" s="258" customFormat="1" ht="13.5" hidden="1" customHeight="1">
      <c r="A16" s="271" t="s">
        <v>12</v>
      </c>
      <c r="B16" s="259" t="s">
        <v>91</v>
      </c>
      <c r="C16" s="264"/>
      <c r="D16" s="1036"/>
      <c r="E16" s="262"/>
      <c r="F16" s="262"/>
      <c r="G16" s="263"/>
    </row>
    <row r="17" spans="1:7" s="258" customFormat="1" ht="13.5" hidden="1" customHeight="1">
      <c r="A17" s="271" t="s">
        <v>13</v>
      </c>
      <c r="B17" s="259" t="s">
        <v>100</v>
      </c>
      <c r="C17" s="273"/>
      <c r="D17" s="1037"/>
      <c r="E17" s="273"/>
      <c r="F17" s="273"/>
      <c r="G17" s="263" t="s">
        <v>99</v>
      </c>
    </row>
    <row r="18" spans="1:7" s="258" customFormat="1" ht="13.5" hidden="1" customHeight="1">
      <c r="A18" s="271" t="s">
        <v>14</v>
      </c>
      <c r="B18" s="259" t="s">
        <v>101</v>
      </c>
      <c r="C18" s="264">
        <v>0</v>
      </c>
      <c r="D18" s="1036"/>
      <c r="E18" s="262"/>
      <c r="F18" s="265">
        <v>3.0499999999999999E-2</v>
      </c>
      <c r="G18" s="263" t="s">
        <v>102</v>
      </c>
    </row>
    <row r="19" spans="1:7" s="267" customFormat="1" ht="13.5" customHeight="1">
      <c r="A19" s="950" t="s">
        <v>1053</v>
      </c>
      <c r="B19" s="254" t="s">
        <v>110</v>
      </c>
      <c r="C19" s="255">
        <f>IF(G19="已包含在土地取得成本中","0",ROUND(D19*E19/10000,0))</f>
        <v>970</v>
      </c>
      <c r="D19" s="1038">
        <f>'数据-汇总表'!E3</f>
        <v>48502.210000000006</v>
      </c>
      <c r="E19" s="255">
        <f>'数据-取费表'!B31</f>
        <v>200</v>
      </c>
      <c r="F19" s="275"/>
      <c r="G19" s="1" t="s">
        <v>1072</v>
      </c>
    </row>
    <row r="20" spans="1:7" s="258" customFormat="1" ht="13.5" customHeight="1">
      <c r="A20" s="950" t="s">
        <v>1055</v>
      </c>
      <c r="B20" s="254" t="s">
        <v>103</v>
      </c>
      <c r="C20" s="276">
        <f>ROUND((C5+C19)*F20,0)</f>
        <v>324</v>
      </c>
      <c r="D20" s="276"/>
      <c r="E20" s="276"/>
      <c r="F20" s="277">
        <f>'数据-取费表'!B37</f>
        <v>1.4999999999999999E-2</v>
      </c>
      <c r="G20" s="1291" t="s">
        <v>1066</v>
      </c>
    </row>
    <row r="21" spans="1:7" s="258" customFormat="1" ht="13.5" customHeight="1">
      <c r="A21" s="950" t="s">
        <v>1057</v>
      </c>
      <c r="B21" s="254" t="s">
        <v>104</v>
      </c>
      <c r="C21" s="279">
        <f>F21</f>
        <v>0.02</v>
      </c>
      <c r="D21" s="280" t="s">
        <v>125</v>
      </c>
      <c r="E21" s="276"/>
      <c r="F21" s="277">
        <f>'数据-取费表'!B38</f>
        <v>0.02</v>
      </c>
      <c r="G21" s="278" t="s">
        <v>105</v>
      </c>
    </row>
    <row r="22" spans="1:7" s="258" customFormat="1" ht="13.5" customHeight="1">
      <c r="A22" s="950" t="s">
        <v>784</v>
      </c>
      <c r="B22" s="254" t="s">
        <v>106</v>
      </c>
      <c r="C22" s="1356">
        <f ca="1">ROUND(SUM(C23:C25),0)</f>
        <v>1567</v>
      </c>
      <c r="D22" s="279">
        <f ca="1">C26</f>
        <v>6.9999999999999999E-4</v>
      </c>
      <c r="E22" s="280" t="s">
        <v>125</v>
      </c>
      <c r="F22" s="281">
        <f ca="1">'数据-取费表'!B40</f>
        <v>4.7500000000000001E-2</v>
      </c>
      <c r="G22" s="1291" t="str">
        <f>IF('数据-取费表'!B22&lt;=1,"单利计息","复利计息")</f>
        <v>复利计息</v>
      </c>
    </row>
    <row r="23" spans="1:7" s="258" customFormat="1" ht="13.5" customHeight="1">
      <c r="A23" s="953" t="s">
        <v>792</v>
      </c>
      <c r="B23" s="259" t="s">
        <v>1059</v>
      </c>
      <c r="C23" s="1357">
        <f ca="1">ROUND(IF('数据-取费表'!B22&lt;=1,C5*F22*'数据-取费表'!B23,C5*(POWER((1+F22),'数据-取费表'!B23)-1)),0)</f>
        <v>1486</v>
      </c>
      <c r="D23" s="282"/>
      <c r="E23" s="282"/>
      <c r="F23" s="283"/>
      <c r="G23" s="284" t="s">
        <v>107</v>
      </c>
    </row>
    <row r="24" spans="1:7" s="258" customFormat="1" ht="13.5" customHeight="1">
      <c r="A24" s="953" t="s">
        <v>790</v>
      </c>
      <c r="B24" s="259" t="s">
        <v>1054</v>
      </c>
      <c r="C24" s="1357">
        <f ca="1">ROUND(IF('数据-取费表'!B22&lt;=1,C19*F22*('数据-取费表'!B19/2+'数据-取费表'!B21),C19*(POWER((1+F22),('数据-取费表'!B19/2+'数据-取费表'!B21))-1)),0)</f>
        <v>70</v>
      </c>
      <c r="D24" s="282"/>
      <c r="E24" s="282"/>
      <c r="F24" s="283"/>
      <c r="G24" s="284" t="s">
        <v>108</v>
      </c>
    </row>
    <row r="25" spans="1:7" s="258" customFormat="1" ht="24">
      <c r="A25" s="953" t="s">
        <v>791</v>
      </c>
      <c r="B25" s="259" t="s">
        <v>1056</v>
      </c>
      <c r="C25" s="1357">
        <f ca="1">ROUND(IF('数据-取费表'!B22&lt;=1,C20*F22*'数据-取费表'!B23/2,C20*(POWER((1+F22),'数据-取费表'!B23/2)-1)),0)</f>
        <v>11</v>
      </c>
      <c r="D25" s="282"/>
      <c r="E25" s="285"/>
      <c r="F25" s="283"/>
      <c r="G25" s="286" t="s">
        <v>109</v>
      </c>
    </row>
    <row r="26" spans="1:7" s="258" customFormat="1">
      <c r="A26" s="953" t="s">
        <v>793</v>
      </c>
      <c r="B26" s="259" t="s">
        <v>1058</v>
      </c>
      <c r="C26" s="282">
        <f ca="1">ROUND(IF('数据-取费表'!B22&lt;=1,F21*F22*'数据-取费表'!B23/2,F21*(POWER((1+F22),'数据-取费表'!B23/2)-1)),4)</f>
        <v>6.9999999999999999E-4</v>
      </c>
      <c r="D26" s="282"/>
      <c r="E26" s="285"/>
      <c r="F26" s="283"/>
      <c r="G26" s="287"/>
    </row>
    <row r="27" spans="1:7" s="258" customFormat="1" ht="24.75">
      <c r="A27" s="950" t="s">
        <v>785</v>
      </c>
      <c r="B27" s="288" t="s">
        <v>111</v>
      </c>
      <c r="C27" s="289">
        <f>C28</f>
        <v>1971</v>
      </c>
      <c r="D27" s="279">
        <f>C29</f>
        <v>1.8E-3</v>
      </c>
      <c r="E27" s="280" t="s">
        <v>125</v>
      </c>
      <c r="F27" s="290">
        <f>'数据-取费表'!Q16</f>
        <v>0.18</v>
      </c>
      <c r="G27" s="291" t="s">
        <v>1067</v>
      </c>
    </row>
    <row r="28" spans="1:7" s="258" customFormat="1" ht="13.5" customHeight="1">
      <c r="A28" s="953" t="s">
        <v>792</v>
      </c>
      <c r="B28" s="292" t="s">
        <v>1060</v>
      </c>
      <c r="C28" s="293">
        <f>ROUND((C5+C19+C20)*F27*'数据-取费表'!B21/'数据-取费表'!B20,0)</f>
        <v>1971</v>
      </c>
      <c r="D28" s="279"/>
      <c r="E28" s="280"/>
      <c r="F28" s="290"/>
      <c r="G28" s="291"/>
    </row>
    <row r="29" spans="1:7" s="258" customFormat="1" ht="13.5" customHeight="1">
      <c r="A29" s="953" t="s">
        <v>790</v>
      </c>
      <c r="B29" s="292" t="s">
        <v>1061</v>
      </c>
      <c r="C29" s="282">
        <f>ROUND(C21*F27*'数据-取费表'!B21/'数据-取费表'!B20,4)</f>
        <v>1.8E-3</v>
      </c>
      <c r="D29" s="279"/>
      <c r="E29" s="280"/>
      <c r="F29" s="290"/>
      <c r="G29" s="291"/>
    </row>
    <row r="30" spans="1:7" s="258" customFormat="1" ht="13.5" customHeight="1">
      <c r="A30" s="950" t="s">
        <v>786</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27530</v>
      </c>
      <c r="D31" s="274"/>
      <c r="E31" s="255"/>
      <c r="F31" s="294"/>
      <c r="G31" s="278" t="s">
        <v>1068</v>
      </c>
    </row>
    <row r="32" spans="1:7" s="252" customFormat="1" ht="15.75">
      <c r="A32" s="296" t="s">
        <v>113</v>
      </c>
      <c r="B32" s="297"/>
      <c r="C32" s="297"/>
      <c r="D32" s="297"/>
      <c r="E32" s="297"/>
      <c r="F32" s="297"/>
      <c r="G32" s="298"/>
    </row>
    <row r="33" spans="1:7" s="258" customFormat="1" ht="13.5" customHeight="1">
      <c r="A33" s="299" t="s">
        <v>780</v>
      </c>
      <c r="B33" s="254" t="s">
        <v>114</v>
      </c>
      <c r="C33" s="300">
        <f>SUM(C34:C38)</f>
        <v>10292</v>
      </c>
      <c r="D33" s="276"/>
      <c r="E33" s="256"/>
      <c r="F33" s="285"/>
      <c r="G33" s="278"/>
    </row>
    <row r="34" spans="1:7" s="302" customFormat="1" ht="13.5" customHeight="1">
      <c r="A34" s="953" t="s">
        <v>792</v>
      </c>
      <c r="B34" s="259" t="s">
        <v>58</v>
      </c>
      <c r="C34" s="264">
        <f>IF(F34=100%,'数据-取费表'!M16-SUMIF('数据-取费表'!C:C,"公共配套",'数据-取费表'!M:M),'数据-取费表'!O16-SUMIF('数据-取费表'!C:C,"公共配套",'数据-取费表'!O:O))</f>
        <v>9384</v>
      </c>
      <c r="D34" s="261"/>
      <c r="E34" s="264"/>
      <c r="F34" s="301">
        <f>IF('数据-取费表'!B24=0,1,'数据-取费表'!N16)</f>
        <v>0.5</v>
      </c>
      <c r="G34" s="263" t="s">
        <v>115</v>
      </c>
    </row>
    <row r="35" spans="1:7" ht="13.5" customHeight="1">
      <c r="A35" s="953" t="s">
        <v>794</v>
      </c>
      <c r="B35" s="259" t="s">
        <v>59</v>
      </c>
      <c r="C35" s="264">
        <f>ROUND(C34*F35,0)</f>
        <v>282</v>
      </c>
      <c r="D35" s="264"/>
      <c r="E35" s="264"/>
      <c r="F35" s="303">
        <f>'数据-取费表'!B33</f>
        <v>0.03</v>
      </c>
      <c r="G35" s="263" t="s">
        <v>116</v>
      </c>
    </row>
    <row r="36" spans="1:7" ht="24">
      <c r="A36" s="953" t="s">
        <v>795</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3" t="s">
        <v>796</v>
      </c>
      <c r="B37" s="259" t="s">
        <v>117</v>
      </c>
      <c r="C37" s="293">
        <f>ROUND(E37*D37*F34/10000,0)</f>
        <v>485</v>
      </c>
      <c r="D37" s="261">
        <f>'数据-汇总表'!E3</f>
        <v>48502.210000000006</v>
      </c>
      <c r="E37" s="293">
        <f>'数据-取费表'!B35</f>
        <v>200</v>
      </c>
      <c r="F37" s="303"/>
      <c r="G37" s="305" t="s">
        <v>118</v>
      </c>
    </row>
    <row r="38" spans="1:7" ht="13.5" customHeight="1">
      <c r="A38" s="953" t="s">
        <v>797</v>
      </c>
      <c r="B38" s="259" t="s">
        <v>62</v>
      </c>
      <c r="C38" s="264">
        <f>ROUND(C34*F38,0)</f>
        <v>141</v>
      </c>
      <c r="D38" s="264"/>
      <c r="E38" s="264"/>
      <c r="F38" s="303">
        <f>'数据-取费表'!B36</f>
        <v>1.4999999999999999E-2</v>
      </c>
      <c r="G38" s="263" t="s">
        <v>116</v>
      </c>
    </row>
    <row r="39" spans="1:7" s="258" customFormat="1" ht="13.5" customHeight="1">
      <c r="A39" s="950" t="s">
        <v>781</v>
      </c>
      <c r="B39" s="254" t="s">
        <v>103</v>
      </c>
      <c r="C39" s="276">
        <f>ROUND(C33*F20,0)</f>
        <v>154</v>
      </c>
      <c r="D39" s="276"/>
      <c r="E39" s="276"/>
      <c r="F39" s="277"/>
      <c r="G39" s="1291" t="s">
        <v>1069</v>
      </c>
    </row>
    <row r="40" spans="1:7" s="258" customFormat="1" ht="13.5" customHeight="1">
      <c r="A40" s="950" t="s">
        <v>782</v>
      </c>
      <c r="B40" s="254" t="s">
        <v>104</v>
      </c>
      <c r="C40" s="306">
        <f>F21</f>
        <v>0.02</v>
      </c>
      <c r="D40" s="280" t="s">
        <v>128</v>
      </c>
      <c r="E40" s="276"/>
      <c r="F40" s="277"/>
      <c r="G40" s="278" t="s">
        <v>119</v>
      </c>
    </row>
    <row r="41" spans="1:7" s="258" customFormat="1" ht="13.5" customHeight="1">
      <c r="A41" s="950" t="s">
        <v>783</v>
      </c>
      <c r="B41" s="254" t="s">
        <v>106</v>
      </c>
      <c r="C41" s="276">
        <f ca="1">ROUND(SUM(C42:C43),0)</f>
        <v>370</v>
      </c>
      <c r="D41" s="279">
        <f ca="1">C44</f>
        <v>6.9999999999999999E-4</v>
      </c>
      <c r="E41" s="280" t="s">
        <v>128</v>
      </c>
      <c r="F41" s="281"/>
      <c r="G41" s="1291" t="str">
        <f>IF('数据-取费表'!B22&lt;=1,"单利计息","复利计息")</f>
        <v>复利计息</v>
      </c>
    </row>
    <row r="42" spans="1:7" ht="13.5" customHeight="1">
      <c r="A42" s="953" t="s">
        <v>792</v>
      </c>
      <c r="B42" s="259" t="s">
        <v>1059</v>
      </c>
      <c r="C42" s="282">
        <f ca="1">ROUND(IF('数据-取费表'!B22&lt;=1,C33*F22*'数据-取费表'!B21/2,C33*(POWER((1+F22),'数据-取费表'!B21/2)-1)),0)</f>
        <v>365</v>
      </c>
      <c r="D42" s="282"/>
      <c r="E42" s="282"/>
      <c r="F42" s="283"/>
      <c r="G42" s="3542" t="s">
        <v>120</v>
      </c>
    </row>
    <row r="43" spans="1:7" ht="13.5" customHeight="1">
      <c r="A43" s="953" t="s">
        <v>790</v>
      </c>
      <c r="B43" s="259" t="s">
        <v>1062</v>
      </c>
      <c r="C43" s="282">
        <f ca="1">ROUND(IF('数据-取费表'!B22&lt;=1,C39*F22*'数据-取费表'!B21/2,C39*(POWER((1+F22),'数据-取费表'!B21/2)-1)),0)</f>
        <v>5</v>
      </c>
      <c r="D43" s="282"/>
      <c r="E43" s="282"/>
      <c r="F43" s="283"/>
      <c r="G43" s="3543"/>
    </row>
    <row r="44" spans="1:7" ht="13.5" customHeight="1">
      <c r="A44" s="953" t="s">
        <v>791</v>
      </c>
      <c r="B44" s="259" t="s">
        <v>1064</v>
      </c>
      <c r="C44" s="282">
        <f ca="1">ROUND(IF('数据-取费表'!B22&lt;=1,C40*F22*'数据-取费表'!B21/2,C40*(POWER((1+F22),'数据-取费表'!B21/2)-1)),4)</f>
        <v>6.9999999999999999E-4</v>
      </c>
      <c r="D44" s="282"/>
      <c r="E44" s="282"/>
      <c r="F44" s="283"/>
      <c r="G44" s="3544"/>
    </row>
    <row r="45" spans="1:7" s="258" customFormat="1" ht="13.5" customHeight="1">
      <c r="A45" s="950" t="s">
        <v>784</v>
      </c>
      <c r="B45" s="288" t="s">
        <v>111</v>
      </c>
      <c r="C45" s="289">
        <f>C46</f>
        <v>1880</v>
      </c>
      <c r="D45" s="279">
        <f>C47</f>
        <v>3.5999999999999999E-3</v>
      </c>
      <c r="E45" s="280" t="s">
        <v>128</v>
      </c>
      <c r="F45" s="290"/>
      <c r="G45" s="291" t="s">
        <v>1070</v>
      </c>
    </row>
    <row r="46" spans="1:7" s="258" customFormat="1" ht="13.5" customHeight="1">
      <c r="A46" s="953" t="s">
        <v>792</v>
      </c>
      <c r="B46" s="292" t="s">
        <v>1063</v>
      </c>
      <c r="C46" s="293">
        <f>ROUND((C33+C39)*F27,0)</f>
        <v>1880</v>
      </c>
      <c r="D46" s="307"/>
      <c r="E46" s="280"/>
      <c r="F46" s="290"/>
      <c r="G46" s="291"/>
    </row>
    <row r="47" spans="1:7" s="258" customFormat="1" ht="13.5" customHeight="1">
      <c r="A47" s="953" t="s">
        <v>790</v>
      </c>
      <c r="B47" s="292" t="s">
        <v>1065</v>
      </c>
      <c r="C47" s="282">
        <f>ROUND(C40*F27,4)</f>
        <v>3.5999999999999999E-3</v>
      </c>
      <c r="D47" s="307"/>
      <c r="E47" s="280"/>
      <c r="F47" s="290"/>
      <c r="G47" s="291"/>
    </row>
    <row r="48" spans="1:7" s="258" customFormat="1" ht="13.5" customHeight="1">
      <c r="A48" s="950" t="s">
        <v>785</v>
      </c>
      <c r="B48" s="254" t="s">
        <v>121</v>
      </c>
      <c r="C48" s="306">
        <f>F30</f>
        <v>5.6000000000000001E-2</v>
      </c>
      <c r="D48" s="280" t="s">
        <v>129</v>
      </c>
      <c r="E48" s="276"/>
      <c r="F48" s="281"/>
      <c r="G48" s="278" t="s">
        <v>122</v>
      </c>
    </row>
    <row r="49" spans="1:7" ht="16.5" customHeight="1">
      <c r="A49" s="950" t="s">
        <v>786</v>
      </c>
      <c r="B49" s="254" t="s">
        <v>130</v>
      </c>
      <c r="C49" s="276">
        <f ca="1">ROUND((C33+C39+C41+C45)/(1-C40-D41-D45-C48/(1+'数据-取费表'!B42)),0)</f>
        <v>13765</v>
      </c>
      <c r="D49" s="276"/>
      <c r="E49" s="276"/>
      <c r="F49" s="308"/>
      <c r="G49" s="278" t="s">
        <v>1071</v>
      </c>
    </row>
    <row r="50" spans="1:7" s="302" customFormat="1" ht="24">
      <c r="A50" s="950" t="s">
        <v>787</v>
      </c>
      <c r="B50" s="254" t="s">
        <v>123</v>
      </c>
      <c r="C50" s="276"/>
      <c r="D50" s="276"/>
      <c r="E50" s="276"/>
      <c r="F50" s="308">
        <f>IF('数据-取费表'!B24=0,'数据-取费表'!N16,1)</f>
        <v>1</v>
      </c>
      <c r="G50" s="291" t="s">
        <v>124</v>
      </c>
    </row>
    <row r="51" spans="1:7" ht="16.5" customHeight="1">
      <c r="A51" s="950" t="s">
        <v>788</v>
      </c>
      <c r="B51" s="254" t="s">
        <v>131</v>
      </c>
      <c r="C51" s="276">
        <f ca="1">ROUND(C49*F50,0)</f>
        <v>13765</v>
      </c>
      <c r="D51" s="276"/>
      <c r="E51" s="276"/>
      <c r="F51" s="308"/>
      <c r="G51" s="278" t="s">
        <v>63</v>
      </c>
    </row>
    <row r="52" spans="1:7" s="252" customFormat="1" ht="16.5" thickBot="1">
      <c r="A52" s="309" t="s">
        <v>64</v>
      </c>
      <c r="B52" s="310"/>
      <c r="C52" s="311">
        <f ca="1">C31+C51</f>
        <v>41295</v>
      </c>
      <c r="D52" s="310"/>
      <c r="E52" s="310"/>
      <c r="F52" s="310"/>
      <c r="G52" s="312"/>
    </row>
    <row r="55" spans="1:7" ht="15">
      <c r="B55" s="314" t="s">
        <v>65</v>
      </c>
      <c r="C55" s="315"/>
    </row>
    <row r="56" spans="1:7">
      <c r="B56" s="317" t="s">
        <v>66</v>
      </c>
      <c r="C56" s="318">
        <f ca="1">ROUND(C51/C52,3)</f>
        <v>0.33300000000000002</v>
      </c>
    </row>
    <row r="57" spans="1:7">
      <c r="B57" s="317" t="s">
        <v>67</v>
      </c>
      <c r="C57" s="319">
        <f ca="1">1-C56</f>
        <v>0.66700000000000004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676" t="s">
        <v>155</v>
      </c>
      <c r="B1" s="3676"/>
      <c r="C1" s="3676"/>
      <c r="D1" s="3676"/>
      <c r="E1" s="3676"/>
      <c r="F1" s="3676"/>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677" t="s">
        <v>168</v>
      </c>
      <c r="B2" s="3677"/>
      <c r="C2" s="3677"/>
      <c r="D2" s="3677"/>
      <c r="E2" s="3677"/>
      <c r="F2" s="3677"/>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678"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679"/>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76" t="s">
        <v>869</v>
      </c>
      <c r="B1" s="3676"/>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323" t="str">
        <f>IF(项目基本情况!B9="房地产市场价值","估价结果一览表","结果表-2")</f>
        <v>结果表-2</v>
      </c>
      <c r="B1" s="3323"/>
      <c r="C1" s="3323"/>
      <c r="D1" s="3323"/>
      <c r="E1" s="3323"/>
      <c r="F1" s="3323"/>
      <c r="G1" s="3323"/>
      <c r="H1" s="3323"/>
      <c r="I1" s="3323"/>
    </row>
    <row r="2" spans="1:9" ht="30" customHeight="1" thickTop="1">
      <c r="A2" s="3324" t="s">
        <v>1638</v>
      </c>
      <c r="B2" s="3324" t="s">
        <v>1639</v>
      </c>
      <c r="C2" s="3324" t="s">
        <v>1640</v>
      </c>
      <c r="D2" s="3324" t="str">
        <f>结果表!D116</f>
        <v>出让国有建设用地使用权价值</v>
      </c>
      <c r="E2" s="3324"/>
      <c r="F2" s="3324" t="str">
        <f>结果表!F116</f>
        <v>在建建筑物价值</v>
      </c>
      <c r="G2" s="3324"/>
      <c r="H2" s="3324" t="str">
        <f>IF(项目基本情况!B9="房地产市场价值","房地产市场价值","房地产价值")</f>
        <v>房地产价值</v>
      </c>
      <c r="I2" s="3324"/>
    </row>
    <row r="3" spans="1:9" ht="15">
      <c r="A3" s="3325"/>
      <c r="B3" s="3325"/>
      <c r="C3" s="3325"/>
      <c r="D3" s="1046" t="s">
        <v>1635</v>
      </c>
      <c r="E3" s="1046" t="s">
        <v>1641</v>
      </c>
      <c r="F3" s="1046" t="s">
        <v>1635</v>
      </c>
      <c r="G3" s="1046" t="s">
        <v>1636</v>
      </c>
      <c r="H3" s="1046" t="s">
        <v>1635</v>
      </c>
      <c r="I3" s="1046" t="s">
        <v>1636</v>
      </c>
    </row>
    <row r="4" spans="1:9" ht="45">
      <c r="A4" s="1975" t="str">
        <f>项目基本情况!S2</f>
        <v>北京市北京朝阳区太阳宫乡0301-616地块出让国有建设用地使用权及在建建筑物房地产</v>
      </c>
      <c r="B4" s="1046">
        <f>项目基本情况!C17</f>
        <v>48502.210000000006</v>
      </c>
      <c r="C4" s="1046">
        <f>项目基本情况!C18</f>
        <v>7449.74</v>
      </c>
      <c r="D4" s="1046">
        <f ca="1">结果表!D118</f>
        <v>310307</v>
      </c>
      <c r="E4" s="1046">
        <f ca="1">结果表!E118</f>
        <v>63978</v>
      </c>
      <c r="F4" s="1046">
        <f ca="1">结果表!F118</f>
        <v>20511</v>
      </c>
      <c r="G4" s="1046">
        <f ca="1">结果表!G118</f>
        <v>4229</v>
      </c>
      <c r="H4" s="1046">
        <f ca="1">结果表!H118</f>
        <v>330818</v>
      </c>
      <c r="I4" s="1046">
        <f ca="1">结果表!I118</f>
        <v>68207</v>
      </c>
    </row>
    <row r="5" spans="1:9" ht="30" customHeight="1">
      <c r="A5" s="3325" t="s">
        <v>1637</v>
      </c>
      <c r="B5" s="3325"/>
      <c r="C5" s="3325"/>
      <c r="D5" s="3326" t="str">
        <f ca="1">结果表!D119</f>
        <v>叁拾壹亿零叁佰零柒万元整</v>
      </c>
      <c r="E5" s="3326"/>
      <c r="F5" s="3326" t="str">
        <f ca="1">结果表!F119</f>
        <v>贰亿零伍佰壹拾壹万元整</v>
      </c>
      <c r="G5" s="3326"/>
      <c r="H5" s="3326" t="str">
        <f ca="1">结果表!H119</f>
        <v>叁拾叁亿零捌佰壹拾捌万元整</v>
      </c>
      <c r="I5" s="3326"/>
    </row>
    <row r="6" spans="1:9" ht="15.75">
      <c r="A6" s="3327" t="str">
        <f>结果表!A120</f>
        <v>估价师知悉的法定优先受偿款</v>
      </c>
      <c r="B6" s="3327"/>
      <c r="C6" s="3327"/>
      <c r="D6" s="3327">
        <f>结果表!D120</f>
        <v>0</v>
      </c>
      <c r="E6" s="3327"/>
      <c r="F6" s="3327"/>
      <c r="G6" s="3327"/>
      <c r="H6" s="3327"/>
      <c r="I6" s="3327"/>
    </row>
    <row r="7" spans="1:9" ht="15">
      <c r="A7" s="3325" t="s">
        <v>1637</v>
      </c>
      <c r="B7" s="3325"/>
      <c r="C7" s="3325"/>
      <c r="D7" s="3328" t="str">
        <f>结果表!D121</f>
        <v>零元整</v>
      </c>
      <c r="E7" s="3329"/>
      <c r="F7" s="3329"/>
      <c r="G7" s="3329"/>
      <c r="H7" s="3329"/>
      <c r="I7" s="3330"/>
    </row>
    <row r="8" spans="1:9" ht="15.75">
      <c r="A8" s="3327" t="str">
        <f>结果表!A122</f>
        <v>房地产抵押价值</v>
      </c>
      <c r="B8" s="3327"/>
      <c r="C8" s="3327"/>
      <c r="D8" s="3327">
        <f ca="1">结果表!D122</f>
        <v>330818</v>
      </c>
      <c r="E8" s="3327"/>
      <c r="F8" s="3327"/>
      <c r="G8" s="3327"/>
      <c r="H8" s="3327"/>
      <c r="I8" s="3327"/>
    </row>
    <row r="9" spans="1:9" ht="15">
      <c r="A9" s="3325" t="s">
        <v>1637</v>
      </c>
      <c r="B9" s="3325"/>
      <c r="C9" s="3325"/>
      <c r="D9" s="3326" t="str">
        <f ca="1">结果表!D123</f>
        <v>叁拾叁亿零捌佰壹拾捌万元整</v>
      </c>
      <c r="E9" s="3326"/>
      <c r="F9" s="3326"/>
      <c r="G9" s="3326"/>
      <c r="H9" s="3326"/>
      <c r="I9" s="3326"/>
    </row>
    <row r="10" spans="1:9" ht="15.75">
      <c r="A10" s="3327" t="str">
        <f>结果表!A124</f>
        <v/>
      </c>
      <c r="B10" s="3327"/>
      <c r="C10" s="3327"/>
      <c r="D10" s="3327" t="str">
        <f>结果表!D124</f>
        <v>——</v>
      </c>
      <c r="E10" s="3327"/>
      <c r="F10" s="3327"/>
      <c r="G10" s="3327"/>
      <c r="H10" s="3327"/>
      <c r="I10" s="3327"/>
    </row>
    <row r="11" spans="1:9" ht="15">
      <c r="A11" s="3325" t="s">
        <v>1637</v>
      </c>
      <c r="B11" s="3325"/>
      <c r="C11" s="3325"/>
      <c r="D11" s="3326" t="e">
        <f>结果表!D125</f>
        <v>#VALUE!</v>
      </c>
      <c r="E11" s="3326"/>
      <c r="F11" s="3326"/>
      <c r="G11" s="3326"/>
      <c r="H11" s="3326"/>
      <c r="I11" s="3326"/>
    </row>
    <row r="12" spans="1:9" ht="15.75">
      <c r="A12" s="3327" t="str">
        <f>结果表!A126</f>
        <v/>
      </c>
      <c r="B12" s="3327"/>
      <c r="C12" s="3327"/>
      <c r="D12" s="3327" t="str">
        <f>结果表!D126</f>
        <v>——</v>
      </c>
      <c r="E12" s="3327"/>
      <c r="F12" s="3327"/>
      <c r="G12" s="3327"/>
      <c r="H12" s="3327"/>
      <c r="I12" s="3327"/>
    </row>
    <row r="13" spans="1:9" ht="15.75" thickBot="1">
      <c r="A13" s="3331" t="s">
        <v>1637</v>
      </c>
      <c r="B13" s="3331"/>
      <c r="C13" s="3331"/>
      <c r="D13" s="3332" t="e">
        <f>结果表!D127</f>
        <v>#VALUE!</v>
      </c>
      <c r="E13" s="3332"/>
      <c r="F13" s="3332"/>
      <c r="G13" s="3332"/>
      <c r="H13" s="3332"/>
      <c r="I13" s="3332"/>
    </row>
    <row r="14" spans="1:9" ht="15" thickTop="1">
      <c r="A14" s="3333" t="s">
        <v>1642</v>
      </c>
      <c r="B14" s="3333"/>
      <c r="C14" s="3333"/>
      <c r="D14" s="3333"/>
      <c r="E14" s="3333"/>
      <c r="F14" s="3333"/>
      <c r="G14" s="3333"/>
      <c r="H14" s="3333"/>
      <c r="I14" s="3333"/>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43109</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26</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812</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813</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81:H189"/>
  <sheetViews>
    <sheetView topLeftCell="A163" workbookViewId="0">
      <selection activeCell="H192" sqref="H192"/>
    </sheetView>
  </sheetViews>
  <sheetFormatPr defaultRowHeight="13.5"/>
  <sheetData>
    <row r="181" spans="3:8">
      <c r="C181" s="3308" t="s">
        <v>3254</v>
      </c>
      <c r="D181">
        <v>2</v>
      </c>
      <c r="E181">
        <v>3</v>
      </c>
      <c r="F181">
        <v>4</v>
      </c>
      <c r="G181">
        <v>5</v>
      </c>
      <c r="H181" s="3308">
        <v>1</v>
      </c>
    </row>
    <row r="182" spans="3:8">
      <c r="C182">
        <v>1</v>
      </c>
      <c r="D182">
        <f>144.58+146.79</f>
        <v>291.37</v>
      </c>
      <c r="E182">
        <f>109.41+87.06</f>
        <v>196.47</v>
      </c>
      <c r="F182">
        <f>120.26+110.1</f>
        <v>230.36</v>
      </c>
      <c r="G182">
        <f>167.65+173.26</f>
        <v>340.90999999999997</v>
      </c>
      <c r="H182">
        <f>148.03+149.35+88.06+84.6+130.53+163.58</f>
        <v>764.15</v>
      </c>
    </row>
    <row r="183" spans="3:8">
      <c r="C183">
        <v>2</v>
      </c>
      <c r="D183">
        <f>223.4+238.88</f>
        <v>462.28</v>
      </c>
      <c r="E183">
        <f>180.16*2</f>
        <v>360.32</v>
      </c>
      <c r="F183">
        <f>186.98+188.46</f>
        <v>375.44</v>
      </c>
      <c r="G183">
        <f>259.18+261.28</f>
        <v>520.46</v>
      </c>
      <c r="H183">
        <f>149.54+150.85</f>
        <v>300.39</v>
      </c>
    </row>
    <row r="184" spans="3:8">
      <c r="C184" s="3308" t="s">
        <v>3255</v>
      </c>
      <c r="D184">
        <f>SUM(D182:D183)</f>
        <v>753.65</v>
      </c>
      <c r="E184">
        <f t="shared" ref="E184:G184" si="0">SUM(E182:E183)</f>
        <v>556.79</v>
      </c>
      <c r="F184">
        <f t="shared" si="0"/>
        <v>605.79999999999995</v>
      </c>
      <c r="G184">
        <f t="shared" si="0"/>
        <v>861.37</v>
      </c>
      <c r="H184">
        <f>SUM(H182:H183)</f>
        <v>1064.54</v>
      </c>
    </row>
    <row r="185" spans="3:8">
      <c r="D185">
        <f>'数据-基础表'!K14</f>
        <v>753.65</v>
      </c>
      <c r="E185">
        <f>'数据-基础表'!K15</f>
        <v>556.79</v>
      </c>
      <c r="F185">
        <f>'数据-基础表'!K16</f>
        <v>605.79999999999995</v>
      </c>
      <c r="G185">
        <f>'数据-基础表'!K17</f>
        <v>861.37</v>
      </c>
      <c r="H185">
        <f>'数据-基础表'!K13</f>
        <v>1064.54</v>
      </c>
    </row>
    <row r="186" spans="3:8">
      <c r="C186" s="3308" t="s">
        <v>3256</v>
      </c>
      <c r="D186">
        <f>SUM(D182:H182)</f>
        <v>1823.2600000000002</v>
      </c>
      <c r="E186" s="3309">
        <v>11.5</v>
      </c>
    </row>
    <row r="187" spans="3:8">
      <c r="C187" s="3308" t="s">
        <v>3257</v>
      </c>
      <c r="D187">
        <f>SUM(D183:H183)</f>
        <v>2018.8899999999999</v>
      </c>
      <c r="E187" s="3309">
        <f>E186*0.7</f>
        <v>8.0499999999999989</v>
      </c>
    </row>
    <row r="188" spans="3:8">
      <c r="C188" s="3308" t="s">
        <v>3258</v>
      </c>
      <c r="D188">
        <f>SUM(D186:D187)</f>
        <v>3842.15</v>
      </c>
      <c r="E188" s="3310">
        <f>ROUND(D186/D188*E186+D187/D188*E187,1)</f>
        <v>9.6999999999999993</v>
      </c>
    </row>
    <row r="189" spans="3:8">
      <c r="C189" s="3308" t="s">
        <v>3261</v>
      </c>
      <c r="E189" s="3310">
        <f>E186*0.5</f>
        <v>5.75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334" t="s">
        <v>1659</v>
      </c>
      <c r="B1" s="3334"/>
      <c r="C1" s="3334"/>
      <c r="D1" s="3334"/>
    </row>
    <row r="2" spans="1:4" ht="18">
      <c r="A2" s="3335" t="s">
        <v>1643</v>
      </c>
      <c r="B2" s="3335"/>
      <c r="C2" s="3335"/>
      <c r="D2" s="3335"/>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3335" t="s">
        <v>1649</v>
      </c>
      <c r="B6" s="3335"/>
      <c r="C6" s="3335"/>
      <c r="D6" s="3335"/>
    </row>
    <row r="7" spans="1:4" ht="18.75">
      <c r="A7" s="1979" t="s">
        <v>1644</v>
      </c>
      <c r="B7" s="1981" t="s">
        <v>1650</v>
      </c>
      <c r="C7" s="1979" t="s">
        <v>1646</v>
      </c>
      <c r="D7" s="1979" t="s">
        <v>1647</v>
      </c>
    </row>
    <row r="8" spans="1:4" ht="56.25" customHeight="1">
      <c r="A8" s="1985" t="s">
        <v>867</v>
      </c>
      <c r="B8" s="1985" t="s">
        <v>1</v>
      </c>
      <c r="C8" s="1982"/>
      <c r="D8" s="1983" t="s">
        <v>1648</v>
      </c>
    </row>
    <row r="9" spans="1:4">
      <c r="A9" s="728"/>
      <c r="B9" s="728"/>
      <c r="C9" s="728"/>
      <c r="D9" s="728"/>
    </row>
    <row r="10" spans="1:4" ht="18.75">
      <c r="A10" s="1986" t="s">
        <v>1651</v>
      </c>
      <c r="B10" s="728"/>
      <c r="C10" s="728"/>
      <c r="D10" s="728"/>
    </row>
    <row r="11" spans="1:4" ht="30" customHeight="1">
      <c r="A11" s="3336" t="s">
        <v>1652</v>
      </c>
      <c r="B11" s="3337"/>
      <c r="C11" s="3337"/>
      <c r="D11" s="3337"/>
    </row>
    <row r="12" spans="1:4" ht="15.75">
      <c r="A12" s="33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8"/>
      <c r="C12" s="3338"/>
      <c r="D12" s="3338"/>
    </row>
    <row r="13" spans="1:4" ht="30" customHeight="1">
      <c r="A13" s="33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8"/>
      <c r="C13" s="3338"/>
      <c r="D13" s="3338"/>
    </row>
    <row r="14" spans="1:4" ht="15.75" customHeight="1">
      <c r="A14" s="3337" t="str">
        <f>IF(项目基本情况!B8="抵押","4.本次评估估价师所知悉的法定优先受偿款情况说明如下：","——")</f>
        <v>4.本次评估估价师所知悉的法定优先受偿款情况说明如下：</v>
      </c>
      <c r="B14" s="3338"/>
      <c r="C14" s="3338"/>
      <c r="D14" s="3338"/>
    </row>
    <row r="15" spans="1:4" ht="42" customHeight="1">
      <c r="A15" s="3337" t="str">
        <f>IF(项目基本情况!B8="抵押","（1）"&amp;CONCATENATE(项目基本情况!L20,项目基本情况!L21,项目基本情况!L22),"——")</f>
        <v>（1）根据估价对象《房屋所有权证》复印件、《国有土地使用权》复印件，截至价值时点，估价对象抵押权未见登记。</v>
      </c>
      <c r="B15" s="3337"/>
      <c r="C15" s="3337"/>
      <c r="D15" s="3337"/>
    </row>
    <row r="16" spans="1:4" ht="30" customHeight="1">
      <c r="A16" s="3340" t="s">
        <v>1653</v>
      </c>
      <c r="B16" s="3340"/>
      <c r="C16" s="3340"/>
      <c r="D16" s="3340"/>
    </row>
    <row r="17" spans="1:4" ht="144" customHeight="1">
      <c r="A17" s="3340" t="s">
        <v>1654</v>
      </c>
      <c r="B17" s="3340"/>
      <c r="C17" s="3340"/>
      <c r="D17" s="3340"/>
    </row>
    <row r="18" spans="1:4" ht="15.75" customHeight="1">
      <c r="A18" s="3337" t="str">
        <f>IF(项目基本情况!B8="抵押",结果表!K120,"——")</f>
        <v>故，本次评估不存在估价师知悉的法定优先受偿款</v>
      </c>
      <c r="B18" s="3337"/>
      <c r="C18" s="3337"/>
      <c r="D18" s="3337"/>
    </row>
    <row r="19" spans="1:4" ht="46.5" customHeight="1">
      <c r="A19" s="33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7"/>
      <c r="C19" s="3337"/>
      <c r="D19" s="3337"/>
    </row>
    <row r="20" spans="1:4" ht="57.75" customHeight="1">
      <c r="A20" s="33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7"/>
      <c r="C20" s="3337"/>
      <c r="D20" s="3337"/>
    </row>
    <row r="21" spans="1:4" ht="57.75" customHeight="1">
      <c r="A21" s="33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1"/>
      <c r="C21" s="3341"/>
      <c r="D21" s="3341"/>
    </row>
    <row r="22" spans="1:4" ht="18.75" customHeight="1">
      <c r="A22" s="3342" t="s">
        <v>1655</v>
      </c>
      <c r="B22" s="3342"/>
      <c r="C22" s="3342"/>
      <c r="D22" s="3342"/>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3339">
        <v>42551</v>
      </c>
      <c r="D31" s="33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868</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81</v>
      </c>
      <c r="B3" s="1977" t="s">
        <v>1661</v>
      </c>
      <c r="G3" s="1994"/>
    </row>
    <row r="4" spans="1:7">
      <c r="G4" s="1994"/>
    </row>
    <row r="5" spans="1:7">
      <c r="A5" s="1996" t="s">
        <v>72</v>
      </c>
      <c r="B5" s="1977" t="s">
        <v>1662</v>
      </c>
      <c r="G5" s="1994"/>
    </row>
    <row r="6" spans="1:7">
      <c r="G6" s="1994"/>
    </row>
    <row r="7" spans="1:7">
      <c r="A7" s="1997" t="s">
        <v>134</v>
      </c>
      <c r="B7" s="1977" t="s">
        <v>1663</v>
      </c>
      <c r="G7" s="1994"/>
    </row>
    <row r="8" spans="1:7">
      <c r="G8" s="1994"/>
    </row>
    <row r="9" spans="1:7">
      <c r="A9" s="1998" t="s">
        <v>73</v>
      </c>
      <c r="B9" s="1977" t="s">
        <v>1664</v>
      </c>
    </row>
    <row r="11" spans="1:7">
      <c r="A11" s="1999" t="s">
        <v>74</v>
      </c>
      <c r="B11" s="2000" t="s">
        <v>71</v>
      </c>
    </row>
    <row r="13" spans="1:7">
      <c r="A13" s="2001" t="s">
        <v>1665</v>
      </c>
    </row>
    <row r="15" spans="1:7" ht="13.5">
      <c r="A15" s="3348" t="s">
        <v>1666</v>
      </c>
      <c r="B15" s="3343" t="s">
        <v>135</v>
      </c>
      <c r="C15" s="3344"/>
    </row>
    <row r="16" spans="1:7" ht="13.5">
      <c r="A16" s="3349"/>
      <c r="B16" s="3343" t="s">
        <v>68</v>
      </c>
      <c r="C16" s="3344"/>
    </row>
    <row r="17" spans="1:3" ht="13.5">
      <c r="A17" s="3349"/>
      <c r="B17" s="3346" t="s">
        <v>1667</v>
      </c>
      <c r="C17" s="2002" t="s">
        <v>1666</v>
      </c>
    </row>
    <row r="18" spans="1:3" ht="13.5">
      <c r="A18" s="3349"/>
      <c r="B18" s="3346"/>
      <c r="C18" s="2002" t="s">
        <v>1668</v>
      </c>
    </row>
    <row r="19" spans="1:3" ht="13.5">
      <c r="A19" s="3349"/>
      <c r="B19" s="3346"/>
      <c r="C19" s="2002" t="s">
        <v>1669</v>
      </c>
    </row>
    <row r="20" spans="1:3" ht="13.5">
      <c r="A20" s="3350"/>
      <c r="B20" s="3345" t="s">
        <v>1670</v>
      </c>
      <c r="C20" s="3344"/>
    </row>
    <row r="21" spans="1:3" ht="13.5">
      <c r="A21" s="2003" t="s">
        <v>1671</v>
      </c>
      <c r="B21" s="2004"/>
      <c r="C21" s="2005"/>
    </row>
    <row r="22" spans="1:3" ht="13.5">
      <c r="A22" s="3347" t="s">
        <v>1672</v>
      </c>
      <c r="B22" s="3345" t="s">
        <v>1673</v>
      </c>
      <c r="C22" s="3344"/>
    </row>
    <row r="23" spans="1:3" ht="13.5">
      <c r="A23" s="3347"/>
      <c r="B23" s="3345" t="s">
        <v>1674</v>
      </c>
      <c r="C23" s="3344"/>
    </row>
    <row r="24" spans="1:3" ht="13.5">
      <c r="A24" s="3347"/>
      <c r="B24" s="3345" t="s">
        <v>1675</v>
      </c>
      <c r="C24" s="3344"/>
    </row>
    <row r="25" spans="1:3" ht="13.5">
      <c r="A25" s="3347"/>
      <c r="B25" s="3346" t="s">
        <v>1676</v>
      </c>
      <c r="C25" s="2002" t="s">
        <v>1677</v>
      </c>
    </row>
    <row r="26" spans="1:3" ht="13.5">
      <c r="A26" s="3347"/>
      <c r="B26" s="3346"/>
      <c r="C26" s="2002" t="s">
        <v>1678</v>
      </c>
    </row>
    <row r="27" spans="1:3" ht="13.5">
      <c r="A27" s="3347"/>
      <c r="B27" s="3346"/>
      <c r="C27" s="2002" t="s">
        <v>1679</v>
      </c>
    </row>
    <row r="28" spans="1:3" ht="13.5">
      <c r="A28" s="3347"/>
      <c r="B28" s="3346"/>
      <c r="C28" s="2002" t="s">
        <v>1680</v>
      </c>
    </row>
    <row r="29" spans="1:3" ht="13.5">
      <c r="A29" s="3347"/>
      <c r="B29" s="3346"/>
      <c r="C29" s="2002" t="s">
        <v>1681</v>
      </c>
    </row>
    <row r="30" spans="1:3" ht="13.5">
      <c r="A30" s="3347"/>
      <c r="B30" s="3346"/>
      <c r="C30" s="2002" t="s">
        <v>1682</v>
      </c>
    </row>
    <row r="31" spans="1:3" ht="13.5">
      <c r="A31" s="3347"/>
      <c r="B31" s="3346"/>
      <c r="C31" s="2002" t="s">
        <v>1683</v>
      </c>
    </row>
    <row r="32" spans="1:3" ht="13.5">
      <c r="A32" s="3347"/>
      <c r="B32" s="3346"/>
      <c r="C32" s="2002" t="s">
        <v>1684</v>
      </c>
    </row>
    <row r="33" spans="1:3" ht="13.5">
      <c r="A33" s="3347"/>
      <c r="B33" s="3346"/>
      <c r="C33" s="2002" t="s">
        <v>1685</v>
      </c>
    </row>
    <row r="34" spans="1:3">
      <c r="A34" s="2006" t="s">
        <v>75</v>
      </c>
    </row>
    <row r="37" spans="1:3">
      <c r="A37" s="2006" t="s">
        <v>1686</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43110</v>
      </c>
      <c r="C2" s="1021" t="s">
        <v>824</v>
      </c>
      <c r="D2" s="1021"/>
    </row>
    <row r="3" spans="1:6" ht="24" customHeight="1">
      <c r="A3" s="1022" t="s">
        <v>825</v>
      </c>
      <c r="B3" s="1023" t="s">
        <v>826</v>
      </c>
      <c r="C3" s="2343" t="s">
        <v>827</v>
      </c>
      <c r="D3" s="2346" t="s">
        <v>828</v>
      </c>
      <c r="E3" s="1024" t="s">
        <v>829</v>
      </c>
      <c r="F3" s="1023" t="s">
        <v>827</v>
      </c>
    </row>
    <row r="4" spans="1:6" ht="24" customHeight="1">
      <c r="A4" s="1704" t="s">
        <v>830</v>
      </c>
      <c r="B4" s="1024">
        <f ca="1">IF(C4&lt;B2,"已过期",1119970066)</f>
        <v>1119970066</v>
      </c>
      <c r="C4" s="2344">
        <v>43849</v>
      </c>
      <c r="D4" s="2347" t="s">
        <v>830</v>
      </c>
      <c r="E4" s="1024">
        <f ca="1">IF(F4&lt;B2,"已过期",96010014)</f>
        <v>96010014</v>
      </c>
      <c r="F4" s="1032">
        <v>47118</v>
      </c>
    </row>
    <row r="5" spans="1:6" ht="24" customHeight="1">
      <c r="A5" s="1704" t="s">
        <v>831</v>
      </c>
      <c r="B5" s="1024">
        <f ca="1">IF(C5&lt;B2,"已过期",1119970074)</f>
        <v>1119970074</v>
      </c>
      <c r="C5" s="2344">
        <v>43849</v>
      </c>
      <c r="D5" s="2347" t="s">
        <v>831</v>
      </c>
      <c r="E5" s="1024">
        <f ca="1">IF(F5&lt;B2,"已过期",2002110027)</f>
        <v>2002110027</v>
      </c>
      <c r="F5" s="1032">
        <v>46752</v>
      </c>
    </row>
    <row r="6" spans="1:6" ht="24" customHeight="1">
      <c r="A6" s="1704" t="s">
        <v>832</v>
      </c>
      <c r="B6" s="1024">
        <f ca="1">IF(C6&lt;B2,"已过期",1119970111)</f>
        <v>1119970111</v>
      </c>
      <c r="C6" s="2344">
        <v>43849</v>
      </c>
      <c r="D6" s="2347" t="s">
        <v>832</v>
      </c>
      <c r="E6" s="1024">
        <f ca="1">IF(F6&lt;B2,"已过期",94010078)</f>
        <v>94010078</v>
      </c>
      <c r="F6" s="1032">
        <v>46387</v>
      </c>
    </row>
    <row r="7" spans="1:6" ht="24" customHeight="1">
      <c r="A7" s="1704" t="s">
        <v>833</v>
      </c>
      <c r="B7" s="1024">
        <f ca="1">IF(C7&lt;B2,"已过期",1120050019)</f>
        <v>1120050019</v>
      </c>
      <c r="C7" s="2344">
        <v>43359</v>
      </c>
      <c r="D7" s="2347" t="s">
        <v>833</v>
      </c>
      <c r="E7" s="1024">
        <f ca="1">IF(F7&lt;B2,"已过期",2002110030)</f>
        <v>2002110030</v>
      </c>
      <c r="F7" s="1032">
        <v>46387</v>
      </c>
    </row>
    <row r="8" spans="1:6" ht="24" customHeight="1">
      <c r="A8" s="1704" t="s">
        <v>834</v>
      </c>
      <c r="B8" s="1024">
        <f ca="1">IF(C8&lt;B2,"已过期",1120000080)</f>
        <v>1120000080</v>
      </c>
      <c r="C8" s="2344">
        <v>43849</v>
      </c>
      <c r="D8" s="2347" t="s">
        <v>834</v>
      </c>
      <c r="E8" s="1024">
        <f ca="1">IF(F8&lt;B2,"已过期",2000110082)</f>
        <v>2000110082</v>
      </c>
      <c r="F8" s="1032">
        <v>46387</v>
      </c>
    </row>
    <row r="9" spans="1:6" ht="24" customHeight="1">
      <c r="A9" s="1704" t="s">
        <v>835</v>
      </c>
      <c r="B9" s="1024">
        <f ca="1">IF(C9&lt;B2,"已过期",1419970001)</f>
        <v>1419970001</v>
      </c>
      <c r="C9" s="2344">
        <v>43867</v>
      </c>
      <c r="D9" s="2347" t="s">
        <v>835</v>
      </c>
      <c r="E9" s="1024">
        <f ca="1">IF(F9&lt;B2,"已过期",2002110125)</f>
        <v>2002110125</v>
      </c>
      <c r="F9" s="1032">
        <v>47118</v>
      </c>
    </row>
    <row r="10" spans="1:6" ht="24" customHeight="1">
      <c r="A10" s="1704" t="s">
        <v>836</v>
      </c>
      <c r="B10" s="1024">
        <f ca="1">IF(C10&lt;B2,"已过期",1120060040)</f>
        <v>1120060040</v>
      </c>
      <c r="C10" s="2344">
        <v>43483</v>
      </c>
      <c r="D10" s="2347" t="s">
        <v>836</v>
      </c>
      <c r="E10" s="1024">
        <f ca="1">IF(F10&lt;B2,"已过期",2004110096)</f>
        <v>2004110096</v>
      </c>
      <c r="F10" s="1032">
        <v>47118</v>
      </c>
    </row>
    <row r="11" spans="1:6" ht="24" customHeight="1">
      <c r="A11" s="1704" t="s">
        <v>837</v>
      </c>
      <c r="B11" s="1024">
        <f ca="1">IF(C11&lt;B2,"已过期",1120100036)</f>
        <v>1120100036</v>
      </c>
      <c r="C11" s="2344">
        <v>43622</v>
      </c>
      <c r="D11" s="2347" t="s">
        <v>837</v>
      </c>
      <c r="E11" s="1024">
        <f ca="1">IF(F11&lt;B2,"已过期",2010110070)</f>
        <v>2010110070</v>
      </c>
      <c r="F11" s="1032">
        <v>47907</v>
      </c>
    </row>
    <row r="12" spans="1:6" ht="24" customHeight="1">
      <c r="A12" s="1704"/>
      <c r="B12" s="1024"/>
      <c r="C12" s="2344"/>
      <c r="D12" s="2347"/>
      <c r="E12" s="1024"/>
      <c r="F12" s="1024"/>
    </row>
    <row r="13" spans="1:6" ht="24" customHeight="1">
      <c r="A13" s="1704" t="s">
        <v>838</v>
      </c>
      <c r="B13" s="1024">
        <f ca="1">IF(C13&lt;B2,"已过期",1120070131)</f>
        <v>1120070131</v>
      </c>
      <c r="C13" s="2344">
        <v>43814</v>
      </c>
      <c r="D13" s="2347" t="s">
        <v>838</v>
      </c>
      <c r="E13" s="1024">
        <v>2014110011</v>
      </c>
      <c r="F13" s="1032">
        <v>49302</v>
      </c>
    </row>
    <row r="14" spans="1:6" ht="24" customHeight="1">
      <c r="A14" s="1704" t="s">
        <v>839</v>
      </c>
      <c r="B14" s="1024">
        <f ca="1">IF(C14&lt;B2,"已过期",1120130020)</f>
        <v>1120130020</v>
      </c>
      <c r="C14" s="2344">
        <v>43622</v>
      </c>
      <c r="D14" s="2347"/>
      <c r="E14" s="1024"/>
      <c r="F14" s="1024"/>
    </row>
    <row r="15" spans="1:6" ht="24" customHeight="1">
      <c r="A15" s="1705" t="s">
        <v>1144</v>
      </c>
      <c r="B15" s="1024">
        <v>1120070085</v>
      </c>
      <c r="C15" s="2344">
        <v>43814</v>
      </c>
      <c r="D15" s="2348" t="s">
        <v>1144</v>
      </c>
      <c r="E15" s="1024">
        <v>2004110128</v>
      </c>
      <c r="F15" s="1025">
        <v>47118</v>
      </c>
    </row>
    <row r="16" spans="1:6" ht="24" customHeight="1">
      <c r="A16" s="1704" t="s">
        <v>840</v>
      </c>
      <c r="B16" s="1024">
        <f ca="1">IF(C16&lt;B2,"已过期",1120140022)</f>
        <v>1120140022</v>
      </c>
      <c r="C16" s="2344">
        <v>44029</v>
      </c>
      <c r="D16" s="2347" t="s">
        <v>840</v>
      </c>
      <c r="E16" s="1024">
        <f ca="1">IF(F16&lt;B2,"已过期",2008110059)</f>
        <v>2008110059</v>
      </c>
      <c r="F16" s="1032">
        <v>47177</v>
      </c>
    </row>
    <row r="17" spans="1:7" ht="24" customHeight="1">
      <c r="A17" s="1704"/>
      <c r="B17" s="1024"/>
      <c r="C17" s="2344"/>
      <c r="D17" s="2347"/>
      <c r="E17" s="1024"/>
      <c r="F17" s="1032"/>
    </row>
    <row r="18" spans="1:7" ht="24" customHeight="1">
      <c r="A18" s="1704"/>
      <c r="B18" s="1024"/>
      <c r="C18" s="2344"/>
      <c r="D18" s="2347"/>
      <c r="E18" s="1024"/>
      <c r="F18" s="1032"/>
    </row>
    <row r="19" spans="1:7" ht="24" customHeight="1">
      <c r="A19" s="1704"/>
      <c r="B19" s="1024"/>
      <c r="C19" s="2344"/>
      <c r="D19" s="2347"/>
      <c r="E19" s="1024"/>
      <c r="F19" s="1024"/>
    </row>
    <row r="20" spans="1:7" ht="24" customHeight="1">
      <c r="A20" s="1704"/>
      <c r="B20" s="1024"/>
      <c r="C20" s="2344"/>
      <c r="D20" s="2347"/>
      <c r="E20" s="1024"/>
      <c r="F20" s="1024"/>
    </row>
    <row r="21" spans="1:7" ht="24" customHeight="1">
      <c r="A21" s="1704"/>
      <c r="B21" s="1024"/>
      <c r="C21" s="2344"/>
      <c r="D21" s="2347" t="s">
        <v>841</v>
      </c>
      <c r="E21" s="1024">
        <f ca="1">IF(F21&lt;B2,"已过期",2011110090)</f>
        <v>2011110090</v>
      </c>
      <c r="F21" s="1032">
        <v>48302</v>
      </c>
    </row>
    <row r="22" spans="1:7" ht="24" customHeight="1">
      <c r="A22" s="1704" t="s">
        <v>842</v>
      </c>
      <c r="B22" s="1024">
        <f ca="1">IF(C22&lt;B2,"已过期",1120020033)</f>
        <v>1120020033</v>
      </c>
      <c r="C22" s="2344">
        <v>43304</v>
      </c>
      <c r="D22" s="2347" t="s">
        <v>842</v>
      </c>
      <c r="E22" s="1024">
        <f ca="1">IF(F22&lt;B2,"已过期",2000110137)</f>
        <v>2000110137</v>
      </c>
      <c r="F22" s="1032">
        <v>46387</v>
      </c>
    </row>
    <row r="23" spans="1:7" ht="24" customHeight="1">
      <c r="A23" s="1704" t="s">
        <v>843</v>
      </c>
      <c r="B23" s="1024">
        <f ca="1">IF(C23&lt;B2,"已过期",1120130048)</f>
        <v>1120130048</v>
      </c>
      <c r="C23" s="2344">
        <v>43686</v>
      </c>
      <c r="D23" s="2347"/>
      <c r="E23" s="1024"/>
      <c r="F23" s="1024"/>
    </row>
    <row r="24" spans="1:7" s="1026" customFormat="1" ht="24" customHeight="1">
      <c r="A24" s="1705" t="s">
        <v>1329</v>
      </c>
      <c r="B24" s="1705" t="s">
        <v>1329</v>
      </c>
      <c r="C24" s="2345" t="s">
        <v>1329</v>
      </c>
      <c r="D24" s="2348" t="s">
        <v>1329</v>
      </c>
      <c r="E24" s="1705" t="s">
        <v>1329</v>
      </c>
      <c r="F24" s="1705" t="s">
        <v>1329</v>
      </c>
    </row>
    <row r="25" spans="1:7" ht="24" customHeight="1">
      <c r="A25" s="3351" t="s">
        <v>844</v>
      </c>
      <c r="B25" s="3351"/>
      <c r="C25" s="3351"/>
      <c r="D25" s="3351"/>
      <c r="E25" s="3351"/>
      <c r="F25" s="3351"/>
      <c r="G25" s="3351"/>
    </row>
    <row r="26" spans="1:7" s="1027" customFormat="1" ht="24" customHeight="1">
      <c r="A26" s="3352" t="s">
        <v>845</v>
      </c>
      <c r="B26" s="3352"/>
      <c r="C26" s="3353"/>
      <c r="D26" s="3354" t="s">
        <v>846</v>
      </c>
      <c r="E26" s="3352"/>
      <c r="F26" s="3352"/>
    </row>
    <row r="27" spans="1:7" s="1029" customFormat="1" ht="24" customHeight="1">
      <c r="A27" s="1028" t="s">
        <v>847</v>
      </c>
      <c r="B27" s="1023" t="s">
        <v>848</v>
      </c>
      <c r="C27" s="2343" t="s">
        <v>849</v>
      </c>
      <c r="D27" s="2351" t="s">
        <v>847</v>
      </c>
      <c r="E27" s="1023" t="s">
        <v>848</v>
      </c>
      <c r="F27" s="1023" t="s">
        <v>849</v>
      </c>
    </row>
    <row r="28" spans="1:7" s="1029" customFormat="1" ht="24" customHeight="1">
      <c r="A28" s="1030" t="s">
        <v>850</v>
      </c>
      <c r="B28" s="1031" t="s">
        <v>851</v>
      </c>
      <c r="C28" s="2349">
        <v>43725</v>
      </c>
      <c r="D28" s="2352" t="s">
        <v>852</v>
      </c>
      <c r="E28" s="1030" t="s">
        <v>853</v>
      </c>
      <c r="F28" s="1060">
        <v>44377</v>
      </c>
    </row>
    <row r="29" spans="1:7" s="1029" customFormat="1" ht="24" customHeight="1">
      <c r="A29" s="1030"/>
      <c r="B29" s="1030"/>
      <c r="C29" s="2350"/>
      <c r="D29" s="2352" t="s">
        <v>854</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44" priority="55">
      <formula>AND($C28-TODAY()&lt;30,TODAY()&lt;$C28)</formula>
    </cfRule>
  </conditionalFormatting>
  <conditionalFormatting sqref="C28 F4">
    <cfRule type="cellIs" dxfId="243" priority="57" stopIfTrue="1" operator="lessThan">
      <formula>$B$2</formula>
    </cfRule>
  </conditionalFormatting>
  <conditionalFormatting sqref="C5">
    <cfRule type="expression" dxfId="242" priority="52">
      <formula>AND($C5-TODAY()&lt;30,TODAY()&lt;$C5)</formula>
    </cfRule>
  </conditionalFormatting>
  <conditionalFormatting sqref="C5 F5">
    <cfRule type="cellIs" dxfId="241" priority="53" stopIfTrue="1" operator="lessThan">
      <formula>$B$2</formula>
    </cfRule>
  </conditionalFormatting>
  <conditionalFormatting sqref="F6 F8 F10">
    <cfRule type="cellIs" dxfId="240" priority="51" stopIfTrue="1" operator="lessThan">
      <formula>$B$2</formula>
    </cfRule>
  </conditionalFormatting>
  <conditionalFormatting sqref="C4:C23">
    <cfRule type="expression" dxfId="239" priority="49">
      <formula>AND($C4-TODAY()&lt;30,TODAY()&lt;$C4)</formula>
    </cfRule>
  </conditionalFormatting>
  <conditionalFormatting sqref="F7 F9 F11 C4:C23">
    <cfRule type="cellIs" dxfId="238" priority="50" stopIfTrue="1" operator="lessThan">
      <formula>$B$2</formula>
    </cfRule>
  </conditionalFormatting>
  <conditionalFormatting sqref="C12">
    <cfRule type="expression" dxfId="237" priority="47">
      <formula>AND($C12-TODAY()&lt;30,TODAY()&lt;$C12)</formula>
    </cfRule>
  </conditionalFormatting>
  <conditionalFormatting sqref="C12">
    <cfRule type="cellIs" dxfId="236" priority="48" stopIfTrue="1" operator="lessThan">
      <formula>$B$2</formula>
    </cfRule>
  </conditionalFormatting>
  <conditionalFormatting sqref="C14">
    <cfRule type="expression" dxfId="235" priority="43">
      <formula>AND($C14-TODAY()&lt;30,TODAY()&lt;$C14)</formula>
    </cfRule>
  </conditionalFormatting>
  <conditionalFormatting sqref="C14">
    <cfRule type="cellIs" dxfId="234" priority="44" stopIfTrue="1" operator="lessThan">
      <formula>$B$2</formula>
    </cfRule>
  </conditionalFormatting>
  <conditionalFormatting sqref="C16">
    <cfRule type="expression" dxfId="233" priority="41">
      <formula>AND($C16-TODAY()&lt;30,TODAY()&lt;$C16)</formula>
    </cfRule>
  </conditionalFormatting>
  <conditionalFormatting sqref="C16">
    <cfRule type="cellIs" dxfId="232" priority="42" stopIfTrue="1" operator="lessThan">
      <formula>$B$2</formula>
    </cfRule>
  </conditionalFormatting>
  <conditionalFormatting sqref="C18">
    <cfRule type="expression" dxfId="231" priority="39">
      <formula>AND($C18-TODAY()&lt;30,TODAY()&lt;$C18)</formula>
    </cfRule>
  </conditionalFormatting>
  <conditionalFormatting sqref="C18">
    <cfRule type="cellIs" dxfId="230" priority="40" stopIfTrue="1" operator="lessThan">
      <formula>$B$2</formula>
    </cfRule>
  </conditionalFormatting>
  <conditionalFormatting sqref="C20">
    <cfRule type="expression" dxfId="229" priority="37">
      <formula>AND($C20-TODAY()&lt;30,TODAY()&lt;$C20)</formula>
    </cfRule>
  </conditionalFormatting>
  <conditionalFormatting sqref="C20">
    <cfRule type="cellIs" dxfId="228" priority="38" stopIfTrue="1" operator="lessThan">
      <formula>$B$2</formula>
    </cfRule>
  </conditionalFormatting>
  <conditionalFormatting sqref="C22">
    <cfRule type="expression" dxfId="227" priority="35">
      <formula>AND($C22-TODAY()&lt;30,TODAY()&lt;$C22)</formula>
    </cfRule>
  </conditionalFormatting>
  <conditionalFormatting sqref="C22">
    <cfRule type="cellIs" dxfId="226" priority="36" stopIfTrue="1" operator="lessThan">
      <formula>$B$2</formula>
    </cfRule>
  </conditionalFormatting>
  <conditionalFormatting sqref="C15">
    <cfRule type="expression" dxfId="225" priority="33">
      <formula>AND($C15-TODAY()&lt;30,TODAY()&lt;$C15)</formula>
    </cfRule>
  </conditionalFormatting>
  <conditionalFormatting sqref="C15">
    <cfRule type="cellIs" dxfId="224" priority="34" stopIfTrue="1" operator="lessThan">
      <formula>$B$2</formula>
    </cfRule>
  </conditionalFormatting>
  <conditionalFormatting sqref="C17">
    <cfRule type="expression" dxfId="223" priority="31">
      <formula>AND($C17-TODAY()&lt;30,TODAY()&lt;$C17)</formula>
    </cfRule>
  </conditionalFormatting>
  <conditionalFormatting sqref="C17">
    <cfRule type="cellIs" dxfId="222" priority="32" stopIfTrue="1" operator="lessThan">
      <formula>$B$2</formula>
    </cfRule>
  </conditionalFormatting>
  <conditionalFormatting sqref="C19">
    <cfRule type="expression" dxfId="221" priority="29">
      <formula>AND($C19-TODAY()&lt;30,TODAY()&lt;$C19)</formula>
    </cfRule>
  </conditionalFormatting>
  <conditionalFormatting sqref="C19">
    <cfRule type="cellIs" dxfId="220" priority="30" stopIfTrue="1" operator="lessThan">
      <formula>$B$2</formula>
    </cfRule>
  </conditionalFormatting>
  <conditionalFormatting sqref="C21">
    <cfRule type="expression" dxfId="219" priority="27">
      <formula>AND($C21-TODAY()&lt;30,TODAY()&lt;$C21)</formula>
    </cfRule>
  </conditionalFormatting>
  <conditionalFormatting sqref="C21">
    <cfRule type="cellIs" dxfId="218" priority="28" stopIfTrue="1" operator="lessThan">
      <formula>$B$2</formula>
    </cfRule>
  </conditionalFormatting>
  <conditionalFormatting sqref="C23">
    <cfRule type="expression" dxfId="217" priority="25">
      <formula>AND($C23-TODAY()&lt;30,TODAY()&lt;$C23)</formula>
    </cfRule>
  </conditionalFormatting>
  <conditionalFormatting sqref="C23">
    <cfRule type="cellIs" dxfId="216" priority="26" stopIfTrue="1" operator="lessThan">
      <formula>$B$2</formula>
    </cfRule>
  </conditionalFormatting>
  <conditionalFormatting sqref="F16">
    <cfRule type="cellIs" dxfId="215" priority="23" stopIfTrue="1" operator="lessThan">
      <formula>$B$2</formula>
    </cfRule>
  </conditionalFormatting>
  <conditionalFormatting sqref="F18">
    <cfRule type="cellIs" dxfId="214" priority="22" stopIfTrue="1" operator="lessThan">
      <formula>$B$2</formula>
    </cfRule>
  </conditionalFormatting>
  <conditionalFormatting sqref="F22">
    <cfRule type="cellIs" dxfId="213" priority="21" stopIfTrue="1" operator="lessThan">
      <formula>$B$2</formula>
    </cfRule>
  </conditionalFormatting>
  <conditionalFormatting sqref="F21">
    <cfRule type="cellIs" dxfId="212" priority="20" stopIfTrue="1" operator="lessThan">
      <formula>$B$2</formula>
    </cfRule>
  </conditionalFormatting>
  <conditionalFormatting sqref="F17">
    <cfRule type="cellIs" dxfId="211" priority="19" stopIfTrue="1" operator="lessThan">
      <formula>$B$2</formula>
    </cfRule>
  </conditionalFormatting>
  <conditionalFormatting sqref="B4:B14 E4:E14 B16:B23 E16:E23">
    <cfRule type="cellIs" dxfId="210" priority="18" stopIfTrue="1" operator="equal">
      <formula>"已过期"</formula>
    </cfRule>
  </conditionalFormatting>
  <conditionalFormatting sqref="A24:F24">
    <cfRule type="cellIs" dxfId="209" priority="14" stopIfTrue="1" operator="equal">
      <formula>"已过期"</formula>
    </cfRule>
  </conditionalFormatting>
  <conditionalFormatting sqref="F28">
    <cfRule type="expression" dxfId="208" priority="12">
      <formula>AND($E28-TODAY()&lt;30,TODAY()&lt;$E28)</formula>
    </cfRule>
  </conditionalFormatting>
  <conditionalFormatting sqref="F28">
    <cfRule type="cellIs" dxfId="207" priority="13" stopIfTrue="1" operator="lessThan">
      <formula>$B$2</formula>
    </cfRule>
  </conditionalFormatting>
  <conditionalFormatting sqref="F29">
    <cfRule type="expression" dxfId="206" priority="8" stopIfTrue="1">
      <formula>AND($E29-TODAY()&lt;30,TODAY()&lt;$E29)</formula>
    </cfRule>
  </conditionalFormatting>
  <conditionalFormatting sqref="F29">
    <cfRule type="cellIs" dxfId="205" priority="9" stopIfTrue="1" operator="lessThan">
      <formula>$B$2</formula>
    </cfRule>
  </conditionalFormatting>
  <conditionalFormatting sqref="B15">
    <cfRule type="cellIs" dxfId="204" priority="6" stopIfTrue="1" operator="equal">
      <formula>"已过期"</formula>
    </cfRule>
  </conditionalFormatting>
  <conditionalFormatting sqref="A15">
    <cfRule type="cellIs" dxfId="203" priority="5" stopIfTrue="1" operator="equal">
      <formula>"已过期"</formula>
    </cfRule>
  </conditionalFormatting>
  <conditionalFormatting sqref="C15">
    <cfRule type="expression" dxfId="202" priority="4">
      <formula>AND($C15-TODAY()&lt;30,TODAY()&lt;$C15)</formula>
    </cfRule>
  </conditionalFormatting>
  <conditionalFormatting sqref="E15">
    <cfRule type="cellIs" dxfId="201" priority="3" stopIfTrue="1" operator="equal">
      <formula>"已过期"</formula>
    </cfRule>
  </conditionalFormatting>
  <conditionalFormatting sqref="D15">
    <cfRule type="cellIs" dxfId="200" priority="2" stopIfTrue="1" operator="equal">
      <formula>"已过期"</formula>
    </cfRule>
  </conditionalFormatting>
  <conditionalFormatting sqref="F13">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收益法-办公</vt:lpstr>
      <vt:lpstr>收益法 (元)</vt:lpstr>
      <vt:lpstr>收益法（汇总）</vt:lpstr>
      <vt:lpstr>酒店收入计算</vt:lpstr>
      <vt:lpstr>比较法-商业</vt:lpstr>
      <vt:lpstr>比较法-办公</vt:lpstr>
      <vt:lpstr>比较法-工业</vt:lpstr>
      <vt:lpstr>比较法-联排</vt:lpstr>
      <vt:lpstr>收益法-联排</vt:lpstr>
      <vt:lpstr>收益法-商业</vt:lpstr>
      <vt:lpstr>比较法-车位 (2)</vt:lpstr>
      <vt:lpstr>收益法-地下商业</vt:lpstr>
      <vt:lpstr>比较法-车位</vt:lpstr>
      <vt:lpstr>收益法-车库</vt:lpstr>
      <vt:lpstr>比较法-仓储</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'收益法-车库'!Print_Area</vt:lpstr>
      <vt:lpstr>'收益法-地下商业'!Print_Area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2018-01-10T05:28:44Z</dcterms:modified>
</cp:coreProperties>
</file>