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0" r:id="rId47"/>
    <sheet name="Sheet3" sheetId="82"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W20" i="1" l="1"/>
  <c r="C6" i="68" l="1"/>
  <c r="E109" i="40"/>
  <c r="F109" i="40" s="1"/>
  <c r="G109" i="40" s="1"/>
  <c r="H109" i="40" s="1"/>
  <c r="D109" i="40"/>
  <c r="E108" i="40"/>
  <c r="F108" i="40" s="1"/>
  <c r="G108" i="40" s="1"/>
  <c r="H108" i="40" s="1"/>
  <c r="D108" i="40"/>
  <c r="I34" i="40"/>
  <c r="G34" i="40"/>
  <c r="E34" i="40"/>
  <c r="C34" i="40"/>
  <c r="I41" i="40"/>
  <c r="G41" i="40"/>
  <c r="E41" i="40"/>
  <c r="I7" i="40"/>
  <c r="G7" i="40"/>
  <c r="E7" i="40"/>
  <c r="I5" i="40"/>
  <c r="G5" i="40"/>
  <c r="E5" i="40"/>
  <c r="U6" i="1"/>
  <c r="V19" i="1"/>
  <c r="V18" i="1"/>
  <c r="Y6" i="1"/>
  <c r="N6" i="1"/>
  <c r="F19" i="6"/>
  <c r="I13" i="3"/>
  <c r="A3" i="3"/>
  <c r="C6" i="81"/>
  <c r="BA3" i="80"/>
  <c r="BA4" i="80"/>
  <c r="BA5" i="80"/>
  <c r="BA6" i="80"/>
  <c r="BA7" i="80"/>
  <c r="BA8" i="80"/>
  <c r="BA9" i="80"/>
  <c r="BA10" i="80"/>
  <c r="BA11" i="80"/>
  <c r="BA12" i="80"/>
  <c r="BA13" i="80"/>
  <c r="BA14" i="80"/>
  <c r="BA15" i="80"/>
  <c r="BA16" i="80"/>
  <c r="BA17" i="80"/>
  <c r="BA18" i="80"/>
  <c r="BA19" i="80"/>
  <c r="BA20" i="80"/>
  <c r="BA21" i="80"/>
  <c r="BA22" i="80"/>
  <c r="BA23" i="80"/>
  <c r="BA24" i="80"/>
  <c r="BA25" i="80"/>
  <c r="BA26" i="80"/>
  <c r="BA27" i="80"/>
  <c r="BA28" i="80"/>
  <c r="BA29" i="80"/>
  <c r="BA30" i="80"/>
  <c r="BA31" i="80"/>
  <c r="BA32" i="80"/>
  <c r="BA33" i="80"/>
  <c r="BA34" i="80"/>
  <c r="BA35" i="80"/>
  <c r="BA36" i="80"/>
  <c r="BA37" i="80"/>
  <c r="BA38" i="80"/>
  <c r="BA39" i="80"/>
  <c r="BA40" i="80"/>
  <c r="BA41" i="80"/>
  <c r="BA42" i="80"/>
  <c r="BA43" i="80"/>
  <c r="BA44" i="80"/>
  <c r="BA45" i="80"/>
  <c r="BA46" i="80"/>
  <c r="BA47" i="80"/>
  <c r="BA48" i="80"/>
  <c r="BA49" i="80"/>
  <c r="BA50" i="80"/>
  <c r="BA51" i="80"/>
  <c r="BA2" i="80"/>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AB39" i="40"/>
  <c r="AC40" i="40"/>
  <c r="AA9" i="40"/>
  <c r="AC9" i="40"/>
  <c r="U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6" i="67"/>
  <c r="F42" i="67"/>
  <c r="M6" i="15"/>
  <c r="F42" i="15"/>
  <c r="J15" i="15"/>
  <c r="M23" i="67"/>
  <c r="B11" i="76"/>
  <c r="E12" i="76"/>
  <c r="F38" i="15"/>
  <c r="F7" i="15"/>
  <c r="B10" i="76"/>
  <c r="E9" i="76"/>
  <c r="F9" i="67"/>
  <c r="B7" i="76"/>
  <c r="F7" i="73"/>
  <c r="F16" i="67"/>
  <c r="F20" i="31"/>
  <c r="M29" i="67"/>
  <c r="E2" i="69"/>
  <c r="F43" i="67"/>
  <c r="M24" i="15"/>
  <c r="M28" i="67"/>
  <c r="C76" i="15"/>
  <c r="J15" i="67"/>
  <c r="E11" i="76"/>
  <c r="F36" i="67"/>
  <c r="D4" i="73"/>
  <c r="C76" i="67"/>
  <c r="M9" i="67"/>
  <c r="E7" i="76"/>
  <c r="F37" i="15"/>
  <c r="L48" i="15"/>
  <c r="B9" i="76"/>
  <c r="F9" i="15"/>
  <c r="B12" i="76"/>
  <c r="L48" i="67"/>
  <c r="F6" i="73"/>
  <c r="F13" i="67"/>
  <c r="F38" i="67"/>
  <c r="M26" i="67"/>
  <c r="L47" i="67"/>
  <c r="F5" i="73"/>
  <c r="B8" i="76"/>
  <c r="E2" i="68"/>
  <c r="F26" i="15"/>
  <c r="M8" i="15"/>
  <c r="F16" i="15"/>
  <c r="D5" i="73"/>
  <c r="B13" i="76"/>
  <c r="F8" i="67"/>
  <c r="L47" i="15"/>
  <c r="M6" i="67"/>
  <c r="F7" i="67"/>
  <c r="M28" i="15"/>
  <c r="M24" i="67"/>
  <c r="M26" i="15"/>
  <c r="D7" i="73"/>
  <c r="M9" i="15"/>
  <c r="F4" i="73"/>
  <c r="AO13" i="1"/>
  <c r="F26" i="67"/>
  <c r="D6" i="73"/>
  <c r="M23" i="15"/>
  <c r="E8" i="76"/>
  <c r="E10" i="76"/>
  <c r="M29" i="15"/>
  <c r="F3" i="73"/>
  <c r="M22" i="15"/>
  <c r="F37" i="67"/>
  <c r="F43" i="15"/>
  <c r="E13" i="76"/>
  <c r="M8" i="67"/>
  <c r="F8" i="15"/>
  <c r="D3" i="73"/>
  <c r="F40" i="15"/>
  <c r="F36" i="15"/>
  <c r="F6" i="15"/>
  <c r="F13" i="15"/>
  <c r="M22" i="67"/>
  <c r="U34" i="40" l="1"/>
  <c r="S34" i="40"/>
  <c r="W8" i="40"/>
  <c r="C28" i="67"/>
  <c r="C21" i="68"/>
  <c r="C40" i="69"/>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K16" i="1" l="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35" i="9"/>
  <c r="C20" i="9"/>
  <c r="D2" i="21"/>
  <c r="D34"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4"/>
  <c r="D2" i="37"/>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7" i="1"/>
  <c r="AO12" i="1"/>
  <c r="AO11" i="1"/>
  <c r="AO10" i="1"/>
  <c r="AO6" i="1"/>
  <c r="AO9" i="1"/>
  <c r="AO8"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H4" i="52" l="1"/>
  <c r="D14" i="74"/>
  <c r="H101" i="9"/>
  <c r="H107" i="9" s="1"/>
  <c r="D13" i="53" s="1"/>
  <c r="I118" i="9"/>
  <c r="I4" i="52" s="1"/>
  <c r="D119" i="9"/>
  <c r="D5" i="52" s="1"/>
  <c r="B49" i="72" s="1"/>
  <c r="H102" i="9"/>
  <c r="F119" i="9"/>
  <c r="F5" i="52" s="1"/>
  <c r="B53" i="72" s="1"/>
  <c r="G118" i="9"/>
  <c r="G4" i="52" s="1"/>
  <c r="B52" i="72" s="1"/>
  <c r="D5" i="53"/>
  <c r="H119" i="9"/>
  <c r="H5" i="52" s="1"/>
  <c r="M48" i="9"/>
  <c r="C104" i="9"/>
  <c r="E118" i="9"/>
  <c r="E4" i="52" s="1"/>
  <c r="B48" i="72" s="1"/>
  <c r="F14" i="74" l="1"/>
  <c r="E14" i="74"/>
  <c r="B5" i="74"/>
  <c r="D5" i="74" s="1"/>
  <c r="C105" i="9"/>
  <c r="H108" i="9"/>
  <c r="D15" i="53" s="1"/>
  <c r="B31" i="72" s="1"/>
  <c r="D122" i="9"/>
  <c r="D45" i="9"/>
  <c r="D55" i="9" s="1"/>
  <c r="M53" i="9" s="1"/>
  <c r="M49" i="9"/>
  <c r="L67" i="9" s="1"/>
  <c r="M67" i="9" s="1"/>
  <c r="D8" i="52"/>
  <c r="B20" i="72"/>
  <c r="D6" i="53"/>
  <c r="B22" i="72" s="1"/>
  <c r="C5" i="74"/>
  <c r="D7" i="53"/>
  <c r="B21" i="72" s="1"/>
  <c r="B30" i="72"/>
  <c r="D14" i="53"/>
  <c r="B32" i="72" s="1"/>
  <c r="D123" i="9" l="1"/>
  <c r="D9" i="52" s="1"/>
  <c r="G14" i="74"/>
  <c r="B6" i="74" s="1"/>
  <c r="L64" i="9"/>
  <c r="M64" i="9" s="1"/>
  <c r="L66" i="9"/>
  <c r="M66" i="9" s="1"/>
  <c r="L63" i="9"/>
  <c r="M63" i="9" s="1"/>
  <c r="L68" i="9"/>
  <c r="M68" i="9" s="1"/>
  <c r="L65" i="9"/>
  <c r="M65" i="9" s="1"/>
  <c r="D52" i="9"/>
  <c r="C93" i="9"/>
  <c r="C86" i="9" s="1"/>
  <c r="C85" i="9"/>
  <c r="D53" i="9"/>
  <c r="C72" i="9"/>
  <c r="C64" i="9"/>
  <c r="C63" i="9" s="1"/>
  <c r="C67" i="9" s="1"/>
  <c r="D59" i="9" s="1"/>
  <c r="M55" i="9" s="1"/>
  <c r="C78" i="9"/>
  <c r="C73" i="9" s="1"/>
  <c r="D6" i="74" l="1"/>
  <c r="C6" i="74"/>
  <c r="C68" i="9"/>
  <c r="D54" i="9" s="1"/>
  <c r="M69" i="9"/>
  <c r="N69" i="9" s="1"/>
  <c r="C95" i="9"/>
  <c r="C96" i="9" s="1"/>
  <c r="E96" i="9" s="1"/>
  <c r="E97" i="9" s="1"/>
  <c r="C79" i="9"/>
  <c r="C97" i="9" l="1"/>
  <c r="D58" i="9" s="1"/>
  <c r="D56" i="9" s="1"/>
  <c r="M54" i="9" s="1"/>
  <c r="N57" i="9" s="1"/>
  <c r="N58" i="9" s="1"/>
  <c r="C80" i="9"/>
  <c r="E80" i="9" s="1"/>
  <c r="E81" i="9" s="1"/>
  <c r="P57"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<sst xmlns="http://schemas.openxmlformats.org/spreadsheetml/2006/main" count="9640" uniqueCount="3730">
  <si>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</si>
  <si>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</si>
  <si>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</si>
  <si>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</si>
  <si>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</si>
  <si>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</si>
  <si>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</si>
  <si>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</si>
  <si>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</si>
  <si>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</si>
  <si>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</si>
  <si>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</si>
  <si>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</si>
  <si>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</si>
  <si>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</si>
  <si>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</si>
  <si>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</si>
  <si>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</si>
  <si>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</si>
  <si>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</si>
  <si>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</si>
  <si>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</si>
  <si>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</si>
  <si>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</si>
  <si>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</si>
  <si>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</si>
  <si>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</si>
  <si>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</si>
  <si>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</si>
  <si>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</si>
  <si>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</si>
  <si>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</si>
  <si>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</si>
  <si>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</si>
  <si>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</si>
  <si>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</si>
  <si>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</si>
  <si>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</si>
  <si>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</si>
  <si>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</si>
  <si>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</si>
  <si>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</si>
  <si>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</si>
  <si>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</si>
  <si>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</si>
  <si>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</si>
  <si>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</si>
  <si>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</si>
  <si>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</si>
  <si>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</si>
  <si>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</si>
  <si>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</si>
  <si>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</si>
  <si>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</si>
  <si>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</si>
  <si>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</si>
  <si>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</si>
  <si>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</si>
  <si>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</si>
  <si>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</si>
  <si>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</si>
  <si>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</si>
  <si>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</si>
  <si>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</si>
  <si>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</si>
  <si>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</si>
  <si>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</si>
  <si>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</si>
  <si>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</si>
  <si>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</si>
  <si>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</si>
  <si>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</si>
  <si>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</si>
  <si>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</si>
  <si>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</si>
  <si>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</si>
  <si>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</si>
  <si>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</si>
  <si>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</si>
  <si>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</si>
  <si>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</si>
  <si>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</si>
  <si>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</si>
  <si>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</si>
  <si>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</si>
  <si>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</si>
  <si>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</si>
  <si>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</si>
  <si>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</si>
  <si>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</si>
  <si>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</si>
  <si>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</si>
  <si>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</si>
  <si>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</si>
  <si>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</si>
  <si>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</si>
  <si>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</si>
  <si>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</si>
  <si>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</si>
  <si>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</si>
  <si>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</si>
  <si>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</si>
  <si>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</si>
  <si>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</si>
  <si>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</si>
  <si>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</si>
  <si>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</si>
  <si>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</si>
  <si>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</si>
  <si>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</si>
  <si>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</si>
  <si>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</si>
  <si>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</si>
  <si>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</si>
  <si>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</si>
  <si>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</si>
  <si>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</si>
  <si>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</si>
  <si>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</si>
  <si>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</si>
  <si>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</si>
  <si>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</si>
  <si>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</si>
  <si>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</si>
  <si>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</si>
  <si>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</si>
  <si>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</si>
  <si>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</si>
  <si>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</si>
  <si>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</si>
  <si>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</si>
  <si>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</si>
  <si>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</si>
  <si>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</si>
  <si>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</si>
  <si>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</si>
  <si>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</si>
  <si>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</si>
  <si>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</si>
  <si>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</si>
  <si>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</si>
  <si>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</si>
  <si>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</si>
  <si>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</si>
  <si>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</si>
  <si>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</si>
  <si>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</si>
  <si>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</si>
  <si>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</si>
  <si>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</si>
  <si>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</si>
  <si>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</si>
  <si>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</si>
  <si>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</si>
  <si>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</si>
  <si>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</si>
  <si>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</si>
  <si>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</si>
  <si>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</si>
  <si>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</si>
  <si>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</si>
  <si>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</si>
  <si>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</si>
  <si>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</si>
  <si>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</si>
  <si>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</si>
  <si>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</si>
  <si>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</si>
  <si>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</si>
  <si>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</si>
  <si>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</si>
  <si>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</si>
  <si>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</si>
  <si>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</si>
  <si>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</si>
  <si>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</si>
  <si>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</si>
  <si>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</si>
  <si>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</si>
  <si>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</si>
  <si>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</si>
  <si>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</si>
  <si>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</si>
  <si>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</si>
  <si>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</si>
  <si>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</si>
  <si>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</si>
  <si>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</si>
  <si>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</si>
  <si>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</si>
  <si>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</si>
  <si>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</si>
  <si>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</si>
  <si>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</si>
  <si>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</si>
  <si>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</si>
  <si>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</si>
  <si>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</si>
  <si>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</si>
  <si>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</si>
  <si>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</si>
  <si>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</si>
  <si>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</si>
  <si>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</si>
  <si>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</si>
  <si>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</si>
  <si>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</si>
  <si>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</si>
  <si>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</si>
  <si>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</si>
  <si>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</si>
  <si>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</si>
  <si>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</si>
  <si>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</si>
  <si>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</si>
  <si>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</si>
  <si>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</si>
  <si>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</si>
  <si>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</si>
  <si>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</si>
  <si>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</si>
  <si>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</si>
  <si>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</si>
  <si>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</si>
  <si>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</si>
  <si>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</si>
  <si>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</si>
  <si>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</si>
  <si>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</si>
  <si>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</si>
  <si>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</si>
  <si>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</si>
  <si>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</si>
  <si>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</si>
  <si>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</si>
  <si>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</si>
  <si>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</si>
  <si>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</si>
  <si>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</si>
  <si>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</si>
  <si>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</si>
  <si>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</si>
  <si>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</si>
  <si>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</si>
  <si>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</si>
  <si>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</si>
  <si>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</si>
  <si>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</si>
  <si>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</si>
  <si>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</si>
  <si>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</si>
  <si>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</si>
  <si>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</si>
  <si>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</si>
  <si>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</si>
  <si>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</si>
  <si>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</si>
  <si>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</si>
  <si>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</si>
  <si>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</si>
  <si>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</si>
  <si>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</si>
  <si>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</si>
  <si>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</si>
  <si>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</si>
  <si>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</si>
  <si>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</si>
  <si>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</si>
  <si>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</si>
  <si>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</si>
  <si>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</si>
  <si>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</si>
  <si>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</si>
  <si>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</si>
  <si>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</si>
  <si>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</si>
  <si>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</si>
  <si>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</si>
  <si>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</si>
  <si>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</si>
  <si>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</si>
  <si>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</si>
  <si>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</si>
  <si>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</si>
  <si>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</si>
  <si>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</si>
  <si>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</si>
  <si>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</si>
  <si>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</si>
  <si>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</si>
  <si>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</si>
  <si>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</si>
  <si>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</si>
  <si>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</si>
  <si>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</si>
  <si>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</si>
  <si>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</si>
  <si>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</si>
  <si>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</si>
  <si>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</si>
  <si>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</si>
  <si>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</si>
  <si>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</si>
  <si>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</si>
  <si>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</si>
  <si>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</si>
  <si>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</si>
  <si>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</si>
  <si>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</si>
  <si>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</si>
  <si>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</si>
  <si>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</si>
  <si>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</si>
  <si>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</si>
  <si>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</si>
  <si>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</si>
  <si>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</si>
  <si>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</si>
  <si>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</si>
  <si>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</si>
  <si>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</si>
  <si>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</si>
  <si>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</si>
  <si>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</si>
  <si>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</si>
  <si>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</si>
  <si>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</si>
  <si>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</si>
  <si>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</si>
  <si>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</si>
  <si>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</si>
  <si>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</si>
  <si>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</si>
  <si>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</si>
  <si>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</si>
  <si>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</si>
  <si>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</si>
  <si>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</si>
  <si>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</si>
  <si>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</si>
  <si>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</si>
  <si>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</si>
  <si>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</si>
  <si>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</si>
  <si>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</si>
  <si>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</si>
  <si>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</si>
  <si>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</si>
  <si>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</si>
  <si>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</si>
  <si>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</si>
  <si>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</si>
  <si>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</si>
  <si>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</si>
  <si>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</si>
  <si>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</si>
  <si>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</si>
  <si>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</si>
  <si>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</si>
  <si>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</si>
  <si>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</si>
  <si>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</si>
  <si>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</si>
  <si>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</si>
  <si>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</si>
  <si>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</si>
  <si>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</si>
  <si>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</si>
  <si>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</si>
  <si>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</si>
  <si>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</si>
  <si>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</si>
  <si>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</si>
  <si>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</si>
  <si>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</si>
  <si>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</si>
  <si>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</si>
  <si>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</si>
  <si>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</si>
  <si>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</si>
  <si>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</si>
  <si>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</si>
  <si>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</si>
  <si>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</si>
  <si>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</si>
  <si>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</si>
  <si>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</si>
  <si>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</si>
  <si>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</si>
  <si>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</si>
  <si>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</si>
  <si>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</si>
  <si>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</si>
  <si>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</si>
  <si>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</si>
  <si>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</si>
  <si>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</si>
  <si>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</si>
  <si>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</si>
  <si>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</si>
  <si>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</si>
  <si>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</si>
  <si>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</si>
  <si>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</si>
  <si>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</si>
  <si>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</si>
  <si>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</si>
  <si>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</si>
  <si>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</si>
  <si>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</si>
  <si>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</si>
  <si>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</si>
  <si>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</si>
  <si>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</si>
  <si>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</si>
  <si>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</si>
  <si>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</si>
  <si>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</si>
  <si>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</si>
  <si>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</si>
  <si>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</si>
  <si>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</si>
  <si>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</si>
  <si>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</si>
  <si>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</si>
  <si>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</si>
  <si>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</si>
  <si>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</si>
  <si>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</si>
  <si>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</si>
  <si>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</si>
  <si>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</si>
  <si>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</si>
  <si>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</si>
  <si>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</si>
  <si>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</si>
  <si>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</si>
  <si>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</si>
  <si>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</si>
  <si>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</si>
  <si>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</si>
  <si>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</si>
  <si>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</si>
  <si>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</si>
  <si>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</si>
  <si>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</si>
  <si>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</si>
  <si>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</si>
  <si>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</si>
  <si>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</si>
  <si>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</si>
  <si>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</si>
  <si>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</si>
  <si>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</si>
  <si>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</si>
  <si>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</si>
  <si>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</si>
  <si>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</si>
  <si>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</si>
  <si>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</si>
  <si>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</si>
  <si>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</si>
  <si>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</si>
  <si>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</si>
  <si>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</si>
  <si>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</si>
  <si>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</si>
  <si>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</si>
  <si>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</si>
  <si>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</si>
  <si>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</si>
  <si>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</si>
  <si>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</si>
  <si>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</si>
  <si>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</si>
  <si>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</si>
  <si>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</si>
  <si>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</si>
  <si>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</si>
  <si>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</si>
  <si>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</si>
  <si>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</si>
  <si>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</si>
  <si>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</si>
  <si>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</si>
  <si>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</si>
  <si>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</si>
  <si>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</si>
  <si>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</si>
  <si>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</si>
  <si>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</si>
  <si>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</si>
  <si>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</si>
  <si>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</si>
  <si>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</si>
  <si>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</si>
  <si>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</si>
  <si>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</si>
  <si>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</si>
  <si>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</si>
  <si>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</si>
  <si>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</si>
  <si>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</si>
  <si>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</si>
  <si>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</si>
  <si>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</si>
  <si>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</si>
  <si>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</si>
  <si>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</si>
  <si>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</si>
  <si>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</si>
  <si>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</si>
  <si>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</si>
  <si>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</si>
  <si>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</si>
  <si>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</si>
  <si>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</si>
  <si>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</si>
  <si>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</si>
  <si>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</si>
  <si>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</si>
  <si>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</si>
  <si>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</si>
  <si>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</si>
  <si>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</si>
  <si>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</si>
  <si>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</si>
  <si>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</si>
  <si>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</si>
  <si>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</si>
  <si>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</si>
  <si>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</si>
  <si>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</si>
  <si>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</si>
  <si>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</si>
  <si>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</si>
  <si>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</si>
  <si>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</si>
  <si>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</si>
  <si>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</si>
  <si>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</si>
  <si>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</si>
  <si>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</si>
  <si>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</si>
  <si>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</si>
  <si>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</si>
  <si>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</si>
  <si>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</si>
  <si>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</si>
  <si>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</si>
  <si>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</si>
  <si>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</si>
  <si>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</si>
  <si>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</si>
  <si>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</si>
  <si>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</si>
  <si>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</si>
  <si>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</si>
  <si>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</si>
  <si>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</si>
  <si>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</si>
  <si>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</si>
  <si>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</si>
  <si>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</si>
  <si>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</si>
  <si>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</si>
  <si>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</si>
  <si>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</si>
  <si>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</si>
  <si>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</si>
  <si>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</si>
  <si>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</si>
  <si>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</si>
  <si>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</si>
  <si>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</si>
  <si>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</si>
  <si>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</si>
  <si>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</si>
  <si>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</si>
  <si>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</si>
  <si>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</si>
  <si>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</si>
  <si>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</si>
  <si>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</si>
  <si>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</si>
  <si>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</si>
  <si>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</si>
  <si>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</si>
  <si>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</si>
  <si>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</si>
  <si>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</si>
  <si>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</si>
  <si>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</si>
  <si>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</si>
  <si>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</si>
  <si>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</si>
  <si>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</si>
  <si>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</si>
  <si>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</si>
  <si>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</si>
  <si>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</si>
  <si>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</si>
  <si>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</si>
  <si>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</si>
  <si>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</si>
  <si>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</si>
  <si>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</si>
  <si>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</si>
  <si>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</si>
  <si>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</si>
  <si>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</si>
  <si>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</si>
  <si>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</si>
  <si>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</si>
  <si>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</si>
  <si>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</si>
  <si>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</si>
  <si>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</si>
  <si>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</si>
  <si>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</si>
  <si>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</si>
  <si>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</si>
  <si>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</si>
  <si>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</si>
  <si>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</si>
  <si>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</si>
  <si>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</si>
  <si>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</si>
  <si>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</si>
  <si>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</si>
  <si>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</si>
  <si>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</si>
  <si>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</si>
  <si>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</si>
  <si>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</si>
  <si>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</si>
  <si>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</si>
  <si>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</si>
  <si>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</si>
  <si>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</si>
  <si>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</si>
  <si>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</si>
  <si>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</si>
  <si>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</si>
  <si>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</si>
  <si>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</si>
  <si>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</si>
  <si>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</si>
  <si>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</si>
  <si>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</si>
  <si>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</si>
  <si>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</si>
  <si>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</si>
  <si>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</si>
  <si>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</si>
  <si>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</si>
  <si>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</si>
  <si>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</si>
  <si>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</si>
  <si>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</si>
  <si>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</si>
  <si>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</si>
  <si>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</si>
  <si>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</si>
  <si>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</si>
  <si>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</si>
  <si>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</si>
  <si>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</si>
  <si>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</si>
  <si>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</si>
  <si>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</si>
  <si>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</si>
  <si>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</si>
  <si>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</si>
  <si>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</si>
  <si>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</si>
  <si>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</si>
  <si>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</si>
  <si>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</si>
  <si>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</si>
  <si>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</si>
  <si>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</si>
  <si>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</si>
  <si>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</si>
  <si>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</si>
  <si>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</si>
  <si>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</si>
  <si>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</si>
  <si>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</si>
  <si>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</si>
  <si>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</si>
  <si>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</si>
  <si>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</si>
  <si>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</si>
  <si>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</si>
  <si>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</si>
  <si>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</si>
  <si>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</si>
  <si>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</si>
  <si>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</si>
  <si>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</si>
  <si>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</si>
  <si>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</si>
  <si>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</si>
  <si>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</si>
  <si>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</si>
  <si>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</si>
  <si>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</si>
  <si>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</si>
  <si>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</si>
  <si>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</si>
  <si>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</si>
  <si>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</si>
  <si>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</si>
  <si>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</si>
  <si>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</si>
  <si>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</si>
  <si>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</si>
  <si>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</si>
  <si>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</si>
  <si>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</si>
  <si>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</si>
  <si>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</si>
  <si>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</si>
  <si>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</si>
  <si>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</si>
  <si>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</si>
  <si>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</si>
  <si>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</si>
  <si>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</si>
  <si>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</si>
  <si>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</si>
  <si>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</si>
  <si>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</si>
  <si>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</si>
  <si>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</si>
  <si>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</si>
  <si>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</si>
  <si>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</si>
  <si>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</si>
  <si>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</si>
  <si>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</si>
  <si>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</si>
  <si>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</si>
  <si>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</si>
  <si>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</si>
  <si>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</si>
  <si>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</si>
  <si>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</si>
  <si>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</si>
  <si>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</si>
  <si>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</si>
  <si>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</si>
  <si>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</si>
  <si>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</si>
  <si>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</si>
  <si>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</si>
  <si>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</si>
  <si>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</si>
  <si>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</si>
  <si>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</si>
  <si>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</si>
  <si>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</si>
  <si>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</si>
  <si>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</si>
  <si>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</si>
  <si>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</si>
  <si>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</si>
  <si>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</si>
  <si>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</si>
  <si>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</si>
  <si>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</si>
  <si>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</si>
  <si>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</si>
  <si>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</si>
  <si>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</si>
  <si>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</si>
  <si>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</si>
  <si>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</si>
  <si>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</si>
  <si>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</si>
  <si>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</si>
  <si>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</si>
  <si>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</si>
  <si>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</si>
  <si>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</si>
  <si>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</si>
  <si>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</si>
  <si>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</si>
  <si>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</si>
  <si>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</si>
  <si>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</si>
  <si>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</si>
  <si>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</si>
  <si>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</si>
  <si>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</si>
  <si>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</si>
  <si>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</si>
  <si>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</si>
  <si>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</si>
  <si>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</si>
  <si>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</si>
  <si>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</si>
  <si>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</si>
  <si>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</si>
  <si>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</si>
  <si>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</si>
  <si>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</si>
  <si>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</si>
  <si>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</si>
  <si>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</si>
  <si>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</si>
  <si>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</si>
  <si>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</si>
  <si>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</si>
  <si>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</si>
  <si>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</si>
  <si>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</si>
  <si>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</si>
  <si>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</si>
  <si>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</si>
  <si>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</si>
  <si>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</si>
  <si>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</si>
  <si>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</si>
  <si>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</si>
  <si>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</si>
  <si>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</si>
  <si>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</si>
  <si>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</si>
  <si>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</si>
  <si>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</si>
  <si>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</si>
  <si>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</si>
  <si>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</si>
  <si>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</si>
  <si>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</si>
  <si>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</si>
  <si>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</si>
  <si>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</si>
  <si>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</si>
  <si>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</si>
  <si>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</si>
  <si>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</si>
  <si>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</si>
  <si>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</si>
  <si>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</si>
  <si>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</si>
  <si>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</si>
  <si>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</si>
  <si>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</si>
  <si>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</si>
  <si>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</si>
  <si>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</si>
  <si>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</si>
  <si>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</si>
  <si>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</si>
  <si>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</si>
  <si>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</si>
  <si>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</si>
  <si>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</si>
  <si>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</si>
  <si>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</si>
  <si>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</si>
  <si>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</si>
  <si>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</si>
  <si>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</si>
  <si>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</si>
  <si>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</si>
  <si>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</si>
  <si>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</si>
  <si>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</si>
  <si>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</si>
  <si>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</si>
  <si>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</si>
  <si>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</si>
  <si>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</si>
  <si>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</si>
  <si>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</si>
  <si>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</si>
  <si>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</si>
  <si>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</si>
  <si>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</si>
  <si>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</si>
  <si>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</si>
  <si>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</si>
  <si>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</si>
  <si>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</si>
  <si>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</si>
  <si>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</si>
  <si>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</si>
  <si>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</si>
  <si>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</si>
  <si>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</si>
  <si>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</si>
  <si>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</si>
  <si>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</si>
  <si>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</si>
  <si>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</si>
  <si>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</si>
  <si>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</si>
  <si>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</si>
  <si>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</si>
  <si>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</si>
  <si>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</si>
  <si>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</si>
  <si>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</si>
  <si>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</si>
  <si>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</si>
  <si>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</si>
  <si>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</si>
  <si>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</si>
  <si>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</si>
  <si>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</si>
  <si>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</si>
  <si>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</si>
  <si>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</si>
  <si>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</si>
  <si>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</si>
  <si>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</si>
  <si>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</si>
  <si>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</si>
  <si>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</si>
  <si>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</si>
  <si>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</si>
  <si>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</si>
  <si>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</si>
  <si>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</si>
  <si>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</si>
  <si>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</si>
  <si>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</si>
  <si>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</si>
  <si>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</si>
  <si>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</si>
  <si>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</si>
  <si>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</si>
  <si>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</si>
  <si>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</si>
  <si>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</si>
  <si>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</si>
  <si>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</si>
  <si>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</si>
  <si>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</si>
  <si>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</si>
  <si>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</si>
  <si>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</si>
  <si>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</si>
  <si>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</si>
  <si>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</si>
  <si>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</si>
  <si>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</si>
  <si>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</si>
  <si>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</si>
  <si>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</si>
  <si>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</si>
  <si>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</si>
  <si>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</si>
  <si>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</si>
  <si>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</si>
  <si>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</si>
  <si>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</si>
  <si>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</si>
  <si>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</si>
  <si>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</si>
  <si>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</si>
  <si>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</si>
  <si>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</si>
  <si>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</si>
  <si>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</si>
  <si>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</si>
  <si>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</si>
  <si>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</si>
  <si>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</si>
  <si>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</si>
  <si>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</si>
  <si>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</si>
  <si>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</si>
  <si>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</si>
  <si>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</si>
  <si>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</si>
  <si>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</si>
  <si>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</si>
  <si>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</si>
  <si>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</si>
  <si>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</si>
  <si>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</si>
  <si>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</si>
  <si>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</si>
  <si>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</si>
  <si>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</si>
  <si>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</si>
  <si>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</si>
  <si>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</si>
  <si>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</si>
  <si>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</si>
  <si>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</si>
  <si>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</si>
  <si>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</si>
  <si>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</si>
  <si>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</si>
  <si>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</si>
  <si>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</si>
  <si>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</si>
  <si>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</si>
  <si>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</si>
  <si>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</si>
  <si>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</si>
  <si>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</si>
  <si>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</si>
  <si>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</si>
  <si>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</si>
  <si>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</si>
  <si>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</si>
  <si>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</si>
  <si>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</si>
  <si>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</si>
  <si>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</si>
  <si>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</si>
  <si>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</si>
  <si>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</si>
  <si>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</si>
  <si>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</si>
  <si>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</si>
  <si>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</si>
  <si>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</si>
  <si>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</si>
  <si>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</si>
  <si>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</si>
  <si>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</si>
  <si>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</si>
  <si>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</si>
  <si>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</si>
  <si>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</si>
  <si>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</si>
  <si>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</si>
  <si>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</si>
  <si>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</si>
  <si>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</si>
  <si>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</si>
  <si>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</si>
  <si>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</si>
  <si>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</si>
  <si>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</si>
  <si>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</si>
  <si>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</si>
  <si>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</si>
  <si>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</si>
  <si>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</si>
  <si>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</si>
  <si>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</si>
  <si>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</si>
  <si>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</si>
  <si>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</si>
  <si>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</si>
  <si>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</si>
  <si>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</si>
  <si>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</si>
  <si>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</si>
  <si>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</si>
  <si>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</si>
  <si>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</si>
  <si>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</si>
  <si>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</si>
  <si>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</si>
  <si>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</si>
  <si>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</si>
  <si>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</si>
  <si>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</si>
  <si>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</si>
  <si>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</si>
  <si>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</si>
  <si>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</si>
  <si>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</si>
  <si>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</si>
  <si>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</si>
  <si>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</si>
  <si>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</si>
  <si>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</si>
  <si>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</si>
  <si>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</si>
  <si>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</si>
  <si>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</si>
  <si>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</si>
  <si>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</si>
  <si>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</si>
  <si>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</si>
  <si>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</si>
  <si>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</si>
  <si>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</si>
  <si>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</si>
  <si>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</si>
  <si>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</si>
  <si>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</si>
  <si>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</si>
  <si>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</si>
  <si>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</si>
  <si>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</si>
  <si>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</si>
  <si>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</si>
  <si>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</si>
  <si>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</si>
  <si>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</si>
  <si>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</si>
  <si>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</si>
  <si>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</si>
  <si>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</si>
  <si>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</si>
  <si>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</si>
  <si>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</si>
  <si>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</si>
  <si>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</si>
  <si>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</si>
  <si>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</si>
  <si>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</si>
  <si>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</si>
  <si>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</si>
  <si>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</si>
  <si>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</si>
  <si>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</si>
  <si>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</si>
  <si>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</si>
  <si>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</si>
  <si>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</si>
  <si>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</si>
  <si>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</si>
  <si>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</si>
  <si>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</si>
  <si>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</si>
  <si>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</si>
  <si>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</si>
  <si>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</si>
  <si>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</si>
  <si>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</si>
  <si>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</si>
  <si>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</si>
  <si>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</si>
  <si>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</si>
  <si>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</si>
  <si>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</si>
  <si>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</si>
  <si>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</si>
  <si>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</si>
  <si>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</si>
  <si>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</si>
  <si>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</si>
  <si>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</si>
  <si>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</si>
  <si>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</si>
  <si>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</si>
  <si>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</si>
  <si>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</si>
  <si>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</si>
  <si>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</si>
  <si>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</si>
  <si>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</si>
  <si>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</si>
  <si>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</si>
  <si>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</si>
  <si>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</si>
  <si>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</si>
  <si>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</si>
  <si>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</si>
  <si>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</si>
  <si>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</si>
  <si>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</si>
  <si>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</si>
  <si>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</si>
  <si>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</si>
  <si>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</si>
  <si>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</si>
  <si>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</si>
  <si>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</si>
  <si>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</si>
  <si>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</si>
  <si>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</si>
  <si>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</si>
  <si>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</si>
  <si>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</si>
  <si>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</si>
  <si>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</si>
  <si>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</si>
  <si>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</si>
  <si>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</si>
  <si>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</si>
  <si>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</si>
  <si>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</si>
  <si>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</si>
  <si>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</si>
  <si>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</si>
  <si>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</si>
  <si>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</si>
  <si>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</si>
  <si>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</si>
  <si>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</si>
  <si>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</si>
  <si>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</si>
  <si>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</si>
  <si>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</si>
  <si>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</si>
  <si>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</si>
  <si>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</si>
  <si>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</si>
  <si>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</si>
  <si>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</si>
  <si>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</si>
  <si>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</si>
  <si>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</si>
  <si>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</si>
  <si>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</si>
  <si>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</si>
  <si>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</si>
  <si>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</si>
  <si>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</si>
  <si>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</si>
  <si>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</si>
  <si>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</si>
  <si>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</si>
  <si>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</si>
  <si>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</si>
  <si>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</si>
  <si>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</si>
  <si>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</si>
  <si>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</si>
  <si>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</si>
  <si>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</si>
  <si>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</si>
  <si>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</si>
  <si>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</si>
  <si>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</si>
  <si>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</si>
  <si>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</si>
  <si>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</si>
  <si>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</si>
  <si>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</si>
  <si>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</si>
  <si>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</si>
  <si>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</si>
  <si>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</si>
  <si>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</si>
  <si>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</si>
  <si>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</si>
  <si>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</si>
  <si>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</si>
  <si>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</si>
  <si>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</si>
  <si>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</si>
  <si>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</si>
  <si>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</si>
  <si>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</si>
  <si>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</si>
  <si>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</si>
  <si>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</si>
  <si>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</si>
  <si>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</si>
  <si>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</si>
  <si>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</si>
  <si>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</si>
  <si>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</si>
  <si>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</si>
  <si>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</si>
  <si>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</si>
  <si>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</si>
  <si>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</si>
  <si>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</si>
  <si>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</si>
  <si>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</si>
  <si>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</si>
  <si>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</si>
  <si>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</si>
  <si>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</si>
  <si>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</si>
  <si>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</si>
  <si>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</si>
  <si>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</si>
  <si>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</si>
  <si>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</si>
  <si>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</si>
  <si>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</si>
  <si>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</si>
  <si>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</si>
  <si>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</si>
  <si>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</si>
  <si>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</si>
  <si>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</si>
  <si>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</si>
  <si>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</si>
  <si>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</si>
  <si>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</si>
  <si>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</si>
  <si>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</si>
  <si>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</si>
  <si>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</si>
  <si>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</si>
  <si>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</si>
  <si>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</si>
  <si>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</si>
  <si>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</si>
  <si>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</si>
  <si>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</si>
  <si>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</si>
  <si>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</si>
  <si>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</si>
  <si>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</si>
  <si>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</si>
  <si>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</si>
  <si>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</si>
  <si>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</si>
  <si>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</si>
  <si>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</si>
  <si>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</si>
  <si>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</si>
  <si>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</si>
  <si>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</si>
  <si>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</si>
  <si>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</si>
  <si>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</si>
  <si>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</si>
  <si>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</si>
  <si>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</si>
  <si>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</si>
  <si>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</si>
  <si>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</si>
  <si>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</si>
  <si>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</si>
  <si>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</si>
  <si>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</si>
  <si>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</si>
  <si>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</si>
  <si>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</si>
  <si>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</si>
  <si>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</si>
  <si>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</si>
  <si>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</si>
  <si>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</si>
  <si>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</si>
  <si>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</si>
  <si>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</si>
  <si>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</si>
  <si>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</si>
  <si>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</si>
  <si>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</si>
  <si>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</si>
  <si>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</si>
  <si>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</si>
  <si>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</si>
  <si>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</si>
  <si>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</si>
  <si>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</si>
  <si>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</si>
  <si>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</si>
  <si>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</si>
  <si>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</si>
  <si>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</si>
  <si>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</si>
  <si>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</si>
  <si>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</si>
  <si>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</si>
  <si>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</si>
  <si>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</si>
  <si>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</si>
  <si>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</si>
  <si>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</si>
  <si>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</si>
  <si>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</si>
  <si>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</si>
  <si>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</si>
  <si>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</si>
  <si>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</si>
  <si>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</si>
  <si>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</si>
  <si>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</si>
  <si>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</si>
  <si>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</si>
  <si>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</si>
  <si>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</si>
  <si>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</si>
  <si>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</si>
  <si>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</si>
  <si>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</si>
  <si>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</si>
  <si>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</si>
  <si>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</si>
  <si>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</si>
  <si>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</si>
  <si>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</si>
  <si>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</si>
  <si>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</si>
  <si>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</si>
  <si>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</si>
  <si>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</si>
  <si>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</si>
  <si>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</si>
  <si>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</si>
  <si>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</si>
  <si>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</si>
  <si>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</si>
  <si>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</si>
  <si>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</si>
  <si>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</si>
  <si>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</si>
  <si>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</si>
  <si>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</si>
  <si>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</si>
  <si>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</si>
  <si>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</si>
  <si>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</si>
  <si>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</si>
  <si>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</si>
  <si>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</si>
  <si>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</si>
  <si>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</si>
  <si>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</si>
  <si>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</si>
  <si>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</si>
  <si>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</si>
  <si>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</si>
  <si>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</si>
  <si>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</si>
  <si>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</si>
  <si>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</si>
  <si>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</si>
  <si>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</si>
  <si>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</si>
  <si>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</si>
  <si>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</si>
  <si>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</si>
  <si>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</si>
  <si>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</si>
  <si>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</si>
  <si>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</si>
  <si>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</si>
  <si>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</si>
  <si>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</si>
  <si>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</si>
  <si>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</si>
  <si>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</si>
  <si>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</si>
  <si>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</si>
  <si>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</si>
  <si>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</si>
  <si>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</si>
  <si>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</si>
  <si>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</si>
  <si>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</si>
  <si>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</si>
  <si>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</si>
  <si>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</si>
  <si>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</si>
  <si>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</si>
  <si>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</si>
  <si>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</si>
  <si>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</si>
  <si>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</si>
  <si>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</si>
  <si>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</si>
  <si>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</si>
  <si>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</si>
  <si>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</si>
  <si>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</si>
  <si>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</si>
  <si>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</si>
  <si>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</si>
  <si>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</si>
  <si>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</si>
  <si>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</si>
  <si>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</si>
  <si>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</si>
  <si>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</si>
  <si>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</si>
  <si>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</si>
  <si>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</si>
  <si>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</si>
  <si>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</si>
  <si>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</si>
  <si>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</si>
  <si>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</si>
  <si>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</si>
  <si>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</si>
  <si>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</si>
  <si>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</si>
  <si>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</si>
  <si>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</si>
  <si>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</si>
  <si>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</si>
  <si>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</si>
  <si>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</si>
  <si>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</si>
  <si>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</si>
  <si>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</si>
  <si>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</si>
  <si>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</si>
  <si>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</si>
  <si>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</si>
  <si>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</si>
  <si>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</si>
  <si>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</si>
  <si>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</si>
  <si>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</si>
  <si>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</si>
  <si>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</si>
  <si>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</si>
  <si>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</si>
  <si>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</si>
  <si>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</si>
  <si>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</si>
  <si>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</si>
  <si>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</si>
  <si>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</si>
  <si>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</si>
  <si>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</si>
  <si>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</si>
  <si>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</si>
  <si>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</si>
  <si>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</si>
  <si>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</si>
  <si>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</si>
  <si>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</si>
  <si>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</si>
  <si>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</si>
  <si>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</si>
  <si>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</si>
  <si>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</si>
  <si>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</si>
  <si>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</si>
  <si>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</si>
  <si>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</si>
  <si>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</si>
  <si>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</si>
  <si>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</si>
  <si>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</si>
  <si>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</si>
  <si>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</si>
  <si>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</si>
  <si>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</si>
  <si>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</si>
  <si>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</si>
  <si>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</si>
  <si>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</si>
  <si>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</si>
  <si>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</si>
  <si>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</si>
  <si>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</si>
  <si>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</si>
  <si>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</si>
  <si>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</si>
  <si>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</si>
  <si>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</si>
  <si>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</si>
  <si>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</si>
  <si>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</si>
  <si>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</si>
  <si>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</si>
  <si>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</si>
  <si>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</si>
  <si>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</si>
  <si>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</si>
  <si>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</si>
  <si>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</si>
  <si>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</si>
  <si>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</si>
  <si>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</si>
  <si>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</si>
  <si>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</si>
  <si>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</si>
  <si>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</si>
  <si>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</si>
  <si>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</si>
  <si>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</si>
  <si>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</si>
  <si>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</si>
  <si>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</si>
  <si>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</si>
  <si>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</si>
  <si>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</si>
  <si>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</si>
  <si>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</si>
  <si>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</si>
  <si>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</si>
  <si>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</si>
  <si>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</si>
  <si>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</si>
  <si>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</si>
  <si>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</si>
  <si>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</si>
  <si>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</si>
  <si>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</si>
  <si>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</si>
  <si>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</si>
  <si>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</si>
  <si>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</si>
  <si>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</si>
  <si>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</si>
  <si>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</si>
  <si>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</si>
  <si>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</si>
  <si>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</si>
  <si>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</si>
  <si>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</si>
  <si>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</si>
  <si>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</si>
  <si>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</si>
  <si>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</si>
  <si>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</si>
  <si>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</si>
  <si>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</si>
  <si>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</si>
  <si>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</si>
  <si>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</si>
  <si>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</si>
  <si>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</si>
  <si>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</si>
  <si>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</si>
  <si>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</si>
  <si>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</si>
  <si>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</si>
  <si>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</si>
  <si>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</si>
  <si>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</si>
  <si>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</si>
  <si>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</si>
  <si>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</si>
  <si>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</si>
  <si>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</si>
  <si>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</si>
  <si>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</si>
  <si>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</si>
  <si>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</si>
  <si>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</si>
  <si>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</si>
  <si>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</si>
  <si>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</si>
  <si>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</si>
  <si>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</si>
  <si>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</si>
  <si>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</si>
  <si>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</si>
  <si>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</si>
  <si>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</si>
  <si>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</si>
  <si>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</si>
  <si>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</si>
  <si>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</si>
  <si>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</si>
  <si>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</si>
  <si>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</si>
  <si>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</si>
  <si>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</si>
  <si>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</si>
  <si>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</si>
  <si>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</si>
  <si>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</si>
  <si>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</si>
  <si>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</si>
  <si>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</si>
  <si>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</si>
  <si>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</si>
  <si>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</si>
  <si>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</si>
  <si>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</si>
  <si>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</si>
  <si>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</si>
  <si>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</si>
  <si>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</si>
  <si>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</si>
  <si>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</si>
  <si>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</si>
  <si>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</si>
  <si>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</si>
  <si>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</si>
  <si>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</si>
  <si>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</si>
  <si>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</si>
  <si>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</si>
  <si>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</si>
  <si>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</si>
  <si>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</si>
  <si>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</si>
  <si>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</si>
  <si>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</si>
  <si>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</si>
  <si>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</si>
  <si>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</si>
  <si>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</si>
  <si>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</si>
  <si>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</si>
  <si>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</si>
  <si>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</si>
  <si>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</si>
  <si>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</si>
  <si>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</si>
  <si>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</si>
  <si>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</si>
  <si>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</si>
  <si>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</si>
  <si>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</si>
  <si>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</si>
  <si>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</si>
  <si>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</si>
  <si>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</si>
  <si>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</si>
  <si>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</si>
  <si>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</si>
  <si>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</si>
  <si>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</si>
  <si>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</si>
  <si>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</si>
  <si>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</si>
  <si>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</si>
  <si>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</si>
  <si>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</si>
  <si>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</si>
  <si>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</si>
  <si>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</si>
  <si>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</si>
  <si>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</si>
  <si>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</si>
  <si>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</si>
  <si>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</si>
  <si>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</si>
  <si>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</si>
  <si>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</si>
  <si>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</si>
  <si>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</si>
  <si>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</si>
  <si>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</si>
  <si>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</si>
  <si>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</si>
  <si>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</si>
  <si>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</si>
  <si>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</si>
  <si>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</si>
  <si>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</si>
  <si>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</si>
  <si>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</si>
  <si>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</si>
  <si>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</si>
  <si>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</si>
  <si>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</si>
  <si>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</si>
  <si>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</si>
  <si>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</si>
  <si>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</si>
  <si>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</si>
  <si>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</si>
  <si>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</si>
  <si>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</si>
  <si>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</si>
  <si>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</si>
  <si>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</si>
  <si>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</si>
  <si>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</si>
  <si>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</si>
  <si>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</si>
  <si>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</si>
  <si>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</si>
  <si>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</si>
  <si>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</si>
  <si>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</si>
  <si>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</si>
  <si>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</si>
  <si>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</si>
  <si>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</si>
  <si>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</si>
  <si>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</si>
  <si>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</si>
  <si>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</si>
  <si>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</si>
  <si>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</si>
  <si>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</si>
  <si>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</si>
  <si>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</si>
  <si>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</si>
  <si>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</si>
  <si>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</si>
  <si>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</si>
  <si>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</si>
  <si>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</si>
  <si>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</si>
  <si>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</si>
  <si>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</si>
  <si>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</si>
  <si>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</si>
  <si>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</si>
  <si>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</si>
  <si>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</si>
  <si>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</si>
  <si>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</si>
  <si>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</si>
  <si>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</si>
  <si>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</si>
  <si>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</si>
  <si>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</si>
  <si>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</si>
  <si>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</si>
  <si>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</si>
  <si>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</si>
  <si>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</si>
  <si>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</si>
  <si>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</si>
  <si>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</si>
  <si>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</si>
  <si>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</si>
  <si>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</si>
  <si>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</si>
  <si>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</si>
  <si>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</si>
  <si>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</si>
  <si>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</si>
  <si>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</si>
  <si>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</si>
  <si>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</si>
  <si>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</si>
  <si>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</si>
  <si>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</si>
  <si>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</si>
  <si>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</si>
  <si>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</si>
  <si>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</si>
  <si>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</si>
  <si>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</si>
  <si>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</si>
  <si>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</si>
  <si>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</si>
  <si>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</si>
  <si>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</si>
  <si>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</si>
  <si>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</si>
  <si>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</si>
  <si>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</si>
  <si>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</si>
  <si>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</si>
  <si>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</si>
  <si>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</si>
  <si>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</si>
  <si>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</si>
  <si>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</si>
  <si>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</si>
  <si>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</si>
  <si>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</si>
  <si>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</si>
  <si>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</si>
  <si>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</si>
  <si>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</si>
  <si>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</si>
  <si>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</si>
  <si>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</si>
  <si>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</si>
  <si>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</si>
  <si>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</si>
  <si>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</si>
  <si>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</si>
  <si>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</si>
  <si>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</si>
  <si>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</si>
  <si>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</si>
  <si>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</si>
  <si>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</si>
  <si>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</si>
  <si>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</si>
  <si>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</si>
  <si>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</si>
  <si>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</si>
  <si>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</si>
  <si>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</si>
  <si>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</si>
  <si>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</si>
  <si>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</si>
  <si>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</si>
  <si>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</si>
  <si>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</si>
  <si>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</si>
  <si>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</si>
  <si>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</si>
  <si>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</si>
  <si>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</si>
  <si>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</si>
  <si>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</si>
  <si>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</si>
  <si>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</si>
  <si>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</si>
  <si>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</si>
  <si>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</si>
  <si>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</si>
  <si>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</si>
  <si>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</si>
  <si>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</si>
  <si>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</si>
  <si>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</si>
  <si>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</si>
  <si>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</si>
  <si>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</si>
  <si>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</si>
  <si>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</si>
  <si>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</si>
  <si>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</si>
  <si>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</si>
  <si>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</si>
  <si>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</si>
  <si>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</si>
  <si>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</si>
  <si>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</si>
  <si>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</si>
  <si>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</si>
  <si>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</si>
  <si>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</si>
  <si>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</si>
  <si>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</si>
  <si>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</si>
  <si>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</si>
  <si>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</si>
  <si>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</si>
  <si>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</si>
  <si>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</si>
  <si>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</si>
  <si>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</si>
  <si>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</si>
  <si>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</si>
  <si>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</si>
  <si>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</si>
  <si>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</si>
  <si>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</si>
  <si>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</si>
  <si>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</si>
  <si>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</si>
  <si>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</si>
  <si>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</si>
  <si>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</si>
  <si>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</si>
  <si>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</si>
  <si>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</si>
  <si>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</si>
  <si>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</si>
  <si>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</si>
  <si>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</si>
  <si>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</si>
  <si>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</si>
  <si>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</si>
  <si>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</si>
  <si>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</si>
  <si>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</si>
  <si>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</si>
  <si>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</si>
  <si>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</si>
  <si>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</si>
  <si>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</si>
  <si>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</si>
  <si>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</si>
  <si>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</si>
  <si>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</si>
  <si>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</si>
  <si>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</si>
  <si>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</si>
  <si>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</si>
  <si>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</si>
  <si>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</si>
  <si>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</si>
  <si>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</si>
  <si>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</si>
  <si>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</si>
  <si>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</si>
  <si>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</si>
  <si>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</si>
  <si>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</si>
  <si>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</si>
  <si>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</si>
  <si>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</si>
  <si>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</si>
  <si>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</si>
  <si>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</si>
  <si>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</si>
  <si>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</si>
  <si>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</si>
  <si>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</si>
  <si>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</si>
  <si>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</si>
  <si>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</si>
  <si>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</si>
  <si>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</si>
  <si>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</si>
  <si>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</si>
  <si>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</si>
  <si>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</si>
  <si>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</si>
  <si>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</si>
  <si>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</si>
  <si>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</si>
  <si>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</si>
  <si>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</si>
  <si>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</si>
  <si>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</si>
  <si>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</si>
  <si>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</si>
  <si>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</si>
  <si>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</si>
  <si>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</si>
  <si>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</si>
  <si>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</si>
  <si>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</si>
  <si>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</si>
  <si>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</si>
  <si>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</si>
  <si>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</si>
  <si>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</si>
  <si>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</si>
  <si>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</si>
  <si>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</si>
  <si>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</si>
  <si>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</si>
  <si>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</si>
  <si>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</si>
  <si>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</si>
  <si>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</si>
  <si>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</si>
  <si>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</si>
  <si>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</si>
  <si>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</si>
  <si>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</si>
  <si>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</si>
  <si>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</si>
  <si>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</si>
  <si>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</si>
  <si>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</si>
  <si>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</si>
  <si>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</si>
  <si>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</si>
  <si>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</si>
  <si>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</si>
  <si>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</si>
  <si>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</si>
  <si>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</si>
  <si>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</si>
  <si>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</si>
  <si>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</si>
  <si>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</si>
  <si>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</si>
  <si>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</si>
  <si>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</si>
  <si>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</si>
  <si>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</si>
  <si>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</si>
  <si>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</si>
  <si>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</si>
  <si>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</si>
  <si>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</si>
  <si>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</si>
  <si>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</si>
  <si>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</si>
  <si>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</si>
  <si>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</si>
  <si>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</si>
  <si>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</si>
  <si>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</si>
  <si>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</si>
  <si>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</si>
  <si>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</si>
  <si>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</si>
  <si>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</si>
  <si>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</si>
  <si>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</si>
  <si>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</si>
  <si>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</si>
  <si>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</si>
  <si>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</si>
  <si>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</si>
  <si>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</si>
  <si>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</si>
  <si>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</si>
  <si>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</si>
  <si>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</si>
  <si>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</si>
  <si>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</si>
  <si>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</si>
  <si>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</si>
  <si>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</si>
  <si>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</si>
  <si>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</si>
  <si>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</si>
  <si>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</si>
  <si>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</si>
  <si>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</si>
  <si>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</si>
  <si>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</si>
  <si>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</si>
  <si>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</si>
  <si>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</si>
  <si>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</si>
  <si>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</si>
  <si>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</si>
  <si>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</si>
  <si>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</si>
  <si>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</si>
  <si>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</si>
  <si>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</si>
  <si>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</si>
  <si>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</si>
  <si>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</si>
  <si>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</si>
  <si>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</si>
  <si>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</si>
  <si>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</si>
  <si>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</si>
  <si>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</si>
  <si>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</si>
  <si>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</si>
  <si>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</si>
  <si>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</si>
  <si>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</si>
  <si>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</si>
  <si>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</si>
  <si>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</si>
  <si>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</si>
  <si>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</si>
  <si>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</si>
  <si>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</si>
  <si>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</si>
  <si>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</si>
  <si>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</si>
  <si>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</si>
  <si>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</si>
  <si>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</si>
  <si>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</si>
  <si>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</si>
  <si>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</si>
  <si>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</si>
  <si>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</si>
  <si>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</si>
  <si>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</si>
  <si>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</si>
  <si>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</si>
  <si>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</si>
  <si>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</si>
  <si>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</si>
  <si>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</si>
  <si>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</si>
  <si>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</si>
  <si>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</si>
  <si>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</si>
  <si>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</si>
  <si>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</si>
  <si>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</si>
  <si>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</si>
  <si>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</si>
  <si>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</si>
  <si>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</si>
  <si>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</si>
  <si>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</si>
  <si>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</si>
  <si>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</si>
  <si>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</si>
  <si>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</si>
  <si>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</si>
  <si>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</si>
  <si>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</si>
  <si>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</si>
  <si>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</si>
  <si>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</si>
  <si>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</si>
  <si>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</si>
  <si>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</si>
  <si>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</si>
  <si>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</si>
  <si>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</si>
  <si>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</si>
  <si>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</si>
  <si>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</si>
  <si>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</si>
  <si>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</si>
  <si>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</si>
  <si>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</si>
  <si>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</si>
  <si>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</si>
  <si>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</si>
  <si>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</si>
  <si>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</si>
  <si>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</si>
  <si>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</si>
  <si>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</si>
  <si>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</si>
  <si>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</si>
  <si>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</si>
  <si>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</si>
  <si>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</si>
  <si>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</si>
  <si>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</si>
  <si>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</si>
  <si>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</si>
  <si>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</si>
  <si>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</si>
  <si>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</si>
  <si>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</si>
  <si>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</si>
  <si>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</si>
  <si>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</si>
  <si>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</si>
  <si>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</si>
  <si>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</si>
  <si>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</si>
  <si>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</si>
  <si>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</si>
  <si>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</si>
  <si>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</si>
  <si>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</si>
  <si>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</si>
  <si>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</si>
  <si>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</si>
  <si>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</si>
  <si>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</si>
  <si>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</si>
  <si>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</si>
  <si>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</si>
  <si>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</si>
  <si>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</si>
  <si>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</si>
  <si>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</si>
  <si>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</si>
  <si>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</si>
  <si>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</si>
  <si>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</si>
  <si>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</si>
  <si>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</si>
  <si>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</si>
  <si>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</si>
  <si>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</si>
  <si>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</si>
  <si>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</si>
  <si>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</si>
  <si>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</si>
  <si>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</si>
  <si>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</si>
  <si>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</si>
  <si>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</si>
  <si>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</si>
  <si>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</si>
  <si>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</si>
  <si>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</si>
  <si>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</si>
  <si>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</si>
  <si>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</si>
  <si>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</si>
  <si>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</si>
  <si>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</si>
  <si>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</si>
  <si>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</si>
  <si>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</si>
  <si>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</si>
  <si>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</si>
  <si>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</si>
  <si>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</si>
  <si>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</si>
  <si>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</si>
  <si>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</si>
  <si>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</si>
  <si>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</si>
  <si>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</si>
  <si>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</si>
  <si>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</si>
  <si>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</si>
  <si>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</si>
  <si>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</si>
  <si>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</si>
  <si>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</si>
  <si>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</si>
  <si>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</si>
  <si>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</si>
  <si>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</si>
  <si>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</si>
  <si>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</si>
  <si>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</si>
  <si>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</si>
  <si>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</si>
  <si>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</si>
  <si>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</si>
  <si>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</si>
  <si>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</si>
  <si>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</si>
  <si>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</si>
  <si>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</si>
  <si>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</si>
  <si>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</si>
  <si>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</si>
  <si>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</si>
  <si>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</si>
  <si>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</si>
  <si>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</si>
  <si>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</si>
  <si>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</si>
  <si>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</si>
  <si>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</si>
  <si>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</si>
  <si>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</si>
  <si>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</si>
  <si>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</si>
  <si>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</si>
  <si>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</si>
  <si>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</si>
  <si>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</si>
  <si>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</si>
  <si>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</si>
  <si>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</si>
  <si>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</si>
  <si>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</si>
  <si>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</si>
  <si>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</si>
  <si>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</si>
  <si>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</si>
  <si>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</si>
  <si>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</si>
  <si>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</si>
  <si>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</si>
  <si>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</si>
  <si>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</si>
  <si>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</si>
  <si>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</si>
  <si>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</si>
  <si>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</si>
  <si>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</si>
  <si>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</si>
  <si>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</si>
  <si>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</si>
  <si>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</si>
  <si>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</si>
  <si>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</si>
  <si>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</si>
  <si>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</si>
  <si>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</si>
  <si>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</si>
  <si>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</si>
  <si>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</si>
  <si>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</si>
  <si>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</si>
  <si>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</si>
  <si>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</si>
  <si>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</si>
  <si>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</si>
  <si>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</si>
  <si>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</si>
  <si>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</si>
  <si>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</si>
  <si>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</si>
  <si>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</si>
  <si>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</si>
  <si>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</si>
  <si>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</si>
  <si>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</si>
  <si>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</si>
  <si>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</si>
  <si>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</si>
  <si>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</si>
  <si>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</si>
  <si>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</si>
  <si>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</si>
  <si>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</si>
  <si>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</si>
  <si>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</si>
  <si>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</si>
  <si>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</si>
  <si>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</si>
  <si>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</si>
  <si>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</si>
  <si>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</si>
  <si>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</si>
  <si>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</si>
  <si>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</si>
  <si>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</si>
  <si>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</si>
  <si>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</si>
  <si>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</si>
  <si>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</si>
  <si>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</si>
  <si>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</si>
  <si>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</si>
  <si>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</si>
  <si>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</si>
  <si>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</si>
  <si>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</si>
  <si>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</si>
  <si>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</si>
  <si>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</si>
  <si>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</si>
  <si>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</si>
  <si>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</si>
  <si>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</si>
  <si>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</si>
  <si>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</si>
  <si>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</si>
  <si>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</si>
  <si>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</si>
  <si>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</si>
  <si>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</si>
  <si>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</si>
  <si>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</si>
  <si>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</si>
  <si>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</si>
  <si>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</si>
  <si>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</si>
  <si>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</si>
  <si>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</si>
  <si>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</si>
  <si>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</si>
  <si>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</si>
  <si>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</si>
  <si>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</si>
  <si>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</si>
  <si>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</si>
  <si>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</si>
  <si>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</si>
  <si>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</si>
  <si>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</si>
  <si>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</si>
  <si>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</si>
  <si>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</si>
  <si>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</si>
  <si>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</si>
  <si>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</si>
  <si>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</si>
  <si>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</si>
  <si>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</si>
  <si>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</si>
  <si>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</si>
  <si>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</si>
  <si>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</si>
  <si>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</si>
  <si>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</si>
  <si>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</si>
  <si>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</si>
  <si>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</si>
  <si>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</si>
  <si>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</si>
  <si>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</si>
  <si>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</si>
  <si>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</si>
  <si>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</si>
  <si>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</si>
  <si>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</si>
  <si>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</si>
  <si>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</si>
  <si>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</si>
  <si>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</si>
  <si>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</si>
  <si>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</si>
  <si>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</si>
  <si>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</si>
  <si>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</si>
  <si>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</si>
  <si>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</si>
  <si>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</si>
  <si>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</si>
  <si>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</si>
  <si>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</si>
  <si>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</si>
  <si>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</si>
  <si>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</si>
  <si>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</si>
  <si>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</si>
  <si>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</si>
  <si>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</si>
  <si>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</si>
  <si>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</si>
  <si>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</si>
  <si>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</si>
  <si>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</si>
  <si>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</si>
  <si>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</si>
  <si>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</si>
  <si>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</si>
  <si>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</si>
  <si>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</si>
  <si>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</si>
  <si>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</si>
  <si>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</si>
  <si>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</si>
  <si>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</si>
  <si>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</si>
  <si>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</si>
  <si>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</si>
  <si>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</si>
  <si>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</si>
  <si>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</si>
  <si>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</si>
  <si>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</si>
  <si>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</si>
  <si>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</si>
  <si>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</si>
  <si>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</si>
  <si>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</si>
  <si>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</si>
  <si>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</si>
  <si>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</si>
  <si>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</si>
  <si>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</si>
  <si>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</si>
  <si>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</si>
  <si>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</si>
  <si>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</si>
  <si>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</si>
  <si>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</si>
  <si>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</si>
  <si>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</si>
  <si>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</si>
  <si>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</si>
  <si>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</si>
  <si>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</si>
  <si>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</si>
  <si>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</si>
  <si>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</si>
  <si>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</si>
  <si>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</si>
  <si>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</si>
  <si>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</si>
  <si>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</si>
  <si>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</si>
  <si>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</si>
  <si>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</si>
  <si>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</si>
  <si>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</si>
  <si>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</si>
  <si>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</si>
  <si>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</si>
  <si>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</si>
  <si>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</si>
  <si>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</si>
  <si>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</si>
  <si>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</si>
  <si>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</si>
  <si>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</si>
  <si>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</si>
  <si>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</si>
  <si>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</si>
  <si>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</si>
  <si>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</si>
  <si>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</si>
  <si>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</si>
  <si>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</si>
  <si>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</si>
  <si>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</si>
  <si>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</si>
  <si>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</si>
  <si>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</si>
  <si>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</si>
  <si>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</si>
  <si>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</si>
  <si>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</si>
  <si>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</si>
  <si>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</si>
  <si>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</si>
  <si>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</si>
  <si>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</si>
  <si>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</si>
  <si>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</si>
  <si>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</si>
  <si>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</si>
  <si>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</si>
  <si>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</si>
  <si>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</si>
  <si>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</si>
  <si>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</si>
  <si>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</si>
  <si>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</si>
  <si>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</si>
  <si>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</si>
  <si>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</si>
  <si>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</si>
  <si>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</si>
  <si>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</si>
  <si>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</si>
  <si>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</si>
  <si>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</si>
  <si>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</si>
  <si>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</si>
  <si>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</si>
  <si>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</si>
  <si>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</si>
  <si>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</si>
  <si>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</si>
  <si>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</si>
  <si>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</si>
  <si>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</si>
  <si>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</si>
  <si>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</si>
  <si>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</si>
  <si>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</si>
  <si>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</si>
  <si>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</si>
  <si>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</si>
  <si>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</si>
  <si>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</si>
  <si>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</si>
  <si>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</si>
  <si>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</si>
  <si>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</si>
  <si>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</si>
  <si>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</si>
  <si>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</si>
  <si>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</si>
  <si>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</si>
  <si>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</si>
  <si>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</si>
  <si>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</si>
  <si>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</si>
  <si>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</si>
  <si>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</si>
  <si>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</si>
  <si>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</si>
  <si>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</si>
  <si>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</si>
  <si>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</si>
  <si>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</si>
  <si>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</si>
  <si>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</si>
  <si>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</si>
  <si>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</si>
  <si>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</si>
  <si>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</si>
  <si>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</si>
  <si>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</si>
  <si>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</si>
  <si>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</si>
  <si>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</si>
  <si>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</si>
  <si>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</si>
  <si>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</si>
  <si>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</si>
  <si>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</si>
  <si>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</si>
  <si>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</si>
  <si>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</si>
  <si>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</si>
  <si>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</si>
  <si>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</si>
  <si>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</si>
  <si>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</si>
  <si>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</si>
  <si>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</si>
  <si>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</si>
  <si>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</si>
  <si>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</si>
  <si>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</si>
  <si>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</si>
  <si>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</si>
  <si>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</si>
  <si>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</si>
  <si>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</si>
  <si>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</si>
  <si>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</si>
  <si>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</si>
  <si>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</si>
  <si>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</si>
  <si>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</si>
  <si>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</si>
  <si>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</si>
  <si>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</si>
  <si>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</si>
  <si>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</si>
  <si>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</si>
  <si>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</si>
  <si>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</si>
  <si>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</si>
  <si>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</si>
  <si>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</si>
  <si>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</si>
  <si>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</si>
  <si>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</si>
  <si>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</si>
  <si>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</si>
  <si>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</si>
  <si>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</si>
  <si>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</si>
  <si>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</si>
  <si>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</si>
  <si>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</si>
  <si>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</si>
  <si>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</si>
  <si>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</si>
  <si>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</si>
  <si>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</si>
  <si>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</si>
  <si>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</si>
  <si>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</si>
  <si>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</si>
  <si>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</si>
  <si>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</si>
  <si>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</si>
  <si>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</si>
  <si>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</si>
  <si>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</si>
  <si>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</si>
  <si>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</si>
  <si>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</si>
  <si>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</si>
  <si>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</si>
  <si>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</si>
  <si>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</si>
  <si>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</si>
  <si>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</si>
  <si>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</si>
  <si>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</si>
  <si>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</si>
  <si>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</si>
  <si>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</si>
  <si>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</si>
  <si>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</si>
  <si>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</si>
  <si>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</si>
  <si>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</si>
  <si>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</si>
  <si>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</si>
  <si>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</si>
  <si>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</si>
  <si>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</si>
  <si>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</si>
  <si>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</si>
  <si>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</si>
  <si>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</si>
  <si>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</si>
  <si>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</si>
  <si>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</si>
  <si>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</si>
  <si>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</si>
  <si>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</si>
  <si>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</si>
  <si>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</si>
  <si>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</si>
  <si>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</si>
  <si>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</si>
  <si>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</si>
  <si>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</si>
  <si>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</si>
  <si>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</si>
  <si>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</si>
  <si>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</si>
  <si>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</si>
  <si>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</si>
  <si>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</si>
  <si>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</si>
  <si>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</si>
  <si>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</si>
  <si>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</si>
  <si>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</si>
  <si>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</si>
  <si>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</si>
  <si>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</si>
  <si>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</si>
  <si>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</si>
  <si>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</si>
  <si>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</si>
  <si>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</si>
  <si>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</si>
  <si>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</si>
  <si>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</si>
  <si>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</si>
  <si>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</si>
  <si>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</si>
  <si>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</si>
  <si>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</si>
  <si>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</si>
  <si>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</si>
  <si>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</si>
  <si>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</si>
  <si>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</si>
  <si>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</si>
  <si>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</si>
  <si>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</si>
  <si>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</si>
  <si>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</si>
  <si>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</si>
  <si>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</si>
  <si>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</si>
  <si>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</si>
  <si>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</si>
  <si>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</si>
  <si>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</si>
  <si>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</si>
  <si>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</si>
  <si>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</si>
  <si>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</si>
  <si>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</si>
  <si>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</si>
  <si>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</si>
  <si>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</si>
  <si>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</si>
  <si>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</si>
  <si>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</si>
  <si>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</si>
  <si>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</si>
  <si>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</si>
  <si>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</si>
  <si>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</si>
  <si>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</si>
  <si>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</si>
  <si>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</si>
  <si>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</si>
  <si>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</si>
  <si>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</si>
  <si>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</si>
  <si>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</si>
  <si>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</si>
  <si>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</si>
  <si>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</si>
  <si>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</si>
  <si>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</si>
  <si>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</si>
  <si>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</si>
  <si>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</si>
  <si>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</si>
  <si>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</si>
  <si>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</si>
  <si>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</si>
  <si>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</si>
  <si>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</si>
  <si>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</si>
  <si>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</si>
  <si>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</si>
  <si>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</si>
  <si>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</si>
  <si>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</si>
  <si>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</si>
  <si>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</si>
  <si>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</si>
  <si>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</si>
  <si>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</si>
  <si>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</si>
  <si>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</si>
  <si>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</si>
  <si>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</si>
  <si>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</si>
  <si>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</si>
  <si>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</si>
  <si>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</si>
  <si>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</si>
  <si>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</si>
  <si>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</si>
  <si>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</si>
  <si>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</si>
  <si>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</si>
  <si>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</si>
  <si>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</si>
  <si>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</si>
  <si>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</si>
  <si>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</si>
  <si>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</si>
  <si>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</si>
  <si>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</si>
  <si>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</si>
  <si>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</si>
  <si>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</si>
  <si>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</si>
  <si>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</si>
  <si>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</si>
  <si>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</si>
  <si>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</si>
  <si>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</si>
  <si>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</si>
  <si>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</si>
  <si>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</si>
  <si>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</si>
  <si>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</si>
  <si>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</si>
  <si>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</si>
  <si>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</si>
  <si>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</si>
  <si>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</si>
  <si>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</si>
  <si>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</si>
  <si>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</si>
  <si>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</si>
  <si>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</si>
  <si>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</si>
  <si>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</si>
  <si>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</si>
  <si>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</si>
  <si>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</si>
  <si>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</si>
  <si>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</si>
  <si>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</si>
  <si>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</si>
  <si>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</si>
  <si>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</si>
  <si>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</si>
  <si>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</si>
  <si>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</si>
  <si>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</si>
  <si>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</si>
  <si>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</si>
  <si>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</si>
  <si>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</si>
  <si>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</si>
  <si>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</si>
  <si>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</si>
  <si>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</si>
  <si>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</si>
  <si>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</si>
  <si>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</si>
  <si>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</si>
  <si>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</si>
  <si>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</si>
  <si>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</si>
  <si>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</si>
  <si>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</si>
  <si>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</si>
  <si>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</si>
  <si>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</si>
  <si>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</si>
  <si>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</si>
  <si>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</si>
  <si>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</si>
  <si>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</si>
  <si>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</si>
  <si>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</si>
  <si>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</si>
  <si>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</si>
  <si>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</si>
  <si>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</si>
  <si>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</si>
  <si>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</si>
  <si>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</si>
  <si>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</si>
  <si>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</si>
  <si>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</si>
  <si>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</si>
  <si>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</si>
  <si>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</si>
  <si>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</si>
  <si>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</si>
  <si>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</si>
  <si>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</si>
  <si>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</si>
  <si>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</si>
  <si>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</si>
  <si>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</si>
  <si>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</si>
  <si>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</si>
  <si>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</si>
  <si>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</si>
  <si>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</si>
  <si>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</si>
  <si>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</si>
  <si>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</si>
  <si>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</si>
  <si>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</si>
  <si>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</si>
  <si>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</si>
  <si>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</si>
  <si>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</si>
  <si>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</si>
  <si>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</si>
  <si>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</si>
  <si>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</si>
  <si>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</si>
  <si>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</si>
  <si>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</si>
  <si>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</si>
  <si>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</si>
  <si>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</si>
  <si>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</si>
  <si>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</si>
  <si>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</si>
  <si>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</si>
  <si>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</si>
  <si>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</si>
  <si>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</si>
  <si>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</si>
  <si>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</si>
  <si>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</si>
  <si>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</si>
  <si>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</si>
  <si>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</si>
  <si>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</si>
  <si>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</si>
  <si>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</si>
  <si>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</si>
  <si>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</si>
  <si>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</si>
  <si>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</si>
  <si>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</si>
  <si>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</si>
  <si>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</si>
  <si>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</si>
  <si>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</si>
  <si>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</si>
  <si>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</si>
  <si>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</si>
  <si>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</si>
  <si>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</si>
  <si>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</si>
  <si>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</si>
  <si>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</si>
  <si>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</si>
  <si>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</si>
  <si>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</si>
  <si>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</si>
  <si>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</si>
  <si>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</si>
  <si>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</si>
  <si>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</si>
  <si>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</si>
  <si>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</si>
  <si>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</si>
  <si>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</si>
  <si>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</si>
  <si>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</si>
  <si>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</si>
  <si>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</si>
  <si>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</si>
  <si>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</si>
  <si>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</si>
  <si>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</si>
  <si>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</si>
  <si>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</si>
  <si>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</si>
  <si>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</si>
  <si>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</si>
  <si>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</si>
  <si>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</si>
  <si>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</si>
  <si>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</si>
  <si>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</si>
  <si>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</si>
  <si>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</si>
  <si>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</si>
  <si>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</si>
  <si>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</si>
  <si>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</si>
  <si>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</si>
  <si>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</si>
  <si>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</si>
  <si>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</si>
  <si>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</si>
  <si>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</si>
  <si>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</si>
  <si>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</si>
  <si>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</si>
  <si>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</si>
  <si>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</si>
  <si>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</si>
  <si>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</si>
  <si>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</si>
  <si>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</si>
  <si>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</si>
  <si>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</si>
  <si>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</si>
  <si>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</si>
  <si>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</si>
  <si>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</si>
  <si>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</si>
  <si>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</si>
  <si>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</si>
  <si>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</si>
  <si>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</si>
  <si>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</si>
  <si>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</si>
  <si>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</si>
  <si>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</si>
  <si>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</si>
  <si>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</si>
  <si>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</si>
  <si>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</si>
  <si>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</si>
  <si>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</si>
  <si>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</si>
  <si>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</si>
  <si>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</si>
  <si>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</si>
  <si>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</si>
  <si>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</si>
  <si>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</si>
  <si>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</si>
  <si>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</si>
  <si>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</si>
  <si>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</si>
  <si>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</si>
  <si>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</si>
  <si>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</si>
  <si>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</si>
  <si>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</si>
  <si>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</si>
  <si>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</si>
  <si>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</si>
  <si>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</si>
  <si>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</si>
  <si>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</si>
  <si>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</si>
  <si>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</si>
  <si>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</si>
  <si>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</si>
  <si>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</si>
  <si>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</si>
  <si>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</si>
  <si>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</si>
  <si>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</si>
  <si>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</si>
  <si>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</si>
  <si>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</si>
  <si>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</si>
  <si>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</si>
  <si>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</si>
  <si>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</si>
  <si>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</si>
  <si>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</si>
  <si>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</si>
  <si>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</si>
  <si>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</si>
  <si>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</si>
  <si>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</si>
  <si>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</si>
  <si>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</si>
  <si>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</si>
  <si>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</si>
  <si>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</si>
  <si>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</si>
  <si>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</si>
  <si>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</si>
  <si>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</si>
  <si>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</si>
  <si>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</si>
  <si>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</si>
  <si>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</si>
  <si>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</si>
  <si>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</si>
  <si>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</si>
  <si>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</si>
  <si>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</si>
  <si>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</si>
  <si>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</si>
  <si>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</si>
  <si>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</si>
  <si>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</si>
  <si>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</si>
  <si>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</si>
  <si>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</si>
  <si>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</si>
  <si>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</si>
  <si>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</si>
  <si>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</si>
  <si>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</si>
  <si>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</si>
  <si>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</si>
  <si>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</si>
  <si>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</si>
  <si>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</si>
  <si>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</si>
  <si>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</si>
  <si>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</si>
  <si>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</si>
  <si>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</si>
  <si>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</si>
  <si>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</si>
  <si>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</si>
  <si>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</si>
  <si>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</si>
  <si>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</si>
  <si>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</si>
  <si>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</si>
  <si>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</si>
  <si>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</si>
  <si>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</si>
  <si>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</si>
  <si>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</si>
  <si>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</si>
  <si>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</si>
  <si>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</si>
  <si>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</si>
  <si>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</si>
  <si>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</si>
  <si>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</si>
  <si>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</si>
  <si>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</si>
  <si>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</si>
  <si>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</si>
  <si>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</si>
  <si>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</si>
  <si>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</si>
  <si>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</si>
  <si>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</si>
  <si>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</si>
  <si>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</si>
  <si>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</si>
  <si>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</si>
  <si>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</si>
  <si>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</si>
  <si>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</si>
  <si>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</si>
  <si>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</si>
  <si>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</si>
  <si>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</si>
  <si>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</si>
  <si>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</si>
  <si>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</si>
  <si>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</si>
  <si>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</si>
  <si>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</si>
  <si>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</si>
  <si>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</si>
  <si>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</si>
  <si>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</si>
  <si>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</si>
  <si>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</si>
  <si>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</si>
  <si>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</si>
  <si>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</si>
  <si>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</si>
  <si>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</si>
  <si>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</si>
  <si>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</si>
  <si>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</si>
  <si>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</si>
  <si>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</si>
  <si>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</si>
  <si>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</si>
  <si>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</si>
  <si>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</si>
  <si>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</si>
  <si>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</si>
  <si>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</si>
  <si>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</si>
  <si>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</si>
  <si>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</si>
  <si>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</si>
  <si>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</si>
  <si>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</si>
  <si>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</si>
  <si>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</si>
  <si>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</si>
  <si>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</si>
  <si>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</si>
  <si>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</si>
  <si>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</si>
  <si>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</si>
  <si>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</si>
  <si>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</si>
  <si>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</si>
  <si>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</si>
  <si>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</si>
  <si>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</si>
  <si>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</si>
  <si>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</si>
  <si>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</si>
  <si>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</si>
  <si>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</si>
  <si>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</si>
  <si>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</si>
  <si>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</si>
  <si>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</si>
  <si>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</si>
  <si>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</si>
  <si>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</si>
  <si>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</si>
  <si>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</si>
  <si>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</si>
  <si>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</si>
  <si>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</si>
  <si>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</si>
  <si>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</si>
  <si>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</si>
  <si>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</si>
  <si>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</si>
  <si>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</si>
  <si>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</si>
  <si>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</si>
  <si>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</si>
  <si>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</si>
  <si>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</si>
  <si>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</si>
  <si>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</si>
  <si>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</si>
  <si>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</si>
  <si>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</si>
  <si>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</si>
  <si>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</si>
  <si>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</si>
  <si>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</si>
  <si>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</si>
  <si>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</si>
  <si>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</si>
  <si>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</si>
  <si>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</si>
  <si>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</si>
  <si>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</si>
  <si>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</si>
  <si>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</si>
  <si>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</si>
  <si>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</si>
  <si>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</si>
  <si>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</si>
  <si>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</si>
  <si>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</si>
  <si>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</si>
  <si>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</si>
  <si>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</si>
  <si>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</si>
  <si>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</si>
  <si>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</si>
  <si>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</si>
  <si>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</si>
  <si>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</si>
  <si>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</si>
  <si>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</si>
  <si>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</si>
  <si>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</si>
  <si>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</si>
  <si>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</si>
  <si>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</si>
  <si>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</si>
  <si>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</si>
  <si>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</si>
  <si>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</si>
  <si>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</si>
  <si>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</si>
  <si>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</si>
  <si>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</si>
  <si>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</si>
  <si>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</si>
  <si>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</si>
  <si>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</si>
  <si>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</si>
  <si>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</si>
  <si>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</si>
  <si>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</si>
  <si>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</si>
  <si>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</si>
  <si>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</si>
  <si>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</si>
  <si>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</si>
  <si>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</si>
  <si>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</si>
  <si>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</si>
  <si>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</si>
  <si>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</si>
  <si>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</si>
  <si>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</si>
  <si>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</si>
  <si>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</si>
  <si>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</si>
  <si>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</si>
  <si>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</si>
  <si>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</si>
  <si>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</si>
  <si>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</si>
  <si>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</si>
  <si>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</si>
  <si>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</si>
  <si>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</si>
  <si>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</si>
  <si>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</si>
  <si>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</si>
  <si>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</si>
  <si>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</si>
  <si>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</si>
  <si>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</si>
  <si>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</si>
  <si>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</si>
  <si>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</si>
  <si>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</si>
  <si>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</si>
  <si>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</si>
  <si>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</si>
  <si>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</si>
  <si>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</si>
  <si>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</si>
  <si>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</si>
  <si>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</si>
  <si>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</si>
  <si>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</si>
  <si>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</si>
  <si>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</si>
  <si>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</si>
  <si>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</si>
  <si>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</si>
  <si>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</si>
  <si>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</si>
  <si>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</si>
  <si>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</si>
  <si>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</si>
  <si>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</si>
  <si>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</si>
  <si>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</si>
  <si>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</si>
  <si>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</si>
  <si>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</si>
  <si>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</si>
  <si>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</si>
  <si>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</si>
  <si>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</si>
  <si>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</si>
  <si>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</si>
  <si>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</si>
  <si>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</si>
  <si>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</si>
  <si>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</si>
  <si>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</si>
  <si>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</si>
  <si>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</si>
  <si>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</si>
  <si>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</si>
  <si>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</si>
  <si>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</si>
  <si>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</si>
  <si>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</si>
  <si>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</si>
  <si>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</si>
  <si>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</si>
  <si>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</si>
  <si>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</si>
  <si>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</si>
  <si>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</si>
  <si>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</si>
  <si>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</si>
  <si>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</si>
  <si>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</si>
  <si>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</si>
  <si>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</si>
  <si>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</si>
  <si>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</si>
  <si>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</si>
  <si>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</si>
  <si>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</si>
  <si>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</si>
  <si>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</si>
  <si>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</si>
  <si>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</si>
  <si>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</si>
  <si>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</si>
  <si>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</si>
  <si>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</si>
  <si>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</si>
  <si>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</si>
  <si>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</si>
  <si>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</si>
  <si>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</si>
  <si>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</si>
  <si>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</si>
  <si>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保定市</t>
  </si>
  <si>
    <t>[2022]95号</t>
  </si>
  <si>
    <t xml:space="preserve"> 河北省</t>
  </si>
  <si>
    <t xml:space="preserve"> 定州市</t>
  </si>
  <si>
    <t xml:space="preserve"> --</t>
  </si>
  <si>
    <t xml:space="preserve"> 旭阳路北侧、学府街东侧</t>
  </si>
  <si>
    <t xml:space="preserve"> 工业用地</t>
  </si>
  <si>
    <t xml:space="preserve"> 等于1.22</t>
  </si>
  <si>
    <t xml:space="preserve"> 拍卖</t>
  </si>
  <si>
    <t xml:space="preserve">-- </t>
  </si>
  <si>
    <t xml:space="preserve"> -- </t>
  </si>
  <si>
    <t xml:space="preserve"> 等于59.5</t>
  </si>
  <si>
    <t xml:space="preserve"> 定公出告字[2022]95号</t>
  </si>
  <si>
    <t xml:space="preserve"> 已成交</t>
  </si>
  <si>
    <t xml:space="preserve"> 定州赛欧体育用品有限公司  </t>
  </si>
  <si>
    <t>2022-12-30 10:00</t>
  </si>
  <si>
    <t xml:space="preserve"> 50年</t>
  </si>
  <si>
    <t>[2022]69号</t>
  </si>
  <si>
    <t xml:space="preserve"> 东留春乡大王耨村北侧</t>
  </si>
  <si>
    <t xml:space="preserve"> 大于或等于1</t>
  </si>
  <si>
    <t xml:space="preserve"> 大于或等于40</t>
  </si>
  <si>
    <t xml:space="preserve"> 定公出告字[2022]68号</t>
  </si>
  <si>
    <t xml:space="preserve"> 定州市旺雪面业有限公司  </t>
  </si>
  <si>
    <t>2022-12-05 10:00</t>
  </si>
  <si>
    <t>[2022]68号</t>
  </si>
  <si>
    <t xml:space="preserve"> 留早西街高速公路东南侧</t>
  </si>
  <si>
    <t xml:space="preserve"> 神粮牧之宝(河北)生物科技发展有限公司  </t>
  </si>
  <si>
    <t>[2022]66号</t>
  </si>
  <si>
    <t xml:space="preserve"> 佳苑路南侧</t>
  </si>
  <si>
    <t xml:space="preserve"> 定公出告字[2022]65号</t>
  </si>
  <si>
    <t xml:space="preserve"> 千喜助农(定州)食品科技有限公司  </t>
  </si>
  <si>
    <t>规划迎宾路北侧</t>
  </si>
  <si>
    <t>[2022]50号</t>
  </si>
  <si>
    <t xml:space="preserve"> 规划迎宾路北侧</t>
  </si>
  <si>
    <t xml:space="preserve"> 定公出告字[2022]50号</t>
  </si>
  <si>
    <t xml:space="preserve"> 定州市铁联购销储运有限公司  </t>
  </si>
  <si>
    <t>2022-09-16 10:00</t>
  </si>
  <si>
    <t>铁西街西侧</t>
  </si>
  <si>
    <t>[2022]47号</t>
  </si>
  <si>
    <t xml:space="preserve"> 铁西街西侧</t>
  </si>
  <si>
    <t xml:space="preserve"> 等于1.26</t>
  </si>
  <si>
    <t xml:space="preserve"> 等于58.86</t>
  </si>
  <si>
    <t xml:space="preserve"> 定公出告字[2022]47号</t>
  </si>
  <si>
    <t xml:space="preserve"> 河北盛世影视道具有限公司  </t>
  </si>
  <si>
    <t>2022-09-13 10:00</t>
  </si>
  <si>
    <t>长安路西侧</t>
  </si>
  <si>
    <t>[2022]25号</t>
  </si>
  <si>
    <t xml:space="preserve"> 长安路西侧</t>
  </si>
  <si>
    <t xml:space="preserve"> 定公出告字[2022]24号</t>
  </si>
  <si>
    <t xml:space="preserve"> 河北定乾机械制造有限公司  </t>
  </si>
  <si>
    <t>2022-06-24 10:00</t>
  </si>
  <si>
    <t>学府街东侧</t>
  </si>
  <si>
    <t>[2022]12号</t>
  </si>
  <si>
    <t xml:space="preserve"> 学府街东侧</t>
  </si>
  <si>
    <t xml:space="preserve"> 定公出告字[2022]12号</t>
  </si>
  <si>
    <t xml:space="preserve"> 河北康奥达体育用品有限公司  </t>
  </si>
  <si>
    <t>2022-03-31 09:30</t>
  </si>
  <si>
    <t>学府街东侧、嘉定路南侧</t>
  </si>
  <si>
    <t>[2022]13号</t>
  </si>
  <si>
    <t xml:space="preserve"> 学府街东侧、嘉定路南侧</t>
  </si>
  <si>
    <t xml:space="preserve"> 定州市天华体育用品有限公司  </t>
  </si>
  <si>
    <t>旭阳路北侧</t>
  </si>
  <si>
    <t>[2022]7号</t>
  </si>
  <si>
    <t xml:space="preserve"> 旭阳路北侧</t>
  </si>
  <si>
    <t xml:space="preserve"> 定公出告字[2022]7号</t>
  </si>
  <si>
    <t xml:space="preserve"> 定州银河体育用品有限公司  </t>
  </si>
  <si>
    <t>2022-03-25 10:00</t>
  </si>
  <si>
    <t>规划万明路南侧</t>
  </si>
  <si>
    <t>[2022]10号</t>
  </si>
  <si>
    <t xml:space="preserve"> 规划万明路南侧</t>
  </si>
  <si>
    <t xml:space="preserve"> 定公出告字[2022]9号</t>
  </si>
  <si>
    <t xml:space="preserve"> 河北柯德工业机器人制造有限公司  </t>
  </si>
  <si>
    <t>东升路北侧</t>
  </si>
  <si>
    <t>[2022]6号</t>
  </si>
  <si>
    <t xml:space="preserve"> 东升路北侧</t>
  </si>
  <si>
    <t xml:space="preserve"> 定公出告字[2022]2号</t>
  </si>
  <si>
    <t xml:space="preserve"> 文永印刷河北有限公司  </t>
  </si>
  <si>
    <t>[2022]4号</t>
  </si>
  <si>
    <t>[2022]5号</t>
  </si>
  <si>
    <t>李亲顾镇区规划滨河路南侧</t>
  </si>
  <si>
    <t>[2021]102号</t>
  </si>
  <si>
    <t xml:space="preserve"> 李亲顾镇区规划滨河路南侧</t>
  </si>
  <si>
    <t xml:space="preserve"> 定公出告字[2021]100号</t>
  </si>
  <si>
    <t xml:space="preserve"> 保定永伟伟业制钉有限公司  </t>
  </si>
  <si>
    <t>2021-12-24 10:00</t>
  </si>
  <si>
    <t>北外环路北侧</t>
  </si>
  <si>
    <t>[2021]108号</t>
  </si>
  <si>
    <t xml:space="preserve"> 北外环路北侧</t>
  </si>
  <si>
    <t xml:space="preserve"> 定公出告字[2021]105号</t>
  </si>
  <si>
    <t xml:space="preserve"> 定州市荣鼎水环境生化技术有限公司  </t>
  </si>
  <si>
    <t>学府街西侧、嘉定路北侧</t>
  </si>
  <si>
    <t>[2021]117号</t>
  </si>
  <si>
    <t xml:space="preserve"> 学府街西侧、嘉定路北侧</t>
  </si>
  <si>
    <t xml:space="preserve"> 定公出告字[2021]110号</t>
  </si>
  <si>
    <t xml:space="preserve"> 定州隆庆达鞋材有限公司  </t>
  </si>
  <si>
    <t>瑞园路北侧</t>
  </si>
  <si>
    <t>[2021]118号</t>
  </si>
  <si>
    <t xml:space="preserve"> 瑞园路北侧</t>
  </si>
  <si>
    <t xml:space="preserve"> 定州市华腾仓储有限公司  </t>
  </si>
  <si>
    <t>嘉定路南侧</t>
  </si>
  <si>
    <t>[2021]130号</t>
  </si>
  <si>
    <t xml:space="preserve"> 嘉定路南侧</t>
  </si>
  <si>
    <t xml:space="preserve"> 定公出告字[2021]128号</t>
  </si>
  <si>
    <t xml:space="preserve"> 定州市腾达汽车座椅制造有限公司  </t>
  </si>
  <si>
    <t>规划赵村路北侧</t>
  </si>
  <si>
    <t>[2021]131号</t>
  </si>
  <si>
    <t xml:space="preserve"> 规划赵村路北侧</t>
  </si>
  <si>
    <t xml:space="preserve"> 长亨汽车零部件(定州)有限公司  </t>
  </si>
  <si>
    <t>[2021]116号</t>
  </si>
  <si>
    <t xml:space="preserve"> 定州市兴亚电器控制设备有限公司  </t>
  </si>
  <si>
    <t>李亲顾镇油味村北侧</t>
  </si>
  <si>
    <t>[2021]104号</t>
  </si>
  <si>
    <t xml:space="preserve"> 李亲顾镇油味村北侧</t>
  </si>
  <si>
    <t xml:space="preserve"> 大于或等于0.7</t>
  </si>
  <si>
    <t xml:space="preserve"> 仓储用地</t>
  </si>
  <si>
    <t xml:space="preserve"> 定州玉中粮食贸易有限公司  </t>
  </si>
  <si>
    <t>唐南东路南侧、学府街东侧</t>
  </si>
  <si>
    <t>[2021]109号</t>
  </si>
  <si>
    <t xml:space="preserve"> 唐南东路南侧、学府街东侧</t>
  </si>
  <si>
    <t xml:space="preserve"> 定州市华北蜂业有限公司  </t>
  </si>
  <si>
    <t>规划学院西路南侧</t>
  </si>
  <si>
    <t>[2021]128号</t>
  </si>
  <si>
    <t xml:space="preserve"> 规划学院西路南侧</t>
  </si>
  <si>
    <t xml:space="preserve"> 河北宝塔医疗器械有限公司  </t>
  </si>
  <si>
    <t>[2021]119号</t>
  </si>
  <si>
    <t xml:space="preserve"> 定州市益群体育用品有限公司  </t>
  </si>
  <si>
    <t>李亲顾镇区规划工贸路北侧</t>
  </si>
  <si>
    <t>[2021]103号</t>
  </si>
  <si>
    <t xml:space="preserve"> 李亲顾镇区规划工贸路北侧</t>
  </si>
  <si>
    <t xml:space="preserve"> 河北玉葫中药柜有限公司  </t>
  </si>
  <si>
    <t>双天工业园区双天南路北侧</t>
  </si>
  <si>
    <t>[2021]95号</t>
  </si>
  <si>
    <t xml:space="preserve"> 双天工业园区双天南路北侧</t>
  </si>
  <si>
    <t xml:space="preserve"> 小于或等于24</t>
  </si>
  <si>
    <t xml:space="preserve"> 定公出告字[2021]93号</t>
  </si>
  <si>
    <t xml:space="preserve"> 定州市天泰汽车零部件有限公司  </t>
  </si>
  <si>
    <t>2021-12-02 10:00</t>
  </si>
  <si>
    <t xml:space="preserve"> 45年</t>
  </si>
  <si>
    <t>再生资源产业基地纬三路北侧</t>
  </si>
  <si>
    <t>[2021]79号</t>
  </si>
  <si>
    <t xml:space="preserve"> 再生资源产业基地纬三路北侧</t>
  </si>
  <si>
    <t xml:space="preserve"> ≥1.0</t>
  </si>
  <si>
    <t xml:space="preserve"> 二类工业用地</t>
  </si>
  <si>
    <t xml:space="preserve"> ≥40%</t>
  </si>
  <si>
    <t xml:space="preserve"> 定公出告字[2021]77号</t>
  </si>
  <si>
    <t xml:space="preserve"> 河北瀛源再生资源开发有限公司  </t>
  </si>
  <si>
    <t>2021-09-08 10:00</t>
  </si>
  <si>
    <t>再生资源产业基地纬二路北侧</t>
  </si>
  <si>
    <t>[2021]76号</t>
  </si>
  <si>
    <t xml:space="preserve"> 再生资源产业基地纬二路北侧</t>
  </si>
  <si>
    <t xml:space="preserve"> ≥0.9</t>
  </si>
  <si>
    <t xml:space="preserve"> ≤24米</t>
  </si>
  <si>
    <t xml:space="preserve"> 定公出告字[2021]73号</t>
  </si>
  <si>
    <t xml:space="preserve"> 河北佳润房地产开发有限公司  </t>
  </si>
  <si>
    <t>再生资源产业基地规划经五路西侧</t>
  </si>
  <si>
    <t>[2021]75号</t>
  </si>
  <si>
    <t xml:space="preserve"> 再生资源产业基地规划经五路西侧</t>
  </si>
  <si>
    <t xml:space="preserve"> -</t>
  </si>
  <si>
    <t>再生资源产业基地纬三路南侧</t>
  </si>
  <si>
    <t>[2021]78号</t>
  </si>
  <si>
    <t xml:space="preserve"> 再生资源产业基地纬三路南侧</t>
  </si>
  <si>
    <t xml:space="preserve"> ≥0.7</t>
  </si>
  <si>
    <t xml:space="preserve"> 物流仓储用地</t>
  </si>
  <si>
    <t>长安路东侧</t>
  </si>
  <si>
    <t>[2021]67号</t>
  </si>
  <si>
    <t xml:space="preserve"> 长安路东侧</t>
  </si>
  <si>
    <t xml:space="preserve"> 定公出告字[2021]66号</t>
  </si>
  <si>
    <t xml:space="preserve"> 河北中投众创空间有限公司  </t>
  </si>
  <si>
    <t>2021-09-01 10:00</t>
  </si>
  <si>
    <t>永康大街西侧</t>
  </si>
  <si>
    <t>[2021]62号</t>
  </si>
  <si>
    <t xml:space="preserve"> 永康大街西侧</t>
  </si>
  <si>
    <t xml:space="preserve"> 定公出告字[2021]62号</t>
  </si>
  <si>
    <t xml:space="preserve"> 定州市华强健身器材有限公司  </t>
  </si>
  <si>
    <t>东升路南侧</t>
  </si>
  <si>
    <t>[2021]63号</t>
  </si>
  <si>
    <t xml:space="preserve"> 东升路南侧</t>
  </si>
  <si>
    <t xml:space="preserve"> 河北佳辰体育用品有限公司  </t>
  </si>
  <si>
    <t>唐南西路南侧、建业大道西侧</t>
  </si>
  <si>
    <t>[2021]66号</t>
  </si>
  <si>
    <t xml:space="preserve"> 唐南西路南侧、建业大道西侧</t>
  </si>
  <si>
    <t xml:space="preserve"> 河北派森科技有限公司  </t>
  </si>
  <si>
    <t>唐南西路北侧</t>
  </si>
  <si>
    <t>[2021]68号</t>
  </si>
  <si>
    <t xml:space="preserve"> 唐南西路北侧</t>
  </si>
  <si>
    <t>双天工业园区双天北路北侧</t>
  </si>
  <si>
    <t>[2021]59号</t>
  </si>
  <si>
    <t xml:space="preserve"> 双天工业园区双天北路北侧</t>
  </si>
  <si>
    <t xml:space="preserve"> 大于或等于1.1</t>
  </si>
  <si>
    <t xml:space="preserve"> 挂牌</t>
  </si>
  <si>
    <t xml:space="preserve"> 定公出告字[2021]59号</t>
  </si>
  <si>
    <t xml:space="preserve"> 河北牧泉元兴生物科技有限责任公司  </t>
  </si>
  <si>
    <t>2021-08-02 10:00</t>
  </si>
  <si>
    <t>砖路镇台头村西南侧</t>
  </si>
  <si>
    <t>[2021]57号</t>
  </si>
  <si>
    <t xml:space="preserve"> 砖路镇台头村西南侧</t>
  </si>
  <si>
    <t xml:space="preserve"> 定公出告字[2021]57号</t>
  </si>
  <si>
    <t xml:space="preserve"> 河北金宏清真肉类有限公司  </t>
  </si>
  <si>
    <t>2021-06-28 10:00</t>
  </si>
  <si>
    <t>再生资源产业基地北围墙南侧、经十三路西侧</t>
  </si>
  <si>
    <t>[2021]43号</t>
  </si>
  <si>
    <t xml:space="preserve"> 再生资源产业基地北围墙南侧、经十三路西侧</t>
  </si>
  <si>
    <t xml:space="preserve"> 定公出告字[2021]42号</t>
  </si>
  <si>
    <t xml:space="preserve"> 河北广友橡胶制品制造有限公司  </t>
  </si>
  <si>
    <t>静安街西侧、迎宾路北侧</t>
  </si>
  <si>
    <t>[2021]47号</t>
  </si>
  <si>
    <t xml:space="preserve"> 静安街西侧、迎宾路北侧</t>
  </si>
  <si>
    <t xml:space="preserve"> 定公出告字[2021]45号</t>
  </si>
  <si>
    <t xml:space="preserve"> 定州京津冀演艺产业基地有限公司  </t>
  </si>
  <si>
    <t>京邯天然气长输管线西侧</t>
  </si>
  <si>
    <t>[2021]41号</t>
  </si>
  <si>
    <t xml:space="preserve"> 京邯天然气长输管线西侧</t>
  </si>
  <si>
    <t xml:space="preserve"> 大于或等于0.5</t>
  </si>
  <si>
    <t xml:space="preserve"> 大于或等于30</t>
  </si>
  <si>
    <t xml:space="preserve"> 定公出告字[2021]40号号</t>
  </si>
  <si>
    <t xml:space="preserve"> 江纳股份公司  </t>
  </si>
  <si>
    <t>[2021]44号</t>
  </si>
  <si>
    <t xml:space="preserve"> 定州市捷顺塑胶制品有限公司  </t>
  </si>
  <si>
    <t>帅村村北</t>
  </si>
  <si>
    <t>[2021]49号</t>
  </si>
  <si>
    <t xml:space="preserve"> 帅村村北</t>
  </si>
  <si>
    <t xml:space="preserve"> 定公出告字[2021]48号</t>
  </si>
  <si>
    <t xml:space="preserve"> 华之冀定州航空技术有限公司  </t>
  </si>
  <si>
    <t>旭阳西街西侧</t>
  </si>
  <si>
    <t>[2021]37号地块</t>
  </si>
  <si>
    <t xml:space="preserve"> 旭阳西街西侧</t>
  </si>
  <si>
    <t xml:space="preserve"> 定公出告字[2021]37号</t>
  </si>
  <si>
    <t xml:space="preserve"> 定州市浩鑫金属包装容器有限公司  </t>
  </si>
  <si>
    <t>2021-05-21 10:00</t>
  </si>
  <si>
    <t>再生资源产业基地纬三路北侧、经十三路东侧</t>
  </si>
  <si>
    <t>[2021]36号</t>
  </si>
  <si>
    <t xml:space="preserve"> 再生资源产业基地纬三路北侧、经十三路东侧</t>
  </si>
  <si>
    <t xml:space="preserve"> 大于或等于0.9</t>
  </si>
  <si>
    <t xml:space="preserve"> 定公出告字[2021]36号</t>
  </si>
  <si>
    <t>2021-04-23 10:00</t>
  </si>
  <si>
    <t>长安路西侧、赵村路北侧</t>
  </si>
  <si>
    <t>[2021]35号</t>
  </si>
  <si>
    <t xml:space="preserve"> 长安路西侧、赵村路北侧</t>
  </si>
  <si>
    <t xml:space="preserve"> 定公出告字[2021]34号</t>
  </si>
  <si>
    <t>2021-04-12 10:00</t>
  </si>
  <si>
    <t>长安路西侧、万明路南侧</t>
  </si>
  <si>
    <t>[2021]34号</t>
  </si>
  <si>
    <t xml:space="preserve"> 长安路西侧、万明路南侧</t>
  </si>
  <si>
    <t>[2021]22号</t>
  </si>
  <si>
    <t xml:space="preserve"> 定公出告字[2021]18号</t>
  </si>
  <si>
    <t xml:space="preserve"> 定州文达双起净水设备有限公司  </t>
  </si>
  <si>
    <t>2021-03-23 10:00</t>
  </si>
  <si>
    <t>长安路东侧、唐南西路北侧</t>
  </si>
  <si>
    <t>[2021]24号</t>
  </si>
  <si>
    <t xml:space="preserve"> 长安路东侧、唐南西路北侧</t>
  </si>
  <si>
    <t>唐南西路南侧</t>
  </si>
  <si>
    <t>[2021]32号</t>
  </si>
  <si>
    <t xml:space="preserve"> 唐南西路南侧</t>
  </si>
  <si>
    <t xml:space="preserve"> 定公出告字[2021]26号</t>
  </si>
  <si>
    <t xml:space="preserve"> 河北万利粮油机械制造有限公司  </t>
  </si>
  <si>
    <t>地面单价</t>
    <phoneticPr fontId="134" type="noConversion"/>
  </si>
  <si>
    <t>留早西街高速公路东南侧</t>
    <phoneticPr fontId="134" type="noConversion"/>
  </si>
  <si>
    <t>旭阳路北侧、学府街东侧</t>
    <phoneticPr fontId="134" type="noConversion"/>
  </si>
  <si>
    <t>东留春乡大王耨村北侧</t>
    <phoneticPr fontId="134" type="noConversion"/>
  </si>
  <si>
    <t>佳苑路南侧</t>
    <phoneticPr fontId="134" type="noConversion"/>
  </si>
  <si>
    <t>其他：</t>
  </si>
  <si>
    <t>企业</t>
  </si>
  <si>
    <t>抵押</t>
  </si>
  <si>
    <t>房地产抵押价值</t>
  </si>
  <si>
    <t>1#厂房</t>
    <phoneticPr fontId="134" type="noConversion"/>
  </si>
  <si>
    <t>建筑面积</t>
    <phoneticPr fontId="134" type="noConversion"/>
  </si>
  <si>
    <t>楼层</t>
    <phoneticPr fontId="134" type="noConversion"/>
  </si>
  <si>
    <t>结构</t>
    <phoneticPr fontId="134" type="noConversion"/>
  </si>
  <si>
    <t>钢结构</t>
    <phoneticPr fontId="134" type="noConversion"/>
  </si>
  <si>
    <t>不动产证</t>
    <phoneticPr fontId="134" type="noConversion"/>
  </si>
  <si>
    <t>坐落</t>
    <phoneticPr fontId="134" type="noConversion"/>
  </si>
  <si>
    <t>冀（2017）定州市不动产权第0002450号</t>
    <phoneticPr fontId="134" type="noConversion"/>
  </si>
  <si>
    <t>2#厂房</t>
  </si>
  <si>
    <t>冀（2017）定州市不动产权第0002449号</t>
    <phoneticPr fontId="134" type="noConversion"/>
  </si>
  <si>
    <t>宗地面积</t>
    <phoneticPr fontId="134" type="noConversion"/>
  </si>
  <si>
    <t>3#厂房</t>
  </si>
  <si>
    <t>冀（2017）定州市不动产权第0002451号</t>
    <phoneticPr fontId="134" type="noConversion"/>
  </si>
  <si>
    <t>4#厂房</t>
  </si>
  <si>
    <t>冀（2017）定州市不动产权第0002448号</t>
    <phoneticPr fontId="134" type="noConversion"/>
  </si>
  <si>
    <t>合计</t>
    <phoneticPr fontId="134" type="noConversion"/>
  </si>
  <si>
    <t>是</t>
  </si>
  <si>
    <t>地上</t>
  </si>
  <si>
    <t>标准厂房</t>
  </si>
  <si>
    <t>工业</t>
    <phoneticPr fontId="7" type="noConversion"/>
  </si>
  <si>
    <t>利息：取LPR加浮动点数</t>
  </si>
  <si>
    <t>成新度</t>
  </si>
  <si>
    <t>收益法</t>
  </si>
  <si>
    <t>建筑面积</t>
    <phoneticPr fontId="3" type="noConversion"/>
  </si>
  <si>
    <t>剩余土地</t>
    <phoneticPr fontId="3" type="noConversion"/>
  </si>
  <si>
    <t>押一</t>
  </si>
  <si>
    <t>钢</t>
  </si>
  <si>
    <t>生产用房</t>
  </si>
  <si>
    <t>单位面积地价</t>
  </si>
  <si>
    <t>正常</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</si>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</sst>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宋体"/>
      <family val="2"/>
      <scheme val="minor"/>
    </font>
    <font>
      <sz val="10"/>
      <name val="宋体"/>
      <family val="2"/>
      <scheme val="minor"/>
    </font>
    <font>
      <sz val="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NumberFormat="1" applyFont="1" applyAlignment="1"/>
    <xf numFmtId="0" fontId="107" fillId="0" borderId="0" xfId="0" applyNumberFormat="1" applyFont="1" applyAlignment="1"/>
    <xf numFmtId="14" fontId="107" fillId="0" borderId="0" xfId="0" applyNumberFormat="1" applyFont="1" applyAlignment="1"/>
    <xf numFmtId="0" fontId="270" fillId="0" borderId="0" xfId="0" applyNumberFormat="1" applyFont="1" applyAlignment="1"/>
    <xf numFmtId="14" fontId="271" fillId="0" borderId="0" xfId="0" applyNumberFormat="1" applyFont="1" applyAlignment="1"/>
    <xf numFmtId="0" fontId="271" fillId="0" borderId="0" xfId="0" applyNumberFormat="1" applyFont="1" applyAlignment="1"/>
    <xf numFmtId="0" fontId="270" fillId="5" borderId="0" xfId="0" applyNumberFormat="1" applyFont="1" applyFill="1" applyAlignment="1"/>
    <xf numFmtId="14" fontId="271" fillId="5" borderId="0" xfId="0" applyNumberFormat="1" applyFont="1" applyFill="1" applyAlignment="1"/>
    <xf numFmtId="0" fontId="271" fillId="5" borderId="0" xfId="0" applyNumberFormat="1" applyFont="1" applyFill="1" applyAlignment="1"/>
    <xf numFmtId="0" fontId="107" fillId="0" borderId="0" xfId="0" applyFont="1">
      <alignment vertical="center"/>
    </xf>
    <xf numFmtId="0" fontId="271" fillId="0" borderId="0" xfId="0" applyFont="1" applyAlignment="1">
      <alignment horizontal="left" vertical="center"/>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152401</xdr:colOff>
      <xdr:row>0</xdr:row>
      <xdr:rowOff>0</xdr:rowOff>
    </xdr:from>
    <xdr:to>
      <xdr:col>11</xdr:col>
      <xdr:colOff>76201</xdr:colOff>
      <xdr:row>35</xdr:row>
      <xdr:rowOff>78036</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1" y="0"/>
          <a:ext cx="7467600" cy="60787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估价对象为房地产，为所有。根据《国有土地使用证》[]，估价对象（分摊）出让国有建设用地使用权面积为26500平方米，建筑面积为12794.5平方米。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估价对象为房地产,属开发建设的，该项目尚在开发建设中。根据《国有土地使用证》[]，估价对象（分摊）出让国有建设用地使用权面积为26500平方米，规划建筑面积为12794.5平方米。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2023年3月1日（评估专业人员实地查勘之日）</v>
      </c>
    </row>
    <row r="13" spans="1:2" s="1203" customFormat="1">
      <c r="A13" s="1201" t="s">
        <v>529</v>
      </c>
      <c r="B13" s="1202" t="str">
        <f>'预评函-1'!A18</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4533</v>
      </c>
    </row>
    <row r="21" spans="1:2" s="1203" customFormat="1">
      <c r="A21" s="1201" t="s">
        <v>537</v>
      </c>
      <c r="B21" s="1202">
        <f ca="1">'预评函-2'!D7</f>
        <v>3543</v>
      </c>
    </row>
    <row r="22" spans="1:2" s="1203" customFormat="1">
      <c r="A22" s="1201" t="s">
        <v>538</v>
      </c>
      <c r="B22" s="1202" t="str">
        <f ca="1">'预评函-2'!D6</f>
        <v>肆仟伍佰叁拾叁万元整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4533</v>
      </c>
    </row>
    <row r="31" spans="1:2" s="1203" customFormat="1">
      <c r="A31" s="1201" t="s">
        <v>576</v>
      </c>
      <c r="B31" s="1202">
        <f ca="1">'预评函-2'!D15</f>
        <v>3543</v>
      </c>
    </row>
    <row r="32" spans="1:2" s="1203" customFormat="1">
      <c r="A32" s="1201" t="s">
        <v>543</v>
      </c>
      <c r="B32" s="1202" t="str">
        <f ca="1">'预评函-2'!D14</f>
        <v>肆仟伍佰叁拾叁万元整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12794.5</v>
      </c>
    </row>
    <row r="44" spans="1:2" s="1203" customFormat="1">
      <c r="A44" s="1201" t="s">
        <v>575</v>
      </c>
      <c r="B44" s="1202" t="str">
        <f>'预评函-3'!C2</f>
        <v>(分摊)土地面积</v>
      </c>
    </row>
    <row r="45" spans="1:2" s="1203" customFormat="1">
      <c r="A45" s="1201" t="s">
        <v>547</v>
      </c>
      <c r="B45" s="1202">
        <f>'预评函-3'!C4</f>
        <v>26500</v>
      </c>
    </row>
    <row r="46" spans="1:2" s="1203" customFormat="1">
      <c r="A46" s="1201" t="s">
        <v>573</v>
      </c>
      <c r="B46" s="1202" t="str">
        <f>'预评函-3'!D2</f>
        <v>出让国有建设用地使用权价值</v>
      </c>
    </row>
    <row r="47" spans="1:2" s="1203" customFormat="1">
      <c r="A47" s="1201" t="s">
        <v>548</v>
      </c>
      <c r="B47" s="1202">
        <f ca="1">'预评函-3'!D4</f>
        <v>997</v>
      </c>
    </row>
    <row r="48" spans="1:2" s="1203" customFormat="1">
      <c r="A48" s="1201" t="s">
        <v>549</v>
      </c>
      <c r="B48" s="1202">
        <f ca="1">'预评函-3'!E4</f>
        <v>779</v>
      </c>
    </row>
    <row r="49" spans="1:2" s="1203" customFormat="1">
      <c r="A49" s="1201" t="s">
        <v>550</v>
      </c>
      <c r="B49" s="1202" t="str">
        <f ca="1">'预评函-3'!D5</f>
        <v>玖佰玖拾柒万元整</v>
      </c>
    </row>
    <row r="50" spans="1:2" s="1203" customFormat="1">
      <c r="A50" s="1201" t="s">
        <v>574</v>
      </c>
      <c r="B50" s="1202" t="str">
        <f>'预评函-3'!F2</f>
        <v>在建建筑物价值</v>
      </c>
    </row>
    <row r="51" spans="1:2" s="1203" customFormat="1">
      <c r="A51" s="1201" t="s">
        <v>551</v>
      </c>
      <c r="B51" s="1202">
        <f ca="1">'预评函-3'!F4</f>
        <v>3536</v>
      </c>
    </row>
    <row r="52" spans="1:2" s="1203" customFormat="1">
      <c r="A52" s="1201" t="s">
        <v>552</v>
      </c>
      <c r="B52" s="1202">
        <f ca="1">'预评函-3'!G4</f>
        <v>2764</v>
      </c>
    </row>
    <row r="53" spans="1:2" s="1203" customFormat="1">
      <c r="A53" s="1201" t="s">
        <v>580</v>
      </c>
      <c r="B53" s="1202" t="str">
        <f ca="1">'预评函-3'!F5</f>
        <v>叁仟伍佰叁拾陆万元整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2579</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2580</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04" t="s">
        <v>2582</v>
      </c>
      <c r="J2" s="3504"/>
      <c r="K2" s="3504"/>
      <c r="L2" s="3504"/>
      <c r="M2" s="3504"/>
      <c r="N2" s="3504"/>
      <c r="O2" s="3504"/>
      <c r="P2" s="3504"/>
      <c r="Q2" s="3504"/>
      <c r="R2" s="3504"/>
    </row>
    <row r="3" spans="1:18">
      <c r="A3" s="3020" t="s">
        <v>2503</v>
      </c>
      <c r="B3" s="3021">
        <f>项目基本情况!D3</f>
        <v>44986</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3.8</v>
      </c>
      <c r="D5" s="3025">
        <f>IF(ISERROR(ROUND(POWER(1+E5,A5-C5)*(POWER(1+E5,C5)-1)/(POWER(1+E5,A5)-1),3)),0,ROUND(POWER(1+E5,A5-C5)*(POWER(1+E5,C5)-1)/(POWER(1+E5,A5)-1),4))</f>
        <v>0.1749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13.81</v>
      </c>
      <c r="D6" s="3025">
        <f>IF(ISERROR(ROUND(POWER(1+E6,A6-C6)*(POWER(1+E6,C6)-1)/(POWER(1+E6,A6)-1),3)),0,ROUND(POWER(1+E6,A6-C6)*(POWER(1+E6,C6)-1)/(POWER(1+E6,A6)-1),4))</f>
        <v>0.48670000000000002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33.82</v>
      </c>
      <c r="D7" s="3025">
        <f>IF(ISERROR(ROUND(POWER(1+E7,A7-C7)*(POWER(1+E7,C7)-1)/(POWER(1+E7,A7)-1),3)),0,ROUND(POWER(1+E7,A7-C7)*(POWER(1+E7,C7)-1)/(POWER(1+E7,A7)-1),4))</f>
        <v>0.78500000000000003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3" sqref="C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5" t="str">
        <f>IF(B10="北京市","北京市",C10)&amp;F10&amp;IF(结果表!G1="在建","出让国有建设用地使用权及在建建筑物",IF(结果表!G1="土地","出让国有建设用地使用权",))&amp;B9&amp;"预评估"</f>
        <v>房地产抵押价值预评估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2169</v>
      </c>
      <c r="B3" s="2373">
        <v>44986</v>
      </c>
      <c r="C3" s="2374" t="s">
        <v>2170</v>
      </c>
      <c r="D3" s="2373">
        <v>44986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3692</v>
      </c>
      <c r="C8" s="2390"/>
      <c r="D8" s="3508" t="s">
        <v>2176</v>
      </c>
      <c r="E8" s="2391" t="s">
        <v>3693</v>
      </c>
      <c r="F8" s="2392"/>
      <c r="G8" s="2663"/>
      <c r="H8" s="2663"/>
      <c r="I8" s="2663"/>
      <c r="J8" s="2439"/>
      <c r="K8" s="2614"/>
      <c r="L8" s="2613"/>
      <c r="M8" s="2613"/>
      <c r="N8" s="2439"/>
      <c r="O8" s="2450"/>
      <c r="P8" s="2439"/>
      <c r="Q8" s="2439"/>
      <c r="R8" s="2439"/>
    </row>
    <row r="9" spans="1:30" ht="13.5" thickBot="1">
      <c r="A9" s="2393" t="s">
        <v>2177</v>
      </c>
      <c r="B9" s="2394" t="s">
        <v>3693</v>
      </c>
      <c r="C9" s="2395"/>
      <c r="D9" s="3509"/>
      <c r="E9" s="2394"/>
      <c r="F9" s="2396"/>
      <c r="G9" s="2665"/>
      <c r="H9" s="2665"/>
      <c r="I9" s="2665"/>
      <c r="J9" s="2439"/>
      <c r="K9" s="2616"/>
      <c r="L9" s="2613"/>
      <c r="M9" s="2613"/>
      <c r="N9" s="2439"/>
      <c r="O9" s="2450"/>
      <c r="P9" s="2439"/>
      <c r="Q9" s="2439"/>
      <c r="R9" s="2439"/>
    </row>
    <row r="10" spans="1:30" ht="13.5" thickTop="1">
      <c r="A10" s="2397" t="s">
        <v>2178</v>
      </c>
      <c r="B10" s="2398" t="s">
        <v>3690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3691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3338</v>
      </c>
      <c r="B13" s="2407" t="s">
        <v>2189</v>
      </c>
      <c r="C13" s="856"/>
      <c r="D13" s="856"/>
      <c r="E13" s="856"/>
      <c r="F13" s="856"/>
      <c r="G13" s="856"/>
      <c r="H13" s="856">
        <v>59430</v>
      </c>
      <c r="I13" s="856"/>
      <c r="J13" s="3062"/>
      <c r="K13" s="2613"/>
      <c r="L13" s="2613"/>
      <c r="M13" s="2439"/>
      <c r="N13" s="2450"/>
      <c r="O13" s="2439"/>
      <c r="P13" s="2439"/>
      <c r="Q13" s="2439"/>
      <c r="AD13" s="1745"/>
    </row>
    <row r="14" spans="1:30">
      <c r="A14" s="1081"/>
      <c r="B14" s="2407" t="s">
        <v>2190</v>
      </c>
      <c r="C14" s="2408"/>
      <c r="D14" s="2408"/>
      <c r="E14" s="2408"/>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39.57</v>
      </c>
      <c r="I15" s="2410" t="str">
        <f>IF(A13="出让",IF(I13="","",ROUNDDOWN(MIN((I13-$D$3)/365,I14),2)),I14)</f>
        <v/>
      </c>
      <c r="J15" s="3064"/>
      <c r="K15" s="2451"/>
      <c r="L15" s="2451"/>
      <c r="M15" s="2509"/>
      <c r="N15" s="2451"/>
      <c r="O15" s="2509"/>
      <c r="P15" s="2439"/>
      <c r="Q15" s="2439"/>
      <c r="AD15" s="1745"/>
    </row>
    <row r="16" spans="1:30">
      <c r="A16" s="2400" t="s">
        <v>2192</v>
      </c>
      <c r="B16" s="3515"/>
      <c r="C16" s="3516"/>
      <c r="D16" s="3517"/>
      <c r="E16" s="2413" t="s">
        <v>2193</v>
      </c>
      <c r="F16" s="3518"/>
      <c r="G16" s="3519"/>
      <c r="H16" s="3519"/>
      <c r="I16" s="3520"/>
      <c r="J16" s="2439"/>
      <c r="K16" s="2617"/>
      <c r="L16" s="2451"/>
      <c r="M16" s="2451"/>
      <c r="N16" s="2509"/>
      <c r="O16" s="2451"/>
      <c r="P16" s="2509"/>
      <c r="Q16" s="2439"/>
      <c r="R16" s="2439"/>
    </row>
    <row r="17" spans="1:28">
      <c r="A17" s="313" t="s">
        <v>2194</v>
      </c>
      <c r="B17" s="302" t="s">
        <v>2195</v>
      </c>
      <c r="C17" s="8">
        <f>'数据-汇总表'!E3</f>
        <v>12794.5</v>
      </c>
      <c r="D17" s="2322" t="s">
        <v>2196</v>
      </c>
      <c r="E17" s="3521" t="s">
        <v>2197</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26500</v>
      </c>
      <c r="D18" s="1092" t="s">
        <v>2200</v>
      </c>
      <c r="E18" s="3524" t="s">
        <v>2201</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1" t="s">
        <v>2205</v>
      </c>
      <c r="C20" s="3512"/>
      <c r="D20" s="3513" t="s">
        <v>2206</v>
      </c>
      <c r="E20" s="3514"/>
      <c r="F20" s="2647" t="s">
        <v>1056</v>
      </c>
      <c r="G20" s="2664"/>
      <c r="H20" s="2664"/>
      <c r="I20" s="2664"/>
      <c r="J20" s="2439"/>
      <c r="K20" s="351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2217</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7" t="s">
        <v>2227</v>
      </c>
      <c r="T34" s="2428" t="str">
        <f>NUMBERSTRING(7-K34,1)&amp;"通"</f>
        <v>七通</v>
      </c>
      <c r="U34" s="2439"/>
      <c r="V34" s="2439"/>
    </row>
    <row r="35" spans="1:30">
      <c r="A35" s="2429"/>
      <c r="B35" s="3534" t="s">
        <v>2228</v>
      </c>
      <c r="C35" s="3534"/>
      <c r="D35" s="3534"/>
      <c r="E35" s="353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8"/>
  <sheetViews>
    <sheetView workbookViewId="0">
      <selection activeCell="C32" sqref="C32"/>
    </sheetView>
  </sheetViews>
  <sheetFormatPr defaultRowHeight="12"/>
  <cols>
    <col min="1" max="1" width="32.875" style="3459" bestFit="1" customWidth="1"/>
    <col min="2" max="16384" width="9" style="3459"/>
  </cols>
  <sheetData>
    <row r="1" spans="1:5">
      <c r="A1" s="3460" t="s">
        <v>3699</v>
      </c>
      <c r="B1" s="3460" t="s">
        <v>3700</v>
      </c>
      <c r="C1" s="3460" t="s">
        <v>3695</v>
      </c>
      <c r="D1" s="3460" t="s">
        <v>3696</v>
      </c>
      <c r="E1" s="3460" t="s">
        <v>3697</v>
      </c>
    </row>
    <row r="2" spans="1:5">
      <c r="A2" s="3460" t="s">
        <v>3701</v>
      </c>
      <c r="B2" s="3460" t="s">
        <v>3694</v>
      </c>
      <c r="C2" s="3460">
        <v>5339.5</v>
      </c>
      <c r="D2" s="3460">
        <v>1</v>
      </c>
      <c r="E2" s="3460" t="s">
        <v>3698</v>
      </c>
    </row>
    <row r="3" spans="1:5">
      <c r="A3" s="3460" t="s">
        <v>3703</v>
      </c>
      <c r="B3" s="3460" t="s">
        <v>3702</v>
      </c>
      <c r="C3" s="3460">
        <v>2580</v>
      </c>
      <c r="D3" s="3460">
        <v>1</v>
      </c>
      <c r="E3" s="3460" t="s">
        <v>3698</v>
      </c>
    </row>
    <row r="4" spans="1:5">
      <c r="A4" s="3460" t="s">
        <v>3706</v>
      </c>
      <c r="B4" s="3460" t="s">
        <v>3705</v>
      </c>
      <c r="C4" s="3460">
        <v>2437.5</v>
      </c>
      <c r="D4" s="3460">
        <v>1</v>
      </c>
      <c r="E4" s="3460" t="s">
        <v>3698</v>
      </c>
    </row>
    <row r="5" spans="1:5">
      <c r="A5" s="3460" t="s">
        <v>3708</v>
      </c>
      <c r="B5" s="3460" t="s">
        <v>3707</v>
      </c>
      <c r="C5" s="3460">
        <v>2437.5</v>
      </c>
      <c r="D5" s="3460">
        <v>1</v>
      </c>
      <c r="E5" s="3460" t="s">
        <v>3698</v>
      </c>
    </row>
    <row r="6" spans="1:5">
      <c r="A6" s="3460"/>
      <c r="B6" s="3460" t="s">
        <v>3709</v>
      </c>
      <c r="C6" s="3460">
        <f>SUM(C2:C5)</f>
        <v>12794.5</v>
      </c>
      <c r="D6" s="3460"/>
      <c r="E6" s="3460"/>
    </row>
    <row r="7" spans="1:5">
      <c r="A7" s="3460"/>
      <c r="B7" s="3460"/>
      <c r="C7" s="3460"/>
      <c r="D7" s="3460"/>
      <c r="E7" s="3460"/>
    </row>
    <row r="8" spans="1:5">
      <c r="A8" s="3460"/>
      <c r="B8" s="3460" t="s">
        <v>3704</v>
      </c>
      <c r="C8" s="3460">
        <v>26500</v>
      </c>
      <c r="D8" s="3460"/>
      <c r="E8" s="3460"/>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面积表!C8</f>
        <v>26500</v>
      </c>
      <c r="B3" s="11">
        <f>IF(C3="否",G5-AT5,G5)</f>
        <v>12794.5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12794.5</v>
      </c>
      <c r="H5" s="13">
        <f t="shared" ref="H5:AT5" si="0">SUM(H13:H656)</f>
        <v>12794.5</v>
      </c>
      <c r="I5" s="13">
        <f t="shared" si="0"/>
        <v>12794.5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12794.5</v>
      </c>
      <c r="BA5" s="15">
        <f t="shared" si="1"/>
        <v>12794.5</v>
      </c>
      <c r="BB5" s="15">
        <f t="shared" si="1"/>
        <v>12794.5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26500</v>
      </c>
      <c r="F6" s="13" t="s">
        <v>0</v>
      </c>
      <c r="G6" s="13" t="s">
        <v>1</v>
      </c>
      <c r="H6" s="17">
        <f>SUMIF(I$12:AB$12,"总值",I6:AB6)</f>
        <v>26500</v>
      </c>
      <c r="I6" s="13">
        <f t="shared" ref="I6:AB6" si="2">ROUND($A$3*I5/$B$3,2)</f>
        <v>26500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26500</v>
      </c>
      <c r="AZ6" s="13" t="s">
        <v>2</v>
      </c>
      <c r="BA6" s="13">
        <f>ROUND($AY$6*BA5/$AZ$5,2)</f>
        <v>26500</v>
      </c>
      <c r="BB6" s="13">
        <f>ROUND($AY$6*BB5/$AZ$5,2)</f>
        <v>26500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3711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3712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3710</v>
      </c>
      <c r="E13" s="13">
        <f>IF($C$3="是",ROUND($A$3*G13/$B$3,2),ROUND($A$3*(G13-AT13)/$B$3,2))</f>
        <v>26500</v>
      </c>
      <c r="F13" s="29"/>
      <c r="G13" s="30">
        <f>H13+AC13+AT13</f>
        <v>12794.5</v>
      </c>
      <c r="H13" s="17">
        <f>SUMIF(I$12:AB$12,"总值",I13:AB13)</f>
        <v>12794.5</v>
      </c>
      <c r="I13" s="1626">
        <f>面积表!C6</f>
        <v>12794.5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26500</v>
      </c>
      <c r="AZ13" s="13">
        <f>BA13+BL13</f>
        <v>12794.5</v>
      </c>
      <c r="BA13" s="13">
        <f>SUM(BB13:BK13)</f>
        <v>12794.5</v>
      </c>
      <c r="BB13" s="13">
        <f>IF($D13="是",I13-J13,0)</f>
        <v>12794.5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7" sqref="E4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9"/>
      <c r="G2" s="2650"/>
      <c r="H2" s="2651"/>
      <c r="I2" s="2325" t="s">
        <v>1132</v>
      </c>
      <c r="J2" s="2659"/>
      <c r="K2" s="2659"/>
      <c r="L2" s="2659"/>
      <c r="M2" s="2659"/>
      <c r="N2" s="2661"/>
      <c r="O2" s="2659"/>
      <c r="P2" s="2659"/>
    </row>
    <row r="3" spans="1:16" ht="15.75" thickBot="1">
      <c r="A3" s="3545" t="s">
        <v>1105</v>
      </c>
      <c r="B3" s="3545"/>
      <c r="C3" s="3545"/>
      <c r="D3" s="43">
        <f>'数据-基础表'!AY6</f>
        <v>26500</v>
      </c>
      <c r="E3" s="43">
        <f>'数据-基础表'!AZ5</f>
        <v>12794.5</v>
      </c>
      <c r="F3" s="2659"/>
      <c r="G3" s="1145"/>
      <c r="H3" s="1026" t="s">
        <v>1106</v>
      </c>
      <c r="I3" s="855">
        <f>ROUND('数据-基础表'!B3/'数据-基础表'!A3,2)</f>
        <v>0.48</v>
      </c>
      <c r="J3" s="2659"/>
      <c r="K3" s="2659"/>
      <c r="L3" s="2659"/>
      <c r="M3" s="2659"/>
      <c r="N3" s="2661"/>
      <c r="O3" s="2659"/>
      <c r="P3" s="2659"/>
    </row>
    <row r="4" spans="1:16" ht="15">
      <c r="A4" s="3546"/>
      <c r="B4" s="3547"/>
      <c r="C4" s="3548"/>
      <c r="D4" s="1641" t="s">
        <v>1107</v>
      </c>
      <c r="E4" s="1642" t="s">
        <v>1108</v>
      </c>
      <c r="F4" s="2659"/>
      <c r="G4" s="2652" t="s">
        <v>1133</v>
      </c>
      <c r="H4" s="1026" t="s">
        <v>1113</v>
      </c>
      <c r="I4" s="855">
        <f>ROUND(SUMIF('数据-基础表'!I9:AS9,"地上",'数据-基础表'!I5:AS5)/'数据-基础表'!A3,2)</f>
        <v>0.48</v>
      </c>
      <c r="J4" s="2659"/>
      <c r="K4" s="2659"/>
      <c r="L4" s="2659"/>
      <c r="M4" s="2659"/>
      <c r="N4" s="2661"/>
      <c r="O4" s="2659"/>
      <c r="P4" s="2659"/>
    </row>
    <row r="5" spans="1:16">
      <c r="A5" s="44" t="s">
        <v>1109</v>
      </c>
      <c r="B5" s="3549" t="s">
        <v>1110</v>
      </c>
      <c r="C5" s="3549"/>
      <c r="D5" s="45">
        <f>ROUND($D$3*E5/$E$3,2)</f>
        <v>0</v>
      </c>
      <c r="E5" s="46">
        <f>SUMIF('数据-基础表'!$11:$11,"住宅",'数据-基础表'!$5:$5)</f>
        <v>0</v>
      </c>
      <c r="F5" s="2659"/>
      <c r="G5" s="1145"/>
      <c r="H5" s="1026" t="s">
        <v>1106</v>
      </c>
      <c r="I5" s="855">
        <f>ROUND(E31/D31,2)</f>
        <v>0.48</v>
      </c>
      <c r="J5" s="2659"/>
      <c r="K5" s="2659"/>
      <c r="L5" s="2659"/>
      <c r="M5" s="2659"/>
      <c r="N5" s="2659"/>
      <c r="O5" s="2659"/>
      <c r="P5" s="2659"/>
    </row>
    <row r="6" spans="1:16" ht="15" thickBot="1">
      <c r="A6" s="1644"/>
      <c r="B6" s="3549" t="s">
        <v>1111</v>
      </c>
      <c r="C6" s="3549"/>
      <c r="D6" s="45">
        <f>ROUND($D$3*E6/$E$3,2)</f>
        <v>26500</v>
      </c>
      <c r="E6" s="46">
        <f>E3-E5</f>
        <v>12794.5</v>
      </c>
      <c r="F6" s="2659"/>
      <c r="G6" s="2653" t="s">
        <v>1112</v>
      </c>
      <c r="H6" s="1146" t="s">
        <v>1113</v>
      </c>
      <c r="I6" s="2654">
        <f>ROUND(F31/D31,2)</f>
        <v>0.48</v>
      </c>
      <c r="J6" s="2659"/>
      <c r="K6" s="2659"/>
      <c r="L6" s="2659"/>
      <c r="M6" s="2659"/>
      <c r="N6" s="2659"/>
      <c r="O6" s="2659"/>
      <c r="P6" s="2659"/>
    </row>
    <row r="7" spans="1:16" ht="15.75" thickBot="1">
      <c r="A7" s="3541"/>
      <c r="B7" s="3542"/>
      <c r="C7" s="354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26500</v>
      </c>
      <c r="E8" s="48">
        <f>SUMIF('数据-基础表'!BB10:BK10,"地上",'数据-基础表'!BB5:BK5)</f>
        <v>12794.5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26500</v>
      </c>
      <c r="E16" s="50">
        <f>SUM(E8:E15)</f>
        <v>12794.5</v>
      </c>
      <c r="F16" s="2659"/>
      <c r="G16" s="2660"/>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3713</v>
      </c>
      <c r="D19" s="45">
        <f>ROUND($D$3*E19/$E$3,2)</f>
        <v>26500</v>
      </c>
      <c r="E19" s="53">
        <f t="shared" ref="E19:E26" si="1">SUM(F19:G19)</f>
        <v>12794.5</v>
      </c>
      <c r="F19" s="2795">
        <f>'数据-基础表'!I13</f>
        <v>12794.5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26500</v>
      </c>
      <c r="S19" s="1027">
        <f t="shared" si="5"/>
        <v>12794.5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26500</v>
      </c>
      <c r="E27" s="1141">
        <f>IF(SUM(E19:E26)='数据-基础表'!BA5,SUM(E19:E26),IF(F27="地上面积有误","面积有误","地下面积有误"))</f>
        <v>12794.5</v>
      </c>
      <c r="F27" s="1140">
        <f>IF(SUM(F19:F26)=E8,SUM(F19:F26),"地上面积有误")</f>
        <v>12794.5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26500</v>
      </c>
      <c r="S27" s="1026">
        <f>IF(SUM(S19:S26)=$E$3,SUM(S19:S26),SUM(S19:S26)&amp;"误差"&amp;ROUND(SUM(S19:S26)-E3,2))</f>
        <v>12794.5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26500</v>
      </c>
      <c r="E31" s="676">
        <f>E27+E30</f>
        <v>12794.5</v>
      </c>
      <c r="F31" s="677">
        <f>F27+F30</f>
        <v>12794.5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X27" sqref="W27:X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125" style="1682" customWidth="1"/>
    <col min="22" max="22" width="9.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44986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3715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59430</v>
      </c>
      <c r="F6" s="64">
        <f>SUMIF(项目基本情况!C$12:I$12,C6,项目基本情况!C$15:I$15)</f>
        <v>39.57</v>
      </c>
      <c r="G6" s="65">
        <f>IF(ISERROR(ROUND(POWER(1+H6,D6-F6)*(POWER(1+H6,F6)-1)/(POWER(1+H6,D6)-1),3)),0,ROUND(POWER(1+H6,D6-F6)*(POWER(1+H6,F6)-1)/(POWER(1+H6,D6)-1),3))</f>
        <v>0.93700000000000006</v>
      </c>
      <c r="H6" s="732">
        <v>0.05</v>
      </c>
      <c r="I6" s="732">
        <v>5.5E-2</v>
      </c>
      <c r="J6" s="66">
        <v>7.0000000000000007E-2</v>
      </c>
      <c r="K6" s="1030">
        <f>SUMIF('数据-汇总表'!C$19:C$33,A6,'数据-汇总表'!E$19:E$33)</f>
        <v>12794.5</v>
      </c>
      <c r="L6" s="733">
        <v>2800</v>
      </c>
      <c r="M6" s="67">
        <f t="shared" ref="M6:M14" si="0">ROUND(K6*L6/10000,0)</f>
        <v>3582</v>
      </c>
      <c r="N6" s="731">
        <f>ROUND((1-2%)-(2023-2015)/70,20)</f>
        <v>0.86571428571428599</v>
      </c>
      <c r="O6" s="67" t="str">
        <f>IF($N$5="成新度","——",ROUND(M6*N6,0))</f>
        <v>——</v>
      </c>
      <c r="P6" s="68" t="str">
        <f>IF($N$5="成新度","——",M6-O6)</f>
        <v>——</v>
      </c>
      <c r="Q6" s="734">
        <v>0.05</v>
      </c>
      <c r="R6" s="69">
        <f ca="1">SUMIF('数据-汇总表'!C$19:C$33,A6,'数据-汇总表'!R$19:R$27)</f>
        <v>26500</v>
      </c>
      <c r="S6" s="51">
        <f>IF('数据-汇总表'!$I$17="按面积比例",SUMIF('数据-汇总表'!C$19:C$33,A6,'数据-汇总表'!K$19:K$33),SUMIF('数据-汇总表'!C$19:C$33,A6,'数据-汇总表'!N$19:N$33))</f>
        <v>0</v>
      </c>
      <c r="T6" s="1172">
        <f>ROUND($L$14*S6/10000,0)</f>
        <v>0</v>
      </c>
      <c r="U6" s="3428">
        <f>W20</f>
        <v>0.6</v>
      </c>
      <c r="V6" s="70">
        <v>2.5000000000000001E-2</v>
      </c>
      <c r="W6" s="70">
        <v>0.1</v>
      </c>
      <c r="X6" s="1040"/>
      <c r="Y6" s="71">
        <f>N6</f>
        <v>0.86571428571428599</v>
      </c>
      <c r="Z6" s="72"/>
      <c r="AA6" s="66"/>
      <c r="AB6" s="66"/>
      <c r="AC6" s="1040"/>
      <c r="AD6" s="73"/>
      <c r="AE6" s="1041">
        <f ca="1">IF(AN6="",0,SUMIF(INDIRECT("'"&amp;AN6&amp;"'"&amp;"!E:E"),$AE$5,INDIRECT("'"&amp;AN6&amp;"'"&amp;"!F:F")))</f>
        <v>39.57</v>
      </c>
      <c r="AF6" s="1348"/>
      <c r="AG6" s="138">
        <f>IF(AF6="",0,AE6-AF6)</f>
        <v>0</v>
      </c>
      <c r="AH6" s="74"/>
      <c r="AI6" s="76">
        <v>365</v>
      </c>
      <c r="AJ6" s="77"/>
      <c r="AK6" s="78">
        <v>0.01</v>
      </c>
      <c r="AL6" s="79">
        <v>1E-3</v>
      </c>
      <c r="AM6" s="80">
        <v>0.01</v>
      </c>
      <c r="AN6" s="1715" t="s">
        <v>3716</v>
      </c>
      <c r="AO6" s="52">
        <f ca="1">SUMIF(INDIRECT("'"&amp;AN6&amp;"'"&amp;"!A:A"),"总价",INDIRECT("'"&amp;AN6&amp;"'"&amp;"!B:B"))</f>
        <v>3403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0.93700000000000006</v>
      </c>
      <c r="H16" s="90">
        <f>ROUND(SUMPRODUCT(H6:H13,K6:K13)/SUMPRODUCT((H6:H13&gt;0)*(K6:K13)),3)</f>
        <v>0.05</v>
      </c>
      <c r="I16" s="91"/>
      <c r="J16" s="91"/>
      <c r="K16" s="92">
        <f>SUM(K6:K15)</f>
        <v>12794.5</v>
      </c>
      <c r="L16" s="93">
        <f>ROUND(M16*10000/SUM(K6:K14),0)</f>
        <v>2800</v>
      </c>
      <c r="M16" s="93">
        <f>SUM(M6:M14)</f>
        <v>3582</v>
      </c>
      <c r="N16" s="94">
        <f>ROUND(SUMPRODUCT(M6:M14,N6:N14)/M16,3)</f>
        <v>0.86599999999999999</v>
      </c>
      <c r="O16" s="93">
        <f>SUM(O6:O14)</f>
        <v>0</v>
      </c>
      <c r="P16" s="93">
        <f>SUM(P6:P14)</f>
        <v>0</v>
      </c>
      <c r="Q16" s="95">
        <f>ROUND(SUMPRODUCT(Q6:Q13,K6:K13)/SUMPRODUCT((Q6:Q13&gt;0)*(K6:K13)),2)</f>
        <v>0.05</v>
      </c>
      <c r="R16" s="1034">
        <f ca="1">SUM(R6:R13)</f>
        <v>26500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61" t="s">
        <v>3717</v>
      </c>
      <c r="V18" s="3462">
        <f>K16</f>
        <v>12794.5</v>
      </c>
      <c r="W18" s="2671">
        <v>0.5</v>
      </c>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3461" t="s">
        <v>3718</v>
      </c>
      <c r="V19" s="2671">
        <f>'数据-汇总表'!D3-'数据-汇总表'!E3</f>
        <v>13705.5</v>
      </c>
      <c r="W19" s="2671">
        <v>0.1</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f>ROUND((W18*V18+W19*V19)/V18,1)</f>
        <v>0.6</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25</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32</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3714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2</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0" t="s">
        <v>2285</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12794.5</v>
      </c>
      <c r="C1" s="2686"/>
      <c r="D1" s="2686"/>
      <c r="E1" s="2686"/>
      <c r="F1" s="2686"/>
      <c r="G1" s="2687"/>
      <c r="H1" s="2688"/>
      <c r="I1" s="2688"/>
      <c r="J1" s="2688"/>
      <c r="K1" s="2688"/>
    </row>
    <row r="2" spans="1:11" ht="16.5">
      <c r="A2" s="2512" t="s">
        <v>653</v>
      </c>
      <c r="B2" s="2512">
        <f>SUM(C14:C23)</f>
        <v>26500</v>
      </c>
      <c r="C2" s="2686"/>
      <c r="D2" s="2686"/>
      <c r="E2" s="2686"/>
      <c r="F2" s="2686"/>
      <c r="G2" s="2687"/>
      <c r="H2" s="2688"/>
      <c r="I2" s="2688"/>
      <c r="J2" s="2688"/>
      <c r="K2" s="2688"/>
    </row>
    <row r="3" spans="1:11" ht="16.5">
      <c r="A3" s="2512" t="s">
        <v>662</v>
      </c>
      <c r="B3" s="2514">
        <f>项目基本情况!D3</f>
        <v>44986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4533</v>
      </c>
      <c r="C5" s="2512">
        <f ca="1">IF(B5=D14,结果表!H102,ROUND(B5*10000/$B$1,0))</f>
        <v>3543</v>
      </c>
      <c r="D5" s="2512">
        <f ca="1">ROUND(B5*10000/$B$2,0)</f>
        <v>1711</v>
      </c>
      <c r="E5" s="2686"/>
      <c r="F5" s="2687"/>
      <c r="G5" s="2687"/>
      <c r="H5" s="2688"/>
      <c r="I5" s="2688"/>
      <c r="J5" s="2688"/>
      <c r="K5" s="2688"/>
    </row>
    <row r="6" spans="1:11" ht="16.5">
      <c r="A6" s="2512" t="s">
        <v>656</v>
      </c>
      <c r="B6" s="2512">
        <f ca="1">SUM(G14:G23)</f>
        <v>4533</v>
      </c>
      <c r="C6" s="2512">
        <f ca="1">IF(B6=G14,结果表!H108,ROUND(B6*10000/$B$1,0))</f>
        <v>3543</v>
      </c>
      <c r="D6" s="2512">
        <f ca="1">ROUND(B6*10000/$B$2,0)</f>
        <v>1711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12794.5</v>
      </c>
      <c r="C14" s="2518">
        <f>结果表!C118</f>
        <v>26500</v>
      </c>
      <c r="D14" s="2518">
        <f ca="1">结果表!H118</f>
        <v>4533</v>
      </c>
      <c r="E14" s="2518">
        <f ca="1">ROUND(D14*10000/B14,0)</f>
        <v>3543</v>
      </c>
      <c r="F14" s="2518">
        <f ca="1">ROUND(D14*10000/C14,0)</f>
        <v>1711</v>
      </c>
      <c r="G14" s="2518">
        <f ca="1">结果表!D122</f>
        <v>4533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I36" sqref="I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9" t="str">
        <f>项目基本情况!S2</f>
        <v>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3727</v>
      </c>
      <c r="D4" s="1756" t="s">
        <v>3716</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1" t="s">
        <v>1269</v>
      </c>
      <c r="F5" s="1757"/>
      <c r="G5" s="1757"/>
      <c r="H5" s="1757"/>
      <c r="I5" s="1373"/>
    </row>
    <row r="6" spans="1:12" ht="12.75">
      <c r="A6" s="3567"/>
      <c r="B6" s="3622"/>
      <c r="C6" s="3627"/>
      <c r="D6" s="3613"/>
      <c r="E6" s="131" t="s">
        <v>1270</v>
      </c>
      <c r="F6" s="1757"/>
      <c r="G6" s="1757"/>
      <c r="H6" s="1757"/>
      <c r="I6" s="1373"/>
    </row>
    <row r="7" spans="1:12" ht="12.75">
      <c r="A7" s="3567"/>
      <c r="B7" s="3622"/>
      <c r="C7" s="3626"/>
      <c r="D7" s="3613"/>
      <c r="E7" s="131" t="s">
        <v>1271</v>
      </c>
      <c r="F7" s="1757"/>
      <c r="G7" s="1757"/>
      <c r="H7" s="1757"/>
      <c r="I7" s="1373"/>
    </row>
    <row r="8" spans="1:12" ht="12.75">
      <c r="A8" s="3567" t="s">
        <v>1272</v>
      </c>
      <c r="B8" s="3622">
        <v>15</v>
      </c>
      <c r="C8" s="3625"/>
      <c r="D8" s="3613"/>
      <c r="E8" s="131" t="s">
        <v>1273</v>
      </c>
      <c r="F8" s="1757"/>
      <c r="G8" s="1757"/>
      <c r="H8" s="1757"/>
      <c r="I8" s="1373"/>
    </row>
    <row r="9" spans="1:12" ht="12.75">
      <c r="A9" s="3567"/>
      <c r="B9" s="3622"/>
      <c r="C9" s="3626"/>
      <c r="D9" s="3613"/>
      <c r="E9" s="131" t="s">
        <v>1274</v>
      </c>
      <c r="F9" s="1757"/>
      <c r="G9" s="1757"/>
      <c r="H9" s="1757"/>
      <c r="I9" s="1373"/>
    </row>
    <row r="10" spans="1:12" ht="12.75">
      <c r="A10" s="3567" t="s">
        <v>1275</v>
      </c>
      <c r="B10" s="3622">
        <v>15</v>
      </c>
      <c r="C10" s="3625"/>
      <c r="D10" s="3613"/>
      <c r="E10" s="131" t="s">
        <v>1276</v>
      </c>
      <c r="F10" s="1757"/>
      <c r="G10" s="1757"/>
      <c r="H10" s="1757"/>
      <c r="I10" s="1373"/>
    </row>
    <row r="11" spans="1:12" ht="12.75">
      <c r="A11" s="3567"/>
      <c r="B11" s="3622"/>
      <c r="C11" s="3626"/>
      <c r="D11" s="3613"/>
      <c r="E11" s="131" t="s">
        <v>1277</v>
      </c>
      <c r="F11" s="1757"/>
      <c r="G11" s="1757"/>
      <c r="H11" s="1757"/>
      <c r="I11" s="1373"/>
    </row>
    <row r="12" spans="1:12" ht="12.75">
      <c r="A12" s="3567" t="s">
        <v>1278</v>
      </c>
      <c r="B12" s="3622">
        <v>15</v>
      </c>
      <c r="C12" s="3625"/>
      <c r="D12" s="3613"/>
      <c r="E12" s="131" t="s">
        <v>1279</v>
      </c>
      <c r="F12" s="1757"/>
      <c r="G12" s="1757"/>
      <c r="H12" s="1757"/>
      <c r="I12" s="1373"/>
    </row>
    <row r="13" spans="1:12" ht="12.75">
      <c r="A13" s="3567"/>
      <c r="B13" s="3622"/>
      <c r="C13" s="3626"/>
      <c r="D13" s="3613"/>
      <c r="E13" s="131" t="s">
        <v>1280</v>
      </c>
      <c r="F13" s="1757"/>
      <c r="G13" s="1757"/>
      <c r="H13" s="1757"/>
      <c r="I13" s="1373"/>
    </row>
    <row r="14" spans="1:12" ht="12.75">
      <c r="A14" s="3567" t="s">
        <v>1281</v>
      </c>
      <c r="B14" s="3622">
        <v>30</v>
      </c>
      <c r="C14" s="3625">
        <v>6</v>
      </c>
      <c r="D14" s="3613">
        <v>4</v>
      </c>
      <c r="E14" s="131" t="s">
        <v>1282</v>
      </c>
      <c r="F14" s="1757"/>
      <c r="G14" s="1757"/>
      <c r="H14" s="1757"/>
      <c r="I14" s="1373"/>
    </row>
    <row r="15" spans="1:12" ht="12.75">
      <c r="A15" s="3567"/>
      <c r="B15" s="3622"/>
      <c r="C15" s="3627"/>
      <c r="D15" s="3613"/>
      <c r="E15" s="131" t="s">
        <v>1283</v>
      </c>
      <c r="F15" s="1757"/>
      <c r="G15" s="1757"/>
      <c r="H15" s="1757"/>
      <c r="I15" s="1373"/>
    </row>
    <row r="16" spans="1:12" ht="12.75">
      <c r="A16" s="3567"/>
      <c r="B16" s="3622"/>
      <c r="C16" s="3626"/>
      <c r="D16" s="361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4" t="s">
        <v>2130</v>
      </c>
      <c r="F18" s="3645"/>
      <c r="G18" s="3645"/>
      <c r="H18" s="3645"/>
      <c r="I18" s="3645"/>
      <c r="K18" s="302" t="s">
        <v>1289</v>
      </c>
      <c r="L18" s="302">
        <f>IF(C1="",'数据-汇总表'!E3,SUMIF(项目类型,C1,'数据-汇总表'!E17:E26)+SUMIF(项目类型,C1,'数据-汇总表'!I17:I26))</f>
        <v>12794.5</v>
      </c>
      <c r="M18" s="302">
        <f>IF(C1="",'数据-汇总表'!E3,SUMIF(项目类型,C1,'数据-汇总表'!E17:E26))</f>
        <v>12794.5</v>
      </c>
    </row>
    <row r="19" spans="1:36" ht="15">
      <c r="A19" s="1761" t="s">
        <v>1290</v>
      </c>
      <c r="B19" s="1762" t="s">
        <v>1291</v>
      </c>
      <c r="C19" s="134">
        <f ca="1">SUMIF(INDIRECT("'"&amp;C4&amp;"'"&amp;"!A:A"),结果表!B19,INDIRECT("'"&amp;C4&amp;"'"&amp;"!B:B"))</f>
        <v>5286</v>
      </c>
      <c r="D19" s="135">
        <f ca="1">SUMIF(INDIRECT("'"&amp;D4&amp;"'"&amp;"!A:A"),结果表!B19,INDIRECT("'"&amp;D4&amp;"'"&amp;"!B:B"))</f>
        <v>3403</v>
      </c>
      <c r="E19" s="1761" t="s">
        <v>1292</v>
      </c>
      <c r="F19" s="1762" t="s">
        <v>1291</v>
      </c>
      <c r="G19" s="136">
        <f ca="1">ROUND(C19*$C$18+D19*$D$18,0)</f>
        <v>4533</v>
      </c>
      <c r="H19" s="1763" t="s">
        <v>1293</v>
      </c>
      <c r="I19" s="129"/>
      <c r="K19" s="302" t="s">
        <v>1294</v>
      </c>
      <c r="L19" s="302">
        <f>IF(C1="",'数据-汇总表'!D3,SUMIF(项目类型,C1,'数据-汇总表'!D17:D26)+SUMIF(项目类型,C1,'数据-汇总表'!H17:H27))</f>
        <v>26500</v>
      </c>
      <c r="M19" s="302">
        <f>IF(C1="",'数据-汇总表'!D3,SUMIF(项目类型,C1,'数据-汇总表'!D17:D26))</f>
        <v>26500</v>
      </c>
    </row>
    <row r="20" spans="1:36" ht="15">
      <c r="A20" s="1764"/>
      <c r="B20" s="1026" t="s">
        <v>1295</v>
      </c>
      <c r="C20" s="137">
        <f ca="1">SUMIF(INDIRECT("'"&amp;C4&amp;"'"&amp;"!A:A"),结果表!B20,INDIRECT("'"&amp;C4&amp;"'"&amp;"!B:B"))</f>
        <v>4131</v>
      </c>
      <c r="D20" s="138">
        <f ca="1">SUMIF(INDIRECT("'"&amp;D4&amp;"'"&amp;"!A:A"),结果表!B20,INDIRECT("'"&amp;D4&amp;"'"&amp;"!B:B"))</f>
        <v>2660</v>
      </c>
      <c r="E20" s="1764"/>
      <c r="F20" s="1026" t="s">
        <v>1295</v>
      </c>
      <c r="G20" s="139">
        <f ca="1">ROUND(C20*$C$18+D20*$D$18,0)</f>
        <v>3543</v>
      </c>
      <c r="H20" s="808" t="s">
        <v>1296</v>
      </c>
      <c r="I20" s="129"/>
    </row>
    <row r="21" spans="1:36" ht="15" customHeight="1" thickBot="1">
      <c r="A21" s="828"/>
      <c r="B21" s="1765" t="s">
        <v>1297</v>
      </c>
      <c r="C21" s="719">
        <f ca="1">ROUND(C19*10000/L19,0)</f>
        <v>1995</v>
      </c>
      <c r="D21" s="720">
        <f ca="1">ROUND(D19*10000/L19,0)</f>
        <v>1284</v>
      </c>
      <c r="E21" s="828"/>
      <c r="F21" s="1765" t="s">
        <v>1297</v>
      </c>
      <c r="G21" s="140">
        <f ca="1">ROUND(G19*10000/L19,0)</f>
        <v>1711</v>
      </c>
      <c r="H21" s="1766" t="s">
        <v>1296</v>
      </c>
      <c r="I21" s="129"/>
    </row>
    <row r="22" spans="1:36" ht="15" thickBot="1">
      <c r="A22" s="1688" t="s">
        <v>1298</v>
      </c>
      <c r="B22" s="1767"/>
      <c r="C22" s="1768"/>
      <c r="D22" s="721">
        <f ca="1">IF(C19&lt;D19,D19/C19-1,C19/D19-1)</f>
        <v>0.55333529238906842</v>
      </c>
      <c r="E22" s="129"/>
      <c r="F22" s="129"/>
      <c r="G22" s="129"/>
      <c r="H22" s="129"/>
      <c r="I22" s="129"/>
    </row>
    <row r="23" spans="1:36" ht="13.5" thickBot="1">
      <c r="A23" s="1747"/>
      <c r="B23" s="1747"/>
      <c r="C23" s="1747"/>
      <c r="D23" s="1747"/>
      <c r="E23" s="129"/>
      <c r="F23" s="129"/>
      <c r="G23" s="129"/>
      <c r="H23" s="129"/>
      <c r="I23" s="129"/>
    </row>
    <row r="24" spans="1:36" ht="14.25">
      <c r="A24" s="3637" t="s">
        <v>1299</v>
      </c>
      <c r="B24" s="1762" t="s">
        <v>1291</v>
      </c>
      <c r="C24" s="136">
        <f>IF(B30=0,0,D30)</f>
        <v>0</v>
      </c>
      <c r="D24" s="1769"/>
      <c r="E24" s="129"/>
      <c r="F24" s="129"/>
      <c r="G24" s="129"/>
      <c r="H24" s="129"/>
      <c r="I24" s="129"/>
    </row>
    <row r="25" spans="1:36" ht="14.25">
      <c r="A25" s="363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4533</v>
      </c>
      <c r="D32" s="1775" t="s">
        <v>3728</v>
      </c>
      <c r="E32" s="129"/>
      <c r="F32" s="129"/>
      <c r="G32" s="129"/>
      <c r="H32" s="129"/>
      <c r="I32" s="129"/>
    </row>
    <row r="33" spans="1:15" ht="15">
      <c r="A33" s="786" t="s">
        <v>1306</v>
      </c>
      <c r="B33" s="1776"/>
      <c r="C33" s="1777" t="s">
        <v>3729</v>
      </c>
      <c r="D33" s="1778" t="s">
        <v>3727</v>
      </c>
      <c r="E33" s="1779" t="s">
        <v>1307</v>
      </c>
      <c r="F33" s="1780" t="str">
        <f>IF(D32="楼面单价","取值（单价）","取值（总价）")</f>
        <v>取值（总价）</v>
      </c>
      <c r="G33" s="129"/>
      <c r="H33" s="129"/>
      <c r="I33" s="129"/>
    </row>
    <row r="34" spans="1:15" ht="15">
      <c r="A34" s="1781"/>
      <c r="B34" s="1782" t="s">
        <v>1308</v>
      </c>
      <c r="C34" s="148">
        <f ca="1">IF(C33="自定义",F34,C32-C35)</f>
        <v>997</v>
      </c>
      <c r="D34" s="861">
        <f ca="1">IF(C33="自定义",ROUND(C34/C32,3),IF(C33="收益比率",SUMIF(INDIRECT("'"&amp;D33&amp;"'"&amp;"!b:b"),"土地收益比率",INDIRECT("'"&amp;D33&amp;"'"&amp;"!c:c")),SUMIF(INDIRECT("'"&amp;D33&amp;"'"&amp;"!b:b"),"土地成本比率",INDIRECT("'"&amp;D33&amp;"'"&amp;"!c:c"))))</f>
        <v>0.21999999999999997</v>
      </c>
      <c r="E34" s="1783" t="s">
        <v>1309</v>
      </c>
      <c r="F34" s="1330"/>
      <c r="G34" s="129"/>
      <c r="H34" s="129"/>
      <c r="I34" s="129"/>
    </row>
    <row r="35" spans="1:15" ht="15.75" thickBot="1">
      <c r="A35" s="1784"/>
      <c r="B35" s="1785" t="s">
        <v>1310</v>
      </c>
      <c r="C35" s="1170">
        <f ca="1">IF(C33="自定义",F35,ROUND(C32*D35,0))</f>
        <v>3536</v>
      </c>
      <c r="D35" s="1171">
        <f ca="1">IF(C33="自定义",ROUND(C35/C32,3),IF(C33="收益比率",SUMIF(INDIRECT("'"&amp;D33&amp;"'"&amp;"!b:b"),"建筑物收益比率",INDIRECT("'"&amp;D33&amp;"'"&amp;"!c:c")),SUMIF(INDIRECT("'"&amp;D33&amp;"'"&amp;"!b:b"),"建筑物成本比率",INDIRECT("'"&amp;D33&amp;"'"&amp;"!c:c"))))</f>
        <v>0.78</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f ca="1">ROUND(H101*F45,0)</f>
        <v>4533</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6"/>
      <c r="I46" s="159"/>
      <c r="J46" s="2523">
        <v>1</v>
      </c>
      <c r="K46" s="3555" t="s">
        <v>1331</v>
      </c>
      <c r="L46" s="3555"/>
      <c r="M46" s="3556"/>
      <c r="N46" s="3556"/>
      <c r="O46" s="3556"/>
    </row>
    <row r="47" spans="1:15" ht="12" customHeight="1">
      <c r="A47" s="160" t="s">
        <v>1332</v>
      </c>
      <c r="B47" s="161"/>
      <c r="C47" s="162"/>
      <c r="D47" s="1087" t="s">
        <v>1333</v>
      </c>
      <c r="E47" s="302" t="s">
        <v>1334</v>
      </c>
      <c r="F47" s="163" t="s">
        <v>1335</v>
      </c>
      <c r="G47" s="2546" t="s">
        <v>1336</v>
      </c>
      <c r="H47" s="2547"/>
      <c r="I47" s="159"/>
      <c r="J47" s="2523">
        <v>2</v>
      </c>
      <c r="K47" s="3555" t="s">
        <v>1337</v>
      </c>
      <c r="L47" s="3555"/>
      <c r="M47" s="3557">
        <f>'数据-取费表'!B2</f>
        <v>44986</v>
      </c>
      <c r="N47" s="3557"/>
      <c r="O47" s="3557"/>
    </row>
    <row r="48" spans="1:15" ht="25.5">
      <c r="A48" s="3617" t="s">
        <v>1338</v>
      </c>
      <c r="B48" s="3618"/>
      <c r="C48" s="361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5" t="s">
        <v>1340</v>
      </c>
      <c r="L48" s="3555"/>
      <c r="M48" s="3558">
        <f ca="1">H101</f>
        <v>4533</v>
      </c>
      <c r="N48" s="3558"/>
      <c r="O48" s="3558"/>
    </row>
    <row r="49" spans="1:35" ht="25.5" customHeight="1">
      <c r="A49" s="2333" t="s">
        <v>1341</v>
      </c>
      <c r="B49" s="3603" t="s">
        <v>1342</v>
      </c>
      <c r="C49" s="3603"/>
      <c r="D49" s="1590">
        <v>0</v>
      </c>
      <c r="E49" s="324" t="s">
        <v>1343</v>
      </c>
      <c r="F49" s="2424" t="s">
        <v>28</v>
      </c>
      <c r="G49" s="3586"/>
      <c r="H49" s="2310" t="s">
        <v>2133</v>
      </c>
      <c r="I49" s="2311"/>
      <c r="J49" s="2523">
        <v>4</v>
      </c>
      <c r="K49" s="3555" t="str">
        <f>IF(项目基本情况!E8="房地产抵押价值","房地产抵押价值","抵押担保权已注销时的房地产抵押价值")</f>
        <v>房地产抵押价值</v>
      </c>
      <c r="L49" s="3555"/>
      <c r="M49" s="3558">
        <f ca="1">IF(项目基本情况!E8="房地产抵押价值",H107,H109)</f>
        <v>4533</v>
      </c>
      <c r="N49" s="3558"/>
      <c r="O49" s="3558"/>
    </row>
    <row r="50" spans="1:35" ht="25.5" customHeight="1">
      <c r="A50" s="2551"/>
      <c r="B50" s="3603" t="s">
        <v>1344</v>
      </c>
      <c r="C50" s="3603"/>
      <c r="D50" s="2552"/>
      <c r="E50" s="332"/>
      <c r="F50" s="2424"/>
      <c r="G50" s="3587"/>
      <c r="H50" s="2312" t="s">
        <v>2134</v>
      </c>
      <c r="I50" s="2311"/>
      <c r="J50" s="3554" t="s">
        <v>1345</v>
      </c>
      <c r="K50" s="3554"/>
      <c r="L50" s="3554"/>
      <c r="M50" s="3554"/>
      <c r="N50" s="3554"/>
      <c r="O50" s="3554"/>
    </row>
    <row r="51" spans="1:35" ht="20.45" customHeight="1">
      <c r="A51" s="2553"/>
      <c r="B51" s="3603" t="s">
        <v>1346</v>
      </c>
      <c r="C51" s="3603"/>
      <c r="D51" s="1087"/>
      <c r="E51" s="327"/>
      <c r="F51" s="2424"/>
      <c r="G51" s="3588"/>
      <c r="H51" s="2312" t="s">
        <v>2135</v>
      </c>
      <c r="I51" s="2311"/>
      <c r="J51" s="2524" t="s">
        <v>1347</v>
      </c>
      <c r="K51" s="3555" t="s">
        <v>1348</v>
      </c>
      <c r="L51" s="3555"/>
      <c r="M51" s="2524" t="s">
        <v>1349</v>
      </c>
      <c r="N51" s="2524" t="s">
        <v>1350</v>
      </c>
      <c r="O51" s="2524" t="s">
        <v>1351</v>
      </c>
    </row>
    <row r="52" spans="1:35" ht="24" customHeight="1">
      <c r="A52" s="2335" t="s">
        <v>1352</v>
      </c>
      <c r="B52" s="3603" t="s">
        <v>1353</v>
      </c>
      <c r="C52" s="3603"/>
      <c r="D52" s="1087">
        <f ca="1">ROUND(D45*'数据-取费表'!B41/(1+'数据-取费表'!C42),0)</f>
        <v>237</v>
      </c>
      <c r="E52" s="2334" t="s">
        <v>1354</v>
      </c>
      <c r="F52" s="2554">
        <f>'数据-取费表'!B41</f>
        <v>5.5000000000000007E-2</v>
      </c>
      <c r="G52" s="2555"/>
      <c r="H52" s="2544"/>
      <c r="I52" s="1807"/>
      <c r="J52" s="2523">
        <v>1</v>
      </c>
      <c r="K52" s="3580" t="s">
        <v>1355</v>
      </c>
      <c r="L52" s="3580"/>
      <c r="M52" s="2525" t="b">
        <f>D48</f>
        <v>0</v>
      </c>
      <c r="N52" s="2523" t="str">
        <f>E48</f>
        <v>销售额×税（费）率</v>
      </c>
      <c r="O52" s="2526">
        <f>F48</f>
        <v>5.5000000000000007E-2</v>
      </c>
    </row>
    <row r="53" spans="1:35" ht="12" customHeight="1">
      <c r="A53" s="2335" t="s">
        <v>1356</v>
      </c>
      <c r="B53" s="3604" t="s">
        <v>2290</v>
      </c>
      <c r="C53" s="3605"/>
      <c r="D53" s="1087">
        <f ca="1">ROUND(D45*'数据-取费表'!B41/(1+'数据-取费表'!C42),0)</f>
        <v>237</v>
      </c>
      <c r="E53" s="2334" t="s">
        <v>1354</v>
      </c>
      <c r="F53" s="2554">
        <f>'数据-取费表'!B41</f>
        <v>5.5000000000000007E-2</v>
      </c>
      <c r="G53" s="2555"/>
      <c r="H53" s="2544"/>
      <c r="I53" s="1807"/>
      <c r="J53" s="2523">
        <v>2</v>
      </c>
      <c r="K53" s="3580" t="s">
        <v>1357</v>
      </c>
      <c r="L53" s="3580"/>
      <c r="M53" s="2525">
        <f t="shared" ref="M53:O54" ca="1" si="0">D55</f>
        <v>2</v>
      </c>
      <c r="N53" s="2523" t="str">
        <f t="shared" si="0"/>
        <v>销售额×税（费）率</v>
      </c>
      <c r="O53" s="2526" t="str">
        <f t="shared" si="0"/>
        <v>免征</v>
      </c>
    </row>
    <row r="54" spans="1:35" ht="12" customHeight="1">
      <c r="A54" s="2335" t="s">
        <v>1358</v>
      </c>
      <c r="B54" s="3604" t="s">
        <v>2291</v>
      </c>
      <c r="C54" s="3605"/>
      <c r="D54" s="1087">
        <f ca="1">C68</f>
        <v>237</v>
      </c>
      <c r="E54" s="327" t="s">
        <v>1359</v>
      </c>
      <c r="F54" s="2554">
        <f>'数据-取费表'!B41</f>
        <v>5.5000000000000007E-2</v>
      </c>
      <c r="G54" s="2555"/>
      <c r="H54" s="2556"/>
      <c r="I54" s="1807"/>
      <c r="J54" s="2523">
        <v>3</v>
      </c>
      <c r="K54" s="3580" t="s">
        <v>1360</v>
      </c>
      <c r="L54" s="3580"/>
      <c r="M54" s="2525">
        <f t="shared" ca="1" si="0"/>
        <v>2569</v>
      </c>
      <c r="N54" s="2523" t="str">
        <f t="shared" si="0"/>
        <v>增值额×税（费）率</v>
      </c>
      <c r="O54" s="2527" t="str">
        <f t="shared" si="0"/>
        <v>免征</v>
      </c>
    </row>
    <row r="55" spans="1:35" ht="24" customHeight="1">
      <c r="A55" s="3640" t="s">
        <v>1361</v>
      </c>
      <c r="B55" s="3618"/>
      <c r="C55" s="3618"/>
      <c r="D55" s="2324">
        <f ca="1">IF(H55="个人住宅",0,ROUND(D45*I55,0))</f>
        <v>2</v>
      </c>
      <c r="E55" s="2334" t="s">
        <v>1362</v>
      </c>
      <c r="F55" s="2554" t="str">
        <f>IF(H55="正常",I55,"免征")</f>
        <v>免征</v>
      </c>
      <c r="G55" s="2555"/>
      <c r="H55" s="2550"/>
      <c r="I55" s="165">
        <f>'数据-取费表'!B49</f>
        <v>5.0000000000000001E-4</v>
      </c>
      <c r="J55" s="2523">
        <f>IF(H59="非个人房产","",4)</f>
        <v>4</v>
      </c>
      <c r="K55" s="3580" t="str">
        <f>IF(H59="非个人房产","——","个人所得税")</f>
        <v>个人所得税</v>
      </c>
      <c r="L55" s="3580"/>
      <c r="M55" s="2528">
        <f ca="1">D59</f>
        <v>43</v>
      </c>
      <c r="N55" s="2040" t="str">
        <f>E59</f>
        <v>差额计税</v>
      </c>
      <c r="O55" s="2529">
        <f>F59</f>
        <v>0.01</v>
      </c>
    </row>
    <row r="56" spans="1:35" ht="24.75">
      <c r="A56" s="3640" t="s">
        <v>1363</v>
      </c>
      <c r="B56" s="3618"/>
      <c r="C56" s="3618"/>
      <c r="D56" s="2324">
        <f ca="1">IF(H56="个人住宅",D57,D58)</f>
        <v>2569</v>
      </c>
      <c r="E56" s="2334" t="s">
        <v>1364</v>
      </c>
      <c r="F56" s="2554" t="str">
        <f>IF(H56="正常",F58,"免征")</f>
        <v>免征</v>
      </c>
      <c r="G56" s="2557" t="s">
        <v>1365</v>
      </c>
      <c r="H56" s="2558"/>
      <c r="I56" s="1808"/>
      <c r="J56" s="2523" t="str">
        <f>IF(项目基本情况!K6="上海银行",IF(J55="",4,J55+1),"")</f>
        <v/>
      </c>
      <c r="K56" s="3561" t="str">
        <f>IF(项目基本情况!K6="上海银行","其他处置费用","")</f>
        <v/>
      </c>
      <c r="L56" s="3562"/>
      <c r="M56" s="2525" t="str">
        <f>IF(项目基本情况!K6="上海银行",M69,"")</f>
        <v/>
      </c>
      <c r="N56" s="3561" t="str">
        <f>IF(项目基本情况!K6="上海银行","包含处置中涉及的律师、诉讼、拍卖、评估等费用","")</f>
        <v/>
      </c>
      <c r="O56" s="3564"/>
    </row>
    <row r="57" spans="1:35" ht="12.75">
      <c r="A57" s="2335" t="s">
        <v>1341</v>
      </c>
      <c r="B57" s="3604" t="s">
        <v>1366</v>
      </c>
      <c r="C57" s="3605"/>
      <c r="D57" s="1590">
        <v>0</v>
      </c>
      <c r="E57" s="324" t="s">
        <v>1343</v>
      </c>
      <c r="F57" s="302"/>
      <c r="G57" s="2555"/>
      <c r="H57" s="2559"/>
      <c r="I57" s="1808"/>
      <c r="J57" s="3580">
        <f>IF(AND(J55="",J56=""),4,IF(项目基本情况!K6="上海银行",结果表!J56+1,结果表!J55+1))</f>
        <v>5</v>
      </c>
      <c r="K57" s="3580" t="s">
        <v>1367</v>
      </c>
      <c r="L57" s="2530" t="s">
        <v>1368</v>
      </c>
      <c r="M57" s="2531"/>
      <c r="N57" s="2532">
        <f ca="1">SUMIF(M52:M56,"&lt;9e307")</f>
        <v>2614</v>
      </c>
      <c r="O57" s="2533"/>
      <c r="P57" s="2690">
        <f ca="1">N57/M49</f>
        <v>0.57666004853298036</v>
      </c>
    </row>
    <row r="58" spans="1:35" ht="24.75">
      <c r="A58" s="2335" t="s">
        <v>1352</v>
      </c>
      <c r="B58" s="3604" t="s">
        <v>1369</v>
      </c>
      <c r="C58" s="3603"/>
      <c r="D58" s="2324">
        <f ca="1">IF(H58="转让取得",C81,C97)</f>
        <v>2569</v>
      </c>
      <c r="E58" s="2334" t="s">
        <v>1364</v>
      </c>
      <c r="F58" s="302" t="s">
        <v>28</v>
      </c>
      <c r="G58" s="2555"/>
      <c r="H58" s="2558"/>
      <c r="I58" s="1808"/>
      <c r="J58" s="3580"/>
      <c r="K58" s="3580"/>
      <c r="L58" s="2530" t="s">
        <v>1370</v>
      </c>
      <c r="M58" s="2534"/>
      <c r="N58" s="2535" t="str">
        <f ca="1">NUMBERSTRING(INT(N57*10000),2)&amp;"元整"</f>
        <v>贰仟陆佰壹拾肆万元整</v>
      </c>
      <c r="O58" s="2536"/>
    </row>
    <row r="59" spans="1:35" ht="24.75" thickBot="1">
      <c r="A59" s="3584" t="s">
        <v>1371</v>
      </c>
      <c r="B59" s="3585"/>
      <c r="C59" s="3585"/>
      <c r="D59" s="2560">
        <f ca="1">IF(H59="非个人房产","——",IF(H59="个人住宅（满五唯一有凭证）",0,IF(H59="个人其他（无凭证）",ROUND(D45*F59,0),ROUND(C67*F59,0))))</f>
        <v>43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82">
        <f>J57+1</f>
        <v>6</v>
      </c>
      <c r="K59" s="3580" t="s">
        <v>1372</v>
      </c>
      <c r="L59" s="2523" t="s">
        <v>1368</v>
      </c>
      <c r="M59" s="2537"/>
      <c r="N59" s="2538">
        <f ca="1">M49-N57</f>
        <v>1919</v>
      </c>
      <c r="O59" s="2539"/>
    </row>
    <row r="60" spans="1:35" ht="12" customHeight="1">
      <c r="A60" s="1809"/>
      <c r="B60" s="1747"/>
      <c r="C60" s="1747"/>
      <c r="D60" s="1747"/>
      <c r="E60" s="1578"/>
      <c r="F60" s="1808"/>
      <c r="G60" s="1808"/>
      <c r="H60" s="1810"/>
      <c r="I60" s="129"/>
      <c r="J60" s="3583"/>
      <c r="K60" s="3580"/>
      <c r="L60" s="2530" t="s">
        <v>1370</v>
      </c>
      <c r="M60" s="2534"/>
      <c r="N60" s="2535" t="str">
        <f ca="1">NUMBERSTRING(INT(N59*10000),2)&amp;"元整"</f>
        <v>壹仟玖佰壹拾玖万元整</v>
      </c>
      <c r="O60" s="2536"/>
    </row>
    <row r="61" spans="1:35" ht="13.5" thickBot="1">
      <c r="A61" s="3639" t="s">
        <v>1373</v>
      </c>
      <c r="B61" s="3639"/>
      <c r="C61" s="3639"/>
      <c r="D61" s="3639"/>
      <c r="E61" s="3639"/>
      <c r="F61" s="1808"/>
      <c r="G61" s="1808"/>
      <c r="H61" s="1810"/>
      <c r="I61" s="129"/>
      <c r="J61" s="2523">
        <f>J59+1</f>
        <v>7</v>
      </c>
      <c r="K61" s="3580" t="s">
        <v>1374</v>
      </c>
      <c r="L61" s="3580"/>
      <c r="M61" s="2540"/>
      <c r="N61" s="2541">
        <f ca="1">ROUND(N59*10000/'数据-汇总表'!E3,0)</f>
        <v>1500</v>
      </c>
      <c r="O61" s="2542"/>
    </row>
    <row r="62" spans="1:35" ht="12.75">
      <c r="A62" s="3599" t="s">
        <v>1375</v>
      </c>
      <c r="B62" s="3600"/>
      <c r="C62" s="2021"/>
      <c r="D62" s="2021" t="s">
        <v>1376</v>
      </c>
      <c r="E62" s="166" t="s">
        <v>1377</v>
      </c>
      <c r="F62" s="1808"/>
      <c r="G62" s="1808"/>
      <c r="H62" s="1810"/>
      <c r="I62" s="129"/>
    </row>
    <row r="63" spans="1:35" ht="12.75">
      <c r="A63" s="173" t="s">
        <v>330</v>
      </c>
      <c r="B63" s="167" t="s">
        <v>1378</v>
      </c>
      <c r="C63" s="2564">
        <f ca="1">ROUND((C64+C65)/(1+'数据-取费表'!C42),0)</f>
        <v>4317</v>
      </c>
      <c r="D63" s="167"/>
      <c r="E63" s="168"/>
      <c r="F63" s="1808"/>
      <c r="G63" s="1808"/>
      <c r="H63" s="1810"/>
      <c r="I63" s="129"/>
      <c r="J63" s="3563" t="s">
        <v>1379</v>
      </c>
      <c r="K63" s="1332" t="s">
        <v>1380</v>
      </c>
      <c r="L63" s="1332">
        <f ca="1">IF(M49&gt;10000,M49*0.5%,IF(AND(M49&gt;1000,M49&lt;=10000),M49*1%,IF(AND(M49&gt;100,M49&lt;=1000),M49*3%,IF(AND(M49&gt;10,M49&lt;=100),M49*5%,M49*8%))))</f>
        <v>45.33</v>
      </c>
      <c r="M63" s="302">
        <f ca="1">ROUND(L63,1)</f>
        <v>45.3</v>
      </c>
      <c r="N63" s="2543"/>
      <c r="Z63" s="1752"/>
      <c r="AI63" s="1753"/>
    </row>
    <row r="64" spans="1:35" ht="14.25" customHeight="1">
      <c r="A64" s="169" t="s">
        <v>325</v>
      </c>
      <c r="B64" s="170" t="s">
        <v>1381</v>
      </c>
      <c r="C64" s="2565">
        <f ca="1">D45</f>
        <v>4533</v>
      </c>
      <c r="D64" s="170" t="s">
        <v>26</v>
      </c>
      <c r="E64" s="172"/>
      <c r="F64" s="1808"/>
      <c r="G64" s="1808"/>
      <c r="H64" s="1810"/>
      <c r="I64" s="129"/>
      <c r="J64" s="3563"/>
      <c r="K64" s="1332" t="s">
        <v>1382</v>
      </c>
      <c r="L64" s="1332">
        <f ca="1">IF(M49&gt;2000,M49*0.5%,IF(AND(M49&gt;1000,M49&lt;=2000),M49*0.6%,IF(AND(M49&gt;500,M49&lt;=1000),M49*0.7%,IF(AND(M49&gt;200,M49&lt;=500),M49*0.8%,IF(AND(M49&gt;100,M49&lt;=200),M49*0.9%,IF(AND(M49&gt;50,M49&lt;=100),M49*1%,IF(AND(M49&gt;20,M49&lt;=50),M49*1.5%,IF(AND(M49&gt;10,M49&lt;=20),M49*2%,IF(AND(M49&gt;1,M49&lt;=10),M49*2.5%)))))))))</f>
        <v>22.664999999999999</v>
      </c>
      <c r="M64" s="302">
        <f t="shared" ref="M64:M65" ca="1" si="1">ROUND(L64,1)</f>
        <v>22.7</v>
      </c>
      <c r="N64" s="2544" t="s">
        <v>1383</v>
      </c>
      <c r="Z64" s="1752"/>
      <c r="AI64" s="1753"/>
    </row>
    <row r="65" spans="1:35" ht="14.25" customHeight="1">
      <c r="A65" s="169" t="s">
        <v>326</v>
      </c>
      <c r="B65" s="170" t="s">
        <v>1384</v>
      </c>
      <c r="C65" s="2566"/>
      <c r="D65" s="170"/>
      <c r="E65" s="172"/>
      <c r="F65" s="1808"/>
      <c r="G65" s="1808"/>
      <c r="H65" s="1810"/>
      <c r="I65" s="129"/>
      <c r="J65" s="3563"/>
      <c r="K65" s="1332" t="s">
        <v>1385</v>
      </c>
      <c r="L65" s="1332">
        <f ca="1">IF(M49&gt;1000,M49*0.1%,IF(AND(M49&gt;500,M49&lt;=1000),M49*0.5%,IF(AND(M49&gt;50,M49&lt;=500),M49*1%,IF(AND(M49&gt;1,M49&lt;=50),M49*1.5%))))</f>
        <v>4.5330000000000004</v>
      </c>
      <c r="M65" s="302">
        <f t="shared" ca="1" si="1"/>
        <v>4.5</v>
      </c>
      <c r="N65" s="2544" t="s">
        <v>1383</v>
      </c>
      <c r="Z65" s="1752"/>
      <c r="AI65" s="1753"/>
    </row>
    <row r="66" spans="1:35" ht="14.25" customHeight="1">
      <c r="A66" s="173" t="s">
        <v>327</v>
      </c>
      <c r="B66" s="174" t="s">
        <v>1386</v>
      </c>
      <c r="C66" s="2567"/>
      <c r="D66" s="174" t="s">
        <v>26</v>
      </c>
      <c r="E66" s="1338" t="s">
        <v>671</v>
      </c>
      <c r="F66" s="1808"/>
      <c r="G66" s="1808"/>
      <c r="H66" s="1810"/>
      <c r="I66" s="129"/>
      <c r="J66" s="3563"/>
      <c r="K66" s="1332" t="s">
        <v>1387</v>
      </c>
      <c r="L66" s="1332">
        <f ca="1">M49*0.5%</f>
        <v>22.664999999999999</v>
      </c>
      <c r="M66" s="302">
        <f ca="1">IF(L66&gt;0.5,0.5,ROUND(L66,0))</f>
        <v>0.5</v>
      </c>
      <c r="N66" s="2544" t="s">
        <v>1388</v>
      </c>
      <c r="Z66" s="1752"/>
      <c r="AI66" s="1753"/>
    </row>
    <row r="67" spans="1:35" ht="14.25" customHeight="1">
      <c r="A67" s="173" t="s">
        <v>328</v>
      </c>
      <c r="B67" s="174" t="s">
        <v>1389</v>
      </c>
      <c r="C67" s="2568">
        <f ca="1">C63-C66</f>
        <v>4317</v>
      </c>
      <c r="D67" s="170" t="s">
        <v>26</v>
      </c>
      <c r="E67" s="172"/>
      <c r="F67" s="1808"/>
      <c r="G67" s="1808"/>
      <c r="H67" s="1810"/>
      <c r="I67" s="129"/>
      <c r="J67" s="3563"/>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237</v>
      </c>
      <c r="D68" s="2570">
        <f>'数据-取费表'!B41</f>
        <v>5.5000000000000007E-2</v>
      </c>
      <c r="E68" s="178"/>
      <c r="F68" s="1808"/>
      <c r="G68" s="1808"/>
      <c r="H68" s="1810"/>
      <c r="I68" s="129"/>
      <c r="J68" s="3563"/>
      <c r="K68" s="1332" t="s">
        <v>1392</v>
      </c>
      <c r="L68" s="1332">
        <f ca="1">IF(M49&gt;10000,M49*0.5%,IF(AND(M49&gt;5000,M49&lt;=10000),M49*1%,IF(AND(M49&gt;1000,M49&lt;=5000),M49*2%,IF(AND(M49&gt;200,M49&lt;=1000),M49*3%,M49*5%))))</f>
        <v>90.66</v>
      </c>
      <c r="M68" s="302">
        <f ca="1">ROUND(L68,1)</f>
        <v>90.7</v>
      </c>
      <c r="N68" s="2543"/>
      <c r="Z68" s="1752"/>
      <c r="AI68" s="1753"/>
    </row>
    <row r="69" spans="1:35" s="1772" customFormat="1" ht="16.5" customHeight="1">
      <c r="A69" s="1811"/>
      <c r="B69" s="1812"/>
      <c r="C69" s="1813"/>
      <c r="D69" s="1814"/>
      <c r="E69" s="1815"/>
      <c r="F69" s="1578"/>
      <c r="G69" s="1578"/>
      <c r="H69" s="1577"/>
      <c r="I69" s="1747"/>
      <c r="J69" s="3563"/>
      <c r="K69" s="1332" t="s">
        <v>1393</v>
      </c>
      <c r="L69" s="1332"/>
      <c r="M69" s="302">
        <f ca="1">ROUND(SUM(M63:M68),0)</f>
        <v>166</v>
      </c>
      <c r="N69" s="2545">
        <f ca="1">M69/M49</f>
        <v>3.6620339730862567E-2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9" t="s">
        <v>1375</v>
      </c>
      <c r="B71" s="360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4317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4" t="s">
        <v>1402</v>
      </c>
      <c r="F76" s="3603"/>
      <c r="G76" s="3603"/>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22</v>
      </c>
      <c r="D78" s="2577">
        <f>'数据-取费表'!B43</f>
        <v>5.000000000000001E-3</v>
      </c>
      <c r="E78" s="3596" t="s">
        <v>1406</v>
      </c>
      <c r="F78" s="3597"/>
      <c r="G78" s="3597"/>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4295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195.22727272727272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2569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4317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5" t="s">
        <v>2128</v>
      </c>
      <c r="H90" s="356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6" t="s">
        <v>1422</v>
      </c>
      <c r="F92" s="3597"/>
      <c r="G92" s="3597"/>
      <c r="H92" s="359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22</v>
      </c>
      <c r="D93" s="2577">
        <f>'数据-取费表'!B43</f>
        <v>5.000000000000001E-3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4295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195.22727272727272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2569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5" t="str">
        <f>C4</f>
        <v>成本法</v>
      </c>
      <c r="D101" s="2586" t="str">
        <f>D4</f>
        <v>收益法</v>
      </c>
      <c r="E101" s="3559" t="s">
        <v>1431</v>
      </c>
      <c r="F101" s="3560"/>
      <c r="G101" s="1827" t="s">
        <v>1432</v>
      </c>
      <c r="H101" s="2595">
        <f ca="1">H118</f>
        <v>4533</v>
      </c>
      <c r="I101" s="129"/>
    </row>
    <row r="102" spans="1:35" ht="18.75" customHeight="1">
      <c r="A102" s="3591" t="s">
        <v>1433</v>
      </c>
      <c r="B102" s="2584" t="s">
        <v>1432</v>
      </c>
      <c r="C102" s="2585">
        <f ca="1">IF(D32="楼面单价",ROUND(C19,0),C19)</f>
        <v>5286</v>
      </c>
      <c r="D102" s="2586">
        <f ca="1">IF(D32="楼面单价",ROUND(D19,0),D19)</f>
        <v>3403</v>
      </c>
      <c r="E102" s="3559"/>
      <c r="F102" s="3560"/>
      <c r="G102" s="1827" t="s">
        <v>1434</v>
      </c>
      <c r="H102" s="2555">
        <f ca="1">I118</f>
        <v>3543</v>
      </c>
      <c r="I102" s="129"/>
    </row>
    <row r="103" spans="1:35" ht="42.75" customHeight="1">
      <c r="A103" s="3591"/>
      <c r="B103" s="2584" t="s">
        <v>1434</v>
      </c>
      <c r="C103" s="2587">
        <f ca="1">C20</f>
        <v>4131</v>
      </c>
      <c r="D103" s="2588">
        <f ca="1">D20</f>
        <v>2660</v>
      </c>
      <c r="E103" s="3552" t="s">
        <v>1435</v>
      </c>
      <c r="F103" s="3553"/>
      <c r="G103" s="1828" t="s">
        <v>1436</v>
      </c>
      <c r="H103" s="2595">
        <f>IF(D36="正常操作",H104+H105+H106,H105+H106)</f>
        <v>0</v>
      </c>
      <c r="I103" s="129"/>
    </row>
    <row r="104" spans="1:35" ht="18.75" customHeight="1">
      <c r="A104" s="3591" t="s">
        <v>1437</v>
      </c>
      <c r="B104" s="2589" t="s">
        <v>1432</v>
      </c>
      <c r="C104" s="2590">
        <f ca="1">H118</f>
        <v>4533</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f ca="1">I118</f>
        <v>3543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2" t="str">
        <f>IF(项目基本情况!E8="已注销","——","3.房地产抵押价值")</f>
        <v>3.房地产抵押价值</v>
      </c>
      <c r="F107" s="3560"/>
      <c r="G107" s="1827" t="s">
        <v>1432</v>
      </c>
      <c r="H107" s="2595">
        <f ca="1">IF(E107="——","——",H101-H103)</f>
        <v>4533</v>
      </c>
      <c r="I107" s="129"/>
    </row>
    <row r="108" spans="1:35" ht="18.75" customHeight="1">
      <c r="A108" s="129"/>
      <c r="B108" s="129"/>
      <c r="C108" s="129"/>
      <c r="D108" s="129"/>
      <c r="E108" s="3592"/>
      <c r="F108" s="3560"/>
      <c r="G108" s="1827" t="s">
        <v>1434</v>
      </c>
      <c r="H108" s="2555">
        <f ca="1">IF(H107=H101,H102,ROUND(H107*10000/'数据-汇总表'!E3,0))</f>
        <v>3543</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7" t="s">
        <v>1432</v>
      </c>
      <c r="H109" s="2598" t="str">
        <f>IF(E109="——","——",H101-H105-H106)</f>
        <v>——</v>
      </c>
      <c r="I109" s="129"/>
    </row>
    <row r="110" spans="1:35" ht="18.75" customHeight="1">
      <c r="A110" s="129"/>
      <c r="B110" s="129"/>
      <c r="C110" s="129"/>
      <c r="D110" s="129"/>
      <c r="E110" s="3592"/>
      <c r="F110" s="3560"/>
      <c r="G110" s="1827" t="s">
        <v>1434</v>
      </c>
      <c r="H110" s="2555"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7" t="s">
        <v>1432</v>
      </c>
      <c r="H111" s="2595" t="str">
        <f>IF(E111="——","——",N59)</f>
        <v>——</v>
      </c>
      <c r="I111" s="129"/>
    </row>
    <row r="112" spans="1:35" ht="18.75" customHeight="1" thickBot="1">
      <c r="A112" s="129"/>
      <c r="B112" s="129"/>
      <c r="C112" s="129"/>
      <c r="D112" s="129"/>
      <c r="E112" s="3594"/>
      <c r="F112" s="3595"/>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9" t="s">
        <v>1449</v>
      </c>
      <c r="E117" s="2329" t="s">
        <v>1450</v>
      </c>
      <c r="F117" s="2329" t="s">
        <v>1449</v>
      </c>
      <c r="G117" s="2329" t="s">
        <v>1451</v>
      </c>
      <c r="H117" s="2329" t="s">
        <v>1449</v>
      </c>
      <c r="I117" s="2329" t="s">
        <v>1451</v>
      </c>
    </row>
    <row r="118" spans="1:27" ht="24.75" customHeight="1">
      <c r="A118" s="2600" t="str">
        <f>项目基本情况!S2</f>
        <v>房地产</v>
      </c>
      <c r="B118" s="2329">
        <f>M18</f>
        <v>12794.5</v>
      </c>
      <c r="C118" s="2329">
        <f>M19</f>
        <v>26500</v>
      </c>
      <c r="D118" s="2329">
        <f ca="1">ROUND(IF(D32="总价",C34,E118*B118/10000),0)</f>
        <v>997</v>
      </c>
      <c r="E118" s="2329">
        <f ca="1">ROUND(IF(C33="自定义",IF(D32="楼面单价",C34,D118*10000/B118),I118-G118),0)</f>
        <v>779</v>
      </c>
      <c r="F118" s="2329">
        <f ca="1">ROUND(IF(D32="总价",C35,G118*B118/10000),0)</f>
        <v>3536</v>
      </c>
      <c r="G118" s="2329">
        <f ca="1">ROUND(IF(D32="楼面单价",C35,F118*10000/B118),0)</f>
        <v>2764</v>
      </c>
      <c r="H118" s="2329">
        <f ca="1">ROUND(IF(D32="总价",C32,I118*B118/10000),0)</f>
        <v>4533</v>
      </c>
      <c r="I118" s="2329">
        <f ca="1">ROUND(IF(D32="楼面单价",C32,H118*10000/B118),0)</f>
        <v>3543</v>
      </c>
    </row>
    <row r="119" spans="1:27" ht="18.75" customHeight="1">
      <c r="A119" s="3567" t="s">
        <v>1452</v>
      </c>
      <c r="B119" s="3567"/>
      <c r="C119" s="3567"/>
      <c r="D119" s="3573" t="str">
        <f ca="1">NUMBERSTRING(INT(D118*10000),2)&amp;"元整"</f>
        <v>玖佰玖拾柒万元整</v>
      </c>
      <c r="E119" s="3574"/>
      <c r="F119" s="3573" t="str">
        <f ca="1">NUMBERSTRING(INT(F118*10000),2)&amp;"元整"</f>
        <v>叁仟伍佰叁拾陆万元整</v>
      </c>
      <c r="G119" s="3574"/>
      <c r="H119" s="3573" t="str">
        <f ca="1">NUMBERSTRING(INT(H118*10000),2)&amp;"元整"</f>
        <v>肆仟伍佰叁拾叁万元整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3" t="s">
        <v>1452</v>
      </c>
      <c r="B121" s="3575"/>
      <c r="C121" s="3574"/>
      <c r="D121" s="3573" t="str">
        <f>IF(D120=0,"零元整",NUMBERSTRING(INT(D120*10000),2)&amp;"元整")</f>
        <v>零元整</v>
      </c>
      <c r="E121" s="3575"/>
      <c r="F121" s="3575"/>
      <c r="G121" s="3575"/>
      <c r="H121" s="3575"/>
      <c r="I121" s="3574"/>
      <c r="AA121" s="725"/>
    </row>
    <row r="122" spans="1:27" ht="18.75" customHeight="1">
      <c r="A122" s="3579" t="str">
        <f>IF(项目基本情况!B9="房地产市场价值","",MID(E107,3,LEN(E107)-2))</f>
        <v>房地产抵押价值</v>
      </c>
      <c r="B122" s="3579"/>
      <c r="C122" s="3579"/>
      <c r="D122" s="3568">
        <f ca="1">H107</f>
        <v>4533</v>
      </c>
      <c r="E122" s="3569"/>
      <c r="F122" s="3569"/>
      <c r="G122" s="3569"/>
      <c r="H122" s="3569"/>
      <c r="I122" s="3570"/>
      <c r="AA122" s="725"/>
    </row>
    <row r="123" spans="1:27" ht="18.75" customHeight="1">
      <c r="A123" s="3567" t="s">
        <v>1452</v>
      </c>
      <c r="B123" s="3567"/>
      <c r="C123" s="3567"/>
      <c r="D123" s="3573" t="str">
        <f ca="1">NUMBERSTRING(INT(D122*10000),2)&amp;"元整"</f>
        <v>肆仟伍佰叁拾叁万元整</v>
      </c>
      <c r="E123" s="3575"/>
      <c r="F123" s="3575"/>
      <c r="G123" s="3575"/>
      <c r="H123" s="3575"/>
      <c r="I123" s="3574"/>
      <c r="AA123" s="725"/>
    </row>
    <row r="124" spans="1:27" ht="18.75" customHeight="1">
      <c r="A124" s="3579" t="str">
        <f>IF(项目基本情况!B9="房地产市场价值","",MID(E109,3,LEN(E109)-2))</f>
        <v/>
      </c>
      <c r="B124" s="3579"/>
      <c r="C124" s="3579"/>
      <c r="D124" s="3568" t="str">
        <f>H109</f>
        <v>——</v>
      </c>
      <c r="E124" s="3569"/>
      <c r="F124" s="3569"/>
      <c r="G124" s="3569"/>
      <c r="H124" s="3569"/>
      <c r="I124" s="3570"/>
      <c r="AA124" s="725"/>
    </row>
    <row r="125" spans="1:27" ht="18.75" customHeight="1">
      <c r="A125" s="3567" t="s">
        <v>1452</v>
      </c>
      <c r="B125" s="3567"/>
      <c r="C125" s="3567"/>
      <c r="D125" s="3573" t="e">
        <f>NUMBERSTRING(INT(D124*10000),2)&amp;"元整"</f>
        <v>#VALUE!</v>
      </c>
      <c r="E125" s="3575"/>
      <c r="F125" s="3575"/>
      <c r="G125" s="3575"/>
      <c r="H125" s="3575"/>
      <c r="I125" s="3574"/>
      <c r="AA125" s="725"/>
    </row>
    <row r="126" spans="1:27" ht="18.75" customHeight="1">
      <c r="A126" s="3579" t="str">
        <f>IF(项目基本情况!B9="房地产市场价值","",MID(E111,3,LEN(E111)-2))</f>
        <v/>
      </c>
      <c r="B126" s="3579"/>
      <c r="C126" s="3579"/>
      <c r="D126" s="3568" t="str">
        <f>H111</f>
        <v>——</v>
      </c>
      <c r="E126" s="3569"/>
      <c r="F126" s="3569"/>
      <c r="G126" s="3569"/>
      <c r="H126" s="3569"/>
      <c r="I126" s="3570"/>
      <c r="AA126" s="725"/>
    </row>
    <row r="127" spans="1:27" ht="18.75" customHeight="1">
      <c r="A127" s="3567" t="s">
        <v>1452</v>
      </c>
      <c r="B127" s="3567"/>
      <c r="C127" s="3567"/>
      <c r="D127" s="3573" t="e">
        <f>NUMBERSTRING(INT(D126*10000),2)&amp;"元整"</f>
        <v>#VALUE!</v>
      </c>
      <c r="E127" s="3575"/>
      <c r="F127" s="3575"/>
      <c r="G127" s="3575"/>
      <c r="H127" s="3575"/>
      <c r="I127" s="3574"/>
      <c r="AA127" s="725"/>
    </row>
    <row r="128" spans="1:27" ht="21.75" customHeight="1">
      <c r="A128" s="3576" t="s">
        <v>1453</v>
      </c>
      <c r="B128" s="3576"/>
      <c r="C128" s="3576"/>
      <c r="D128" s="3576"/>
      <c r="E128" s="3576"/>
      <c r="F128" s="3576"/>
      <c r="G128" s="3576"/>
      <c r="H128" s="3576"/>
      <c r="I128" s="357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6" sqref="M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5286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949</v>
      </c>
      <c r="D5" s="211" t="s">
        <v>1469</v>
      </c>
      <c r="E5" s="212" t="s">
        <v>1470</v>
      </c>
      <c r="F5" s="212" t="s">
        <v>1471</v>
      </c>
      <c r="G5" s="213"/>
    </row>
    <row r="6" spans="1:9" s="214" customFormat="1" ht="13.5" customHeight="1">
      <c r="A6" s="778" t="s">
        <v>1472</v>
      </c>
      <c r="B6" s="215" t="s">
        <v>1473</v>
      </c>
      <c r="C6" s="216">
        <f>'土地比较法-工业'!B2</f>
        <v>890</v>
      </c>
      <c r="D6" s="217"/>
      <c r="E6" s="218"/>
      <c r="F6" s="218"/>
      <c r="G6" s="219"/>
    </row>
    <row r="7" spans="1:9" s="214" customFormat="1" ht="13.5" customHeight="1">
      <c r="A7" s="778" t="s">
        <v>1474</v>
      </c>
      <c r="B7" s="215" t="s">
        <v>1475</v>
      </c>
      <c r="C7" s="220">
        <f>ROUND(C6*F7,0)</f>
        <v>27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v>
      </c>
      <c r="D8" s="222"/>
      <c r="E8" s="220"/>
      <c r="F8" s="221"/>
      <c r="G8" s="1856" t="s">
        <v>3724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3725</v>
      </c>
      <c r="H9" s="1137"/>
      <c r="I9" s="1858" t="s">
        <v>1479</v>
      </c>
    </row>
    <row r="10" spans="1:9" s="214" customFormat="1" ht="13.5" customHeight="1">
      <c r="A10" s="779" t="s">
        <v>356</v>
      </c>
      <c r="B10" s="224" t="s">
        <v>1480</v>
      </c>
      <c r="C10" s="225">
        <f ca="1">ROUND(D10*E10/10000,0)</f>
        <v>32</v>
      </c>
      <c r="D10" s="845">
        <f ca="1">IF(B1="",'数据-汇总表'!E6,IF(INDIRECT("'数据-取费表'!c"&amp;$G$1)="住宅",INDIRECT("'数据-取费表'!s"&amp;$G$1),INDIRECT("'数据-取费表'!k"&amp;$G$1)+INDIRECT("'数据-取费表'!s"&amp;$G$1)))</f>
        <v>12794.5</v>
      </c>
      <c r="E10" s="225">
        <f>'数据-取费表'!B28</f>
        <v>25</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12794.5</v>
      </c>
      <c r="E19" s="211">
        <f>'数据-取费表'!B31</f>
        <v>200</v>
      </c>
      <c r="F19" s="231"/>
      <c r="G19" s="1856" t="s">
        <v>3726</v>
      </c>
    </row>
    <row r="20" spans="1:7" s="214" customFormat="1" ht="13.5" customHeight="1">
      <c r="A20" s="255" t="s">
        <v>1493</v>
      </c>
      <c r="B20" s="210" t="s">
        <v>1494</v>
      </c>
      <c r="C20" s="232">
        <f ca="1">ROUND((C5+C19)*F20,0)</f>
        <v>19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61</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48</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1163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3999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3582</v>
      </c>
      <c r="D34" s="217"/>
      <c r="E34" s="220"/>
      <c r="F34" s="257">
        <f ca="1">IF('数据-取费表'!B24=0,1,IF(B1="",'数据-取费表'!N16,INDIRECT("'数据-取费表'!n"&amp;$G$1)))</f>
        <v>1</v>
      </c>
      <c r="G34" s="219" t="s">
        <v>1526</v>
      </c>
    </row>
    <row r="35" spans="1:7" ht="13.5" customHeight="1">
      <c r="A35" s="780" t="s">
        <v>351</v>
      </c>
      <c r="B35" s="215" t="s">
        <v>1527</v>
      </c>
      <c r="C35" s="220">
        <f ca="1">ROUND(C34*F35,0)</f>
        <v>107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256</v>
      </c>
      <c r="D37" s="217">
        <f ca="1">D19</f>
        <v>12794.5</v>
      </c>
      <c r="E37" s="249">
        <f>'数据-取费表'!B35</f>
        <v>200</v>
      </c>
      <c r="F37" s="259"/>
      <c r="G37" s="261" t="s">
        <v>1532</v>
      </c>
    </row>
    <row r="38" spans="1:7" ht="13.5" customHeight="1">
      <c r="A38" s="780" t="s">
        <v>354</v>
      </c>
      <c r="B38" s="215" t="s">
        <v>1533</v>
      </c>
      <c r="C38" s="220">
        <f ca="1">ROUND(C34*F38,0)</f>
        <v>54</v>
      </c>
      <c r="D38" s="220"/>
      <c r="E38" s="220"/>
      <c r="F38" s="259">
        <f>'数据-取费表'!B36</f>
        <v>1.4999999999999999E-2</v>
      </c>
      <c r="G38" s="219" t="s">
        <v>1528</v>
      </c>
    </row>
    <row r="39" spans="1:7" s="214" customFormat="1" ht="13.5" customHeight="1">
      <c r="A39" s="255" t="s">
        <v>1534</v>
      </c>
      <c r="B39" s="210" t="s">
        <v>1535</v>
      </c>
      <c r="C39" s="232">
        <f ca="1">ROUND(C33*F20,0)</f>
        <v>80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126</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124</v>
      </c>
      <c r="D42" s="238"/>
      <c r="E42" s="238"/>
      <c r="F42" s="239"/>
      <c r="G42" s="3646" t="s">
        <v>1544</v>
      </c>
    </row>
    <row r="43" spans="1:7" ht="13.5" customHeight="1">
      <c r="A43" s="780" t="s">
        <v>347</v>
      </c>
      <c r="B43" s="215" t="s">
        <v>1545</v>
      </c>
      <c r="C43" s="238">
        <f ca="1">ROUND(IF('数据-取费表'!B22&lt;=1,C39*F22*'数据-取费表'!B21/2,C39*(POWER((1+F22),'数据-取费表'!B21/2)-1)),0)</f>
        <v>2</v>
      </c>
      <c r="D43" s="238"/>
      <c r="E43" s="238"/>
      <c r="F43" s="239"/>
      <c r="G43" s="3647"/>
    </row>
    <row r="44" spans="1:7" ht="13.5" customHeight="1">
      <c r="A44" s="780" t="s">
        <v>348</v>
      </c>
      <c r="B44" s="215" t="s">
        <v>1546</v>
      </c>
      <c r="C44" s="238">
        <f ca="1">ROUND(IF('数据-取费表'!B22&lt;=1,C40*F22*'数据-取费表'!B21/2,C40*(POWER((1+F22),'数据-取费表'!B21/2)-1)),4)</f>
        <v>5.9999999999999995E-4</v>
      </c>
      <c r="D44" s="238"/>
      <c r="E44" s="238"/>
      <c r="F44" s="239"/>
      <c r="G44" s="3648"/>
    </row>
    <row r="45" spans="1:7" s="214" customFormat="1" ht="13.5" customHeight="1">
      <c r="A45" s="255" t="s">
        <v>1547</v>
      </c>
      <c r="B45" s="244" t="s">
        <v>1513</v>
      </c>
      <c r="C45" s="245">
        <f ca="1">C46</f>
        <v>204</v>
      </c>
      <c r="D45" s="235">
        <f ca="1">C47</f>
        <v>1E-3</v>
      </c>
      <c r="E45" s="236" t="s">
        <v>1539</v>
      </c>
      <c r="F45" s="246">
        <f ca="1">F27</f>
        <v>0.05</v>
      </c>
      <c r="G45" s="247" t="s">
        <v>1548</v>
      </c>
    </row>
    <row r="46" spans="1:7" s="214" customFormat="1" ht="13.5" customHeight="1">
      <c r="A46" s="780" t="s">
        <v>346</v>
      </c>
      <c r="B46" s="248" t="s">
        <v>1549</v>
      </c>
      <c r="C46" s="249">
        <f ca="1">ROUND((C33+C39)*F27,0)</f>
        <v>204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4761</v>
      </c>
      <c r="D49" s="232"/>
      <c r="E49" s="232"/>
      <c r="F49" s="264"/>
      <c r="G49" s="234" t="s">
        <v>1554</v>
      </c>
    </row>
    <row r="50" spans="1:7" s="258" customFormat="1" ht="24">
      <c r="A50" s="255" t="s">
        <v>1555</v>
      </c>
      <c r="B50" s="210" t="s">
        <v>1556</v>
      </c>
      <c r="C50" s="232"/>
      <c r="D50" s="232"/>
      <c r="E50" s="232"/>
      <c r="F50" s="264">
        <f>IF('数据-取费表'!B24=0,'数据-取费表'!N16,1)</f>
        <v>0.86599999999999999</v>
      </c>
      <c r="G50" s="247" t="s">
        <v>1557</v>
      </c>
    </row>
    <row r="51" spans="1:7" ht="16.5" customHeight="1">
      <c r="A51" s="255" t="s">
        <v>1558</v>
      </c>
      <c r="B51" s="210" t="s">
        <v>1559</v>
      </c>
      <c r="C51" s="232">
        <f ca="1">ROUND(C49*F50,0)</f>
        <v>4123</v>
      </c>
      <c r="D51" s="232"/>
      <c r="E51" s="232"/>
      <c r="F51" s="264"/>
      <c r="G51" s="234" t="s">
        <v>1560</v>
      </c>
    </row>
    <row r="52" spans="1:7" s="208" customFormat="1" ht="16.5" thickBot="1">
      <c r="A52" s="265" t="s">
        <v>1561</v>
      </c>
      <c r="B52" s="266"/>
      <c r="C52" s="267">
        <f ca="1">C31+C51</f>
        <v>5286</v>
      </c>
      <c r="D52" s="266"/>
      <c r="E52" s="266"/>
      <c r="F52" s="266"/>
      <c r="G52" s="268"/>
    </row>
    <row r="55" spans="1:7" ht="15">
      <c r="B55" s="270" t="s">
        <v>1562</v>
      </c>
      <c r="C55" s="271"/>
    </row>
    <row r="56" spans="1:7">
      <c r="B56" s="273" t="s">
        <v>802</v>
      </c>
      <c r="C56" s="275">
        <f ca="1">1-C57</f>
        <v>0.21999999999999997</v>
      </c>
    </row>
    <row r="57" spans="1:7">
      <c r="B57" s="273" t="s">
        <v>803</v>
      </c>
      <c r="C57" s="274">
        <f ca="1">ROUND(C51/C52,3)</f>
        <v>0.78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4476.8206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3499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319863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319863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319863</v>
      </c>
      <c r="D10" s="845">
        <f ca="1">IF(B1="",'数据-汇总表'!E6,IF(INDIRECT("'数据-取费表'!c"&amp;$G$1)="住宅",INDIRECT("'数据-取费表'!s"&amp;$G$1),INDIRECT("'数据-取费表'!k"&amp;$G$1)+INDIRECT("'数据-取费表'!s"&amp;$G$1)))</f>
        <v>12794.5</v>
      </c>
      <c r="E10" s="225">
        <f>'数据-取费表'!B28</f>
        <v>25</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2558900</v>
      </c>
      <c r="D19" s="849">
        <f ca="1">D9+D10</f>
        <v>12794.5</v>
      </c>
      <c r="E19" s="211">
        <f>'数据-取费表'!B31</f>
        <v>200</v>
      </c>
      <c r="F19" s="231"/>
      <c r="G19" s="1856"/>
    </row>
    <row r="20" spans="1:7" s="214" customFormat="1" ht="13.5" customHeight="1">
      <c r="A20" s="255" t="s">
        <v>1574</v>
      </c>
      <c r="B20" s="210" t="s">
        <v>1575</v>
      </c>
      <c r="C20" s="232">
        <f ca="1">ROUND((C5+C19)*F20,0)</f>
        <v>57575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182833</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20117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160933</v>
      </c>
      <c r="D24" s="238"/>
      <c r="E24" s="238"/>
      <c r="F24" s="239"/>
      <c r="G24" s="240" t="s">
        <v>1586</v>
      </c>
    </row>
    <row r="25" spans="1:7" s="214" customFormat="1" ht="24">
      <c r="A25" s="780" t="s">
        <v>1476</v>
      </c>
      <c r="B25" s="215" t="s">
        <v>1587</v>
      </c>
      <c r="C25" s="1128">
        <f ca="1">ROUND(IF('数据-取费表'!B22&lt;=1,C20*F22*'数据-取费表'!B22/2,C20*(POWER((1+F22),'数据-取费表'!B22/2)-1)),0)</f>
        <v>1783</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146817</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146817</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3526985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39995607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35824600</v>
      </c>
      <c r="D34" s="217"/>
      <c r="E34" s="220"/>
      <c r="F34" s="257"/>
      <c r="G34" s="219"/>
    </row>
    <row r="35" spans="1:7" ht="13.5" customHeight="1">
      <c r="A35" s="780" t="s">
        <v>351</v>
      </c>
      <c r="B35" s="215" t="s">
        <v>1527</v>
      </c>
      <c r="C35" s="220">
        <f ca="1">ROUND(C34*F35,0)</f>
        <v>1074738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2558900</v>
      </c>
      <c r="D37" s="217">
        <f ca="1">D19</f>
        <v>12794.5</v>
      </c>
      <c r="E37" s="249">
        <f>'数据-取费表'!B35</f>
        <v>200</v>
      </c>
      <c r="F37" s="259"/>
      <c r="G37" s="261"/>
    </row>
    <row r="38" spans="1:7" ht="13.5" customHeight="1">
      <c r="A38" s="780" t="s">
        <v>354</v>
      </c>
      <c r="B38" s="215" t="s">
        <v>1533</v>
      </c>
      <c r="C38" s="220">
        <f ca="1">ROUND(C34*F38,0)</f>
        <v>537369</v>
      </c>
      <c r="D38" s="220"/>
      <c r="E38" s="220"/>
      <c r="F38" s="259">
        <f>'数据-取费表'!B36</f>
        <v>1.4999999999999999E-2</v>
      </c>
      <c r="G38" s="219" t="s">
        <v>1528</v>
      </c>
    </row>
    <row r="39" spans="1:7" s="214" customFormat="1" ht="13.5" customHeight="1">
      <c r="A39" s="255" t="s">
        <v>1534</v>
      </c>
      <c r="B39" s="210" t="s">
        <v>1535</v>
      </c>
      <c r="C39" s="232">
        <f ca="1">ROUND(C33*F20,0)</f>
        <v>799912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1263285</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1238515</v>
      </c>
      <c r="D42" s="238"/>
      <c r="E42" s="238"/>
      <c r="F42" s="239"/>
      <c r="G42" s="3646" t="s">
        <v>1591</v>
      </c>
    </row>
    <row r="43" spans="1:7" ht="13.5" customHeight="1">
      <c r="A43" s="780" t="s">
        <v>347</v>
      </c>
      <c r="B43" s="215" t="s">
        <v>1545</v>
      </c>
      <c r="C43" s="238">
        <f ca="1">ROUND(IF('数据-取费表'!B22&lt;=1,C39*F22*'数据-取费表'!B20/2,C39*(POWER((1+F22),'数据-取费表'!B20/2)-1)),0)</f>
        <v>24770</v>
      </c>
      <c r="D43" s="238"/>
      <c r="E43" s="238"/>
      <c r="F43" s="239"/>
      <c r="G43" s="3647"/>
    </row>
    <row r="44" spans="1:7" ht="13.5" customHeight="1">
      <c r="A44" s="780" t="s">
        <v>348</v>
      </c>
      <c r="B44" s="215" t="s">
        <v>1546</v>
      </c>
      <c r="C44" s="238">
        <f ca="1">ROUND(IF('数据-取费表'!B22&lt;=1,C40*F22*'数据-取费表'!B20/2,C40*(POWER((1+F22),'数据-取费表'!B20/2)-1)),4)</f>
        <v>5.9999999999999995E-4</v>
      </c>
      <c r="D44" s="238"/>
      <c r="E44" s="238"/>
      <c r="F44" s="239"/>
      <c r="G44" s="3648"/>
    </row>
    <row r="45" spans="1:7" s="214" customFormat="1" ht="13.5" customHeight="1">
      <c r="A45" s="255" t="s">
        <v>1547</v>
      </c>
      <c r="B45" s="244" t="s">
        <v>1513</v>
      </c>
      <c r="C45" s="245">
        <f ca="1">C46</f>
        <v>2039776</v>
      </c>
      <c r="D45" s="235">
        <f ca="1">C47</f>
        <v>1E-3</v>
      </c>
      <c r="E45" s="236" t="s">
        <v>1539</v>
      </c>
      <c r="F45" s="246">
        <f ca="1">F27</f>
        <v>0.05</v>
      </c>
      <c r="G45" s="247" t="s">
        <v>1548</v>
      </c>
    </row>
    <row r="46" spans="1:7" s="214" customFormat="1" ht="13.5" customHeight="1">
      <c r="A46" s="780" t="s">
        <v>346</v>
      </c>
      <c r="B46" s="248" t="s">
        <v>1549</v>
      </c>
      <c r="C46" s="249">
        <f ca="1">ROUND((C33+C39)*F27,0)</f>
        <v>2039776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47622657</v>
      </c>
      <c r="D49" s="232"/>
      <c r="E49" s="232"/>
      <c r="F49" s="264"/>
      <c r="G49" s="234" t="s">
        <v>1554</v>
      </c>
    </row>
    <row r="50" spans="1:7" s="258" customFormat="1">
      <c r="A50" s="255" t="s">
        <v>1555</v>
      </c>
      <c r="B50" s="210" t="s">
        <v>1556</v>
      </c>
      <c r="C50" s="232"/>
      <c r="D50" s="232"/>
      <c r="E50" s="232"/>
      <c r="F50" s="264">
        <f>IF('数据-取费表'!B24=0,'数据-取费表'!N16,1)</f>
        <v>0.86599999999999999</v>
      </c>
      <c r="G50" s="247"/>
    </row>
    <row r="51" spans="1:7" ht="16.5" customHeight="1">
      <c r="A51" s="255" t="s">
        <v>1558</v>
      </c>
      <c r="B51" s="210" t="s">
        <v>1593</v>
      </c>
      <c r="C51" s="232">
        <f ca="1">ROUND(C49*F50,0)</f>
        <v>41241221</v>
      </c>
      <c r="D51" s="232"/>
      <c r="E51" s="232"/>
      <c r="F51" s="264"/>
      <c r="G51" s="234" t="s">
        <v>1560</v>
      </c>
    </row>
    <row r="52" spans="1:7" s="208" customFormat="1" ht="16.5" thickBot="1">
      <c r="A52" s="265" t="s">
        <v>1561</v>
      </c>
      <c r="B52" s="266"/>
      <c r="C52" s="267">
        <f ca="1">C31+C51</f>
        <v>44768206</v>
      </c>
      <c r="D52" s="266"/>
      <c r="E52" s="266"/>
      <c r="F52" s="266"/>
      <c r="G52" s="268"/>
    </row>
    <row r="55" spans="1:7" ht="15">
      <c r="B55" s="270" t="s">
        <v>1562</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12794.5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12794.5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32</v>
      </c>
      <c r="D20" s="846">
        <f ca="1">IF(C1="",'数据-汇总表'!E6,IF(INDIRECT("'数据-取费表'!c"&amp;$K$1)="住宅",INDIRECT("'数据-取费表'!s"&amp;$K$1),INDIRECT("'数据-取费表'!k"&amp;$K$1)+INDIRECT("'数据-取费表'!s"&amp;$K$1)))</f>
        <v>12794.5</v>
      </c>
      <c r="E20" s="21">
        <f>'数据-取费表'!B28</f>
        <v>25</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39.57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3403</v>
      </c>
      <c r="C2" s="1387" t="s">
        <v>805</v>
      </c>
      <c r="D2" s="1387"/>
      <c r="E2" s="1388"/>
      <c r="F2" s="1389"/>
      <c r="G2" s="2706"/>
      <c r="H2" s="2695"/>
      <c r="I2" s="2695"/>
      <c r="J2" s="2695"/>
      <c r="K2" s="2696"/>
      <c r="L2" s="2695"/>
      <c r="M2" s="2695"/>
    </row>
    <row r="3" spans="1:37" ht="18" customHeight="1" thickBot="1">
      <c r="A3" s="1390" t="s">
        <v>806</v>
      </c>
      <c r="B3" s="1391">
        <f ca="1">IF(ISERROR(B2*10000/F43),0,ROUND(B2*10000/F43,0))</f>
        <v>2660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252</v>
      </c>
      <c r="D5" s="1364" t="s">
        <v>693</v>
      </c>
      <c r="E5" s="1071"/>
      <c r="F5" s="1072"/>
      <c r="G5" s="1384"/>
      <c r="H5" s="299">
        <v>1</v>
      </c>
      <c r="I5" s="300" t="s">
        <v>692</v>
      </c>
      <c r="J5" s="1070">
        <f ca="1">J6+J10+J12</f>
        <v>0</v>
      </c>
      <c r="K5" s="1364" t="s">
        <v>693</v>
      </c>
      <c r="L5" s="1071"/>
      <c r="M5" s="1072"/>
    </row>
    <row r="6" spans="1:37" ht="18" customHeight="1">
      <c r="A6" s="1069" t="s">
        <v>398</v>
      </c>
      <c r="B6" s="3651" t="s">
        <v>694</v>
      </c>
      <c r="C6" s="1074">
        <f ca="1">ROUND(F6*F8*F7*(1-F9)/10000,0)</f>
        <v>252</v>
      </c>
      <c r="D6" s="155" t="s">
        <v>2108</v>
      </c>
      <c r="E6" s="302" t="s">
        <v>696</v>
      </c>
      <c r="F6" s="303">
        <f ca="1">INDIRECT("'数据-取费表'!u"&amp;$G$1)</f>
        <v>0.6</v>
      </c>
      <c r="G6" s="1384"/>
      <c r="H6" s="1069" t="s">
        <v>398</v>
      </c>
      <c r="I6" s="3651" t="s">
        <v>694</v>
      </c>
      <c r="J6" s="301">
        <f ca="1">ROUND(M6*M8*M7*(1-M9)/10000,0)</f>
        <v>0</v>
      </c>
      <c r="K6" s="155" t="s">
        <v>2107</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12794.5</v>
      </c>
      <c r="G7" s="1384"/>
      <c r="H7" s="304"/>
      <c r="I7" s="3652"/>
      <c r="J7" s="306"/>
      <c r="K7" s="307"/>
      <c r="L7" s="302" t="s">
        <v>697</v>
      </c>
      <c r="M7" s="303">
        <f ca="1">F7</f>
        <v>12794.5</v>
      </c>
    </row>
    <row r="8" spans="1:37" ht="18" customHeight="1">
      <c r="A8" s="304"/>
      <c r="B8" s="3652"/>
      <c r="C8" s="306"/>
      <c r="D8" s="307"/>
      <c r="E8" s="302" t="s">
        <v>698</v>
      </c>
      <c r="F8" s="303">
        <f ca="1">INDIRECT("'数据-取费表'!ai"&amp;$G$1)</f>
        <v>365</v>
      </c>
      <c r="G8" s="1384"/>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3719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4122</v>
      </c>
      <c r="D13" s="1081" t="s">
        <v>705</v>
      </c>
      <c r="E13" s="1081" t="s">
        <v>706</v>
      </c>
      <c r="F13" s="1082">
        <f ca="1">INDIRECT("'数据-取费表'!y"&amp;$G$1)</f>
        <v>0.86571428571428599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3582</v>
      </c>
      <c r="D14" s="1345" t="s">
        <v>708</v>
      </c>
      <c r="E14" s="1342"/>
      <c r="F14" s="319"/>
      <c r="G14" s="1384"/>
      <c r="H14" s="982" t="s">
        <v>398</v>
      </c>
      <c r="I14" s="302" t="s">
        <v>709</v>
      </c>
      <c r="J14" s="21">
        <f ca="1">C29</f>
        <v>4761</v>
      </c>
      <c r="K14" s="12"/>
      <c r="L14" s="807"/>
      <c r="M14" s="808"/>
    </row>
    <row r="15" spans="1:37" s="1397" customFormat="1" ht="18" customHeight="1" thickBot="1">
      <c r="A15" s="982" t="s">
        <v>399</v>
      </c>
      <c r="B15" s="302" t="s">
        <v>710</v>
      </c>
      <c r="C15" s="21">
        <f ca="1">ROUND(C14*F15,0)</f>
        <v>107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53</v>
      </c>
      <c r="K16" s="1087" t="s">
        <v>715</v>
      </c>
      <c r="L16" s="1088"/>
      <c r="M16" s="1072"/>
    </row>
    <row r="17" spans="1:37" s="1397" customFormat="1" ht="18" customHeight="1">
      <c r="A17" s="982" t="s">
        <v>681</v>
      </c>
      <c r="B17" s="302" t="s">
        <v>716</v>
      </c>
      <c r="C17" s="21">
        <f ca="1">ROUND(F17*(F43+INDIRECT("'数据-取费表'!S"&amp;$G$1))/10000,0)</f>
        <v>256</v>
      </c>
      <c r="D17" s="302" t="s">
        <v>717</v>
      </c>
      <c r="E17" s="302" t="s">
        <v>718</v>
      </c>
      <c r="F17" s="23">
        <f>'数据-取费表'!B35</f>
        <v>200</v>
      </c>
      <c r="G17" s="1396"/>
      <c r="H17" s="982" t="s">
        <v>398</v>
      </c>
      <c r="I17" s="302" t="s">
        <v>719</v>
      </c>
      <c r="J17" s="2316">
        <f ca="1">ROUND(IF(AND(项目基本情况!B11="自然人",项目基本情况!B10="北京市"),J6*M17/(1+'数据-取费表'!C42),J18+J19+J20),2)</f>
        <v>5.3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3999</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80</v>
      </c>
      <c r="D20" s="323" t="s">
        <v>729</v>
      </c>
      <c r="E20" s="302" t="s">
        <v>712</v>
      </c>
      <c r="F20" s="322">
        <f>'数据-取费表'!B37</f>
        <v>0.02</v>
      </c>
      <c r="G20" s="1396"/>
      <c r="H20" s="982" t="s">
        <v>680</v>
      </c>
      <c r="I20" s="155" t="s">
        <v>730</v>
      </c>
      <c r="J20" s="22">
        <f ca="1">ROUND(M20*M21/10000,2)</f>
        <v>5.3</v>
      </c>
      <c r="K20" s="324" t="s">
        <v>731</v>
      </c>
      <c r="L20" s="302" t="s">
        <v>732</v>
      </c>
      <c r="M20" s="325">
        <f>'数据-取费表'!B52</f>
        <v>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26500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47.61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-53</v>
      </c>
      <c r="K25" s="1095" t="s">
        <v>753</v>
      </c>
      <c r="L25" s="1096"/>
      <c r="M25" s="1097"/>
    </row>
    <row r="26" spans="1:37">
      <c r="A26" s="982" t="s">
        <v>397</v>
      </c>
      <c r="B26" s="302" t="s">
        <v>754</v>
      </c>
      <c r="C26" s="21">
        <f ca="1">ROUND((C19+C20)*F26,0)</f>
        <v>204</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4761</v>
      </c>
      <c r="D29" s="1092"/>
      <c r="E29" s="1090"/>
      <c r="F29" s="1093"/>
      <c r="G29" s="1396"/>
      <c r="H29" s="334" t="s">
        <v>396</v>
      </c>
      <c r="I29" s="335" t="s">
        <v>768</v>
      </c>
      <c r="J29" s="336">
        <f ca="1">ROUND(J26/(1+F40)^F41,0)</f>
        <v>0</v>
      </c>
      <c r="K29" s="337" t="s">
        <v>769</v>
      </c>
      <c r="L29" s="338"/>
      <c r="M29" s="339">
        <f ca="1">INDIRECT("'数据-取费表'!k"&amp;$G$1)</f>
        <v>12794.5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47.3</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13.2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28.8</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5.3</v>
      </c>
      <c r="D34" s="324" t="s">
        <v>731</v>
      </c>
      <c r="E34" s="302" t="s">
        <v>732</v>
      </c>
      <c r="F34" s="325">
        <f>'数据-取费表'!B52</f>
        <v>2</v>
      </c>
      <c r="G34" s="1384"/>
      <c r="H34" s="2697"/>
      <c r="I34" s="1398"/>
      <c r="J34" s="1399"/>
      <c r="K34" s="2702"/>
      <c r="L34" s="2703"/>
      <c r="M34" s="2703"/>
    </row>
    <row r="35" spans="1:18" ht="18" customHeight="1">
      <c r="A35" s="1103"/>
      <c r="B35" s="1101"/>
      <c r="C35" s="26"/>
      <c r="D35" s="327"/>
      <c r="E35" s="302" t="s">
        <v>736</v>
      </c>
      <c r="F35" s="303">
        <f ca="1">INDIRECT("'数据-取费表'!r"&amp;$G$1)</f>
        <v>26500</v>
      </c>
      <c r="G35" s="1384"/>
      <c r="H35" s="2697"/>
      <c r="I35" s="1398"/>
      <c r="J35" s="1399"/>
      <c r="K35" s="2701"/>
      <c r="L35" s="2700"/>
      <c r="M35" s="2700"/>
    </row>
    <row r="36" spans="1:18" ht="18" customHeight="1">
      <c r="A36" s="1102" t="s">
        <v>402</v>
      </c>
      <c r="B36" s="302" t="s">
        <v>738</v>
      </c>
      <c r="C36" s="21">
        <f ca="1">ROUND(C29*F36,2)</f>
        <v>47.61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4.12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2.52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150</v>
      </c>
      <c r="D39" s="1095" t="s">
        <v>773</v>
      </c>
      <c r="E39" s="1096"/>
      <c r="F39" s="1097"/>
      <c r="G39" s="1384"/>
      <c r="H39" s="2700"/>
      <c r="I39" s="1398"/>
      <c r="J39" s="1399"/>
      <c r="K39" s="2704"/>
      <c r="L39" s="2700"/>
      <c r="M39" s="2700"/>
    </row>
    <row r="40" spans="1:18" ht="18" customHeight="1">
      <c r="A40" s="299" t="s">
        <v>395</v>
      </c>
      <c r="B40" s="300" t="s">
        <v>774</v>
      </c>
      <c r="C40" s="301">
        <f ca="1">ROUND(C39*(1-((1+F42)/(1+F40))^F41)/(F40-F42),0)</f>
        <v>3403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39.57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2660</v>
      </c>
      <c r="D43" s="337" t="s">
        <v>777</v>
      </c>
      <c r="E43" s="338" t="s">
        <v>778</v>
      </c>
      <c r="F43" s="339">
        <f ca="1">INDIRECT("'数据-取费表'!k"&amp;$G$1)</f>
        <v>12794.5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-4315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3720</v>
      </c>
      <c r="K47" s="1416" t="s">
        <v>816</v>
      </c>
      <c r="L47" s="1417">
        <f ca="1">INDIRECT("'数据-取费表'!d"&amp;$G$1)</f>
        <v>50</v>
      </c>
      <c r="M47" s="1380" t="str">
        <f>IF(ISNUMBER(FIND("住宅",C1)),"住宅","非住宅")</f>
        <v>非住宅</v>
      </c>
      <c r="O47" s="1418" t="s">
        <v>403</v>
      </c>
      <c r="P47" s="1419" t="s">
        <v>817</v>
      </c>
      <c r="Q47" s="1420">
        <f ca="1">C40+J29</f>
        <v>3403</v>
      </c>
      <c r="R47" s="1420" t="s">
        <v>818</v>
      </c>
    </row>
    <row r="48" spans="1:18" s="1384" customFormat="1" ht="28.5" thickBot="1">
      <c r="A48" s="1110" t="s">
        <v>438</v>
      </c>
      <c r="B48" s="300" t="s">
        <v>692</v>
      </c>
      <c r="C48" s="1359">
        <f ca="1">C49+C53+C55</f>
        <v>0</v>
      </c>
      <c r="D48" s="1112"/>
      <c r="E48" s="1113"/>
      <c r="F48" s="962"/>
      <c r="G48" s="722"/>
      <c r="H48" s="723"/>
      <c r="I48" s="1421" t="s">
        <v>819</v>
      </c>
      <c r="J48" s="1422" t="s">
        <v>3721</v>
      </c>
      <c r="K48" s="1423" t="s">
        <v>820</v>
      </c>
      <c r="L48" s="1424">
        <f ca="1">INDIRECT("'数据-取费表'!f"&amp;$G$1)</f>
        <v>39.57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2015</v>
      </c>
      <c r="K49" s="1423" t="s">
        <v>824</v>
      </c>
      <c r="L49" s="1427"/>
      <c r="O49" s="1428" t="s">
        <v>405</v>
      </c>
      <c r="P49" s="1419" t="s">
        <v>825</v>
      </c>
      <c r="Q49" s="1420">
        <f ca="1">C29</f>
        <v>4761</v>
      </c>
      <c r="R49" s="1420" t="s">
        <v>818</v>
      </c>
    </row>
    <row r="50" spans="1:18" s="1384" customFormat="1" ht="13.5" thickBot="1">
      <c r="A50" s="976"/>
      <c r="B50" s="979"/>
      <c r="C50" s="1118"/>
      <c r="D50" s="953"/>
      <c r="E50" s="1056" t="s">
        <v>697</v>
      </c>
      <c r="F50" s="1057">
        <f ca="1">F7</f>
        <v>12794.5</v>
      </c>
      <c r="H50" s="723"/>
      <c r="I50" s="1421" t="s">
        <v>826</v>
      </c>
      <c r="J50" s="1429">
        <f>SUMPRODUCT((I63:I65=J47)*(J62:L62=J48)*(J63:L65))</f>
        <v>70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62</v>
      </c>
      <c r="K51" s="1434" t="s">
        <v>830</v>
      </c>
      <c r="L51" s="1435">
        <f ca="1">ROUND(-PV(INDIRECT("'数据-取费表'!h"&amp;$G$1),J51,(C39-C13*C76),0),0)</f>
        <v>-2636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39.57</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39.57</v>
      </c>
      <c r="K53" s="3649" t="s">
        <v>837</v>
      </c>
      <c r="L53" s="3650"/>
      <c r="O53" s="1418" t="s">
        <v>409</v>
      </c>
      <c r="P53" s="1419" t="s">
        <v>838</v>
      </c>
      <c r="Q53" s="1420">
        <f ca="1">Q47+Q48</f>
        <v>3403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4122</v>
      </c>
      <c r="D56" s="1447"/>
      <c r="E56" s="1448"/>
      <c r="F56" s="1440"/>
      <c r="I56" s="1449" t="s">
        <v>842</v>
      </c>
      <c r="J56" s="1450" t="s">
        <v>3710</v>
      </c>
      <c r="K56" s="1421" t="s">
        <v>843</v>
      </c>
      <c r="L56" s="1424" t="str">
        <f ca="1">IF(L48&lt;J51,"——",L48-J53)</f>
        <v>——</v>
      </c>
      <c r="O56" s="1418" t="s">
        <v>403</v>
      </c>
      <c r="P56" s="1419" t="s">
        <v>817</v>
      </c>
      <c r="Q56" s="1420">
        <f ca="1">C40+J29</f>
        <v>3403</v>
      </c>
      <c r="R56" s="1420" t="s">
        <v>818</v>
      </c>
    </row>
    <row r="57" spans="1:18" s="1384" customFormat="1" ht="24.75" thickBot="1">
      <c r="A57" s="1451"/>
      <c r="B57" s="950" t="s">
        <v>767</v>
      </c>
      <c r="C57" s="238">
        <f ca="1">C29</f>
        <v>4761</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5.3</v>
      </c>
      <c r="D62" s="965" t="s">
        <v>786</v>
      </c>
      <c r="E62" s="950" t="s">
        <v>787</v>
      </c>
      <c r="F62" s="325">
        <f t="shared" si="0"/>
        <v>2</v>
      </c>
      <c r="I62" s="1462" t="s">
        <v>858</v>
      </c>
      <c r="J62" s="1463" t="s">
        <v>859</v>
      </c>
      <c r="K62" s="1463" t="s">
        <v>860</v>
      </c>
      <c r="L62" s="1463" t="s">
        <v>861</v>
      </c>
      <c r="M62" s="1464" t="s">
        <v>862</v>
      </c>
      <c r="O62" s="1418" t="s">
        <v>409</v>
      </c>
      <c r="P62" s="1419" t="s">
        <v>863</v>
      </c>
      <c r="Q62" s="1420">
        <f ca="1">Q56+Q57</f>
        <v>3403</v>
      </c>
      <c r="R62" s="1420" t="s">
        <v>410</v>
      </c>
    </row>
    <row r="63" spans="1:18" s="1384" customFormat="1" ht="13.5" thickBot="1">
      <c r="A63" s="326"/>
      <c r="B63" s="956"/>
      <c r="C63" s="26"/>
      <c r="D63" s="966"/>
      <c r="E63" s="950" t="s">
        <v>788</v>
      </c>
      <c r="F63" s="303">
        <f t="shared" ca="1" si="0"/>
        <v>26500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47.61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4.12</v>
      </c>
      <c r="D65" s="964" t="s">
        <v>743</v>
      </c>
      <c r="E65" s="950" t="s">
        <v>744</v>
      </c>
      <c r="F65" s="330">
        <f t="shared" ca="1" si="0"/>
        <v>1E-3</v>
      </c>
      <c r="I65" s="1462" t="s">
        <v>867</v>
      </c>
      <c r="J65" s="1463">
        <v>40</v>
      </c>
      <c r="K65" s="1463">
        <v>30</v>
      </c>
      <c r="L65" s="1463">
        <v>50</v>
      </c>
      <c r="M65" s="1465">
        <v>0.02</v>
      </c>
      <c r="O65" s="1418" t="s">
        <v>403</v>
      </c>
      <c r="P65" s="1419" t="s">
        <v>868</v>
      </c>
      <c r="Q65" s="1420">
        <f ca="1">C40+J29</f>
        <v>3403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-57</v>
      </c>
      <c r="D67" s="963" t="s">
        <v>753</v>
      </c>
      <c r="E67" s="968"/>
      <c r="F67" s="969"/>
      <c r="O67" s="1428" t="s">
        <v>405</v>
      </c>
      <c r="P67" s="1419" t="s">
        <v>850</v>
      </c>
      <c r="Q67" s="1466">
        <f ca="1">L51</f>
        <v>-2636</v>
      </c>
      <c r="R67" s="1420" t="s">
        <v>870</v>
      </c>
    </row>
    <row r="68" spans="1:18" s="1384" customFormat="1" ht="16.5" thickBot="1">
      <c r="A68" s="947" t="s">
        <v>395</v>
      </c>
      <c r="B68" s="948" t="s">
        <v>774</v>
      </c>
      <c r="C68" s="301">
        <f ca="1">ROUND(C67*(1-((1+F70)/(1+F68))^F69)/(F68-F70),0)</f>
        <v>-912</v>
      </c>
      <c r="D68" s="965" t="s">
        <v>758</v>
      </c>
      <c r="E68" s="950" t="s">
        <v>759</v>
      </c>
      <c r="F68" s="312">
        <f ca="1">F40</f>
        <v>5.5E-2</v>
      </c>
      <c r="O68" s="1428" t="s">
        <v>406</v>
      </c>
      <c r="P68" s="1467" t="s">
        <v>871</v>
      </c>
      <c r="Q68" s="1420">
        <f ca="1">ROUND(Q69-Q70*Q71,0)</f>
        <v>-139</v>
      </c>
      <c r="R68" s="1420" t="s">
        <v>414</v>
      </c>
    </row>
    <row r="69" spans="1:18" s="1384" customFormat="1" ht="13.5" thickBot="1">
      <c r="A69" s="951"/>
      <c r="B69" s="952"/>
      <c r="C69" s="306"/>
      <c r="D69" s="970" t="s">
        <v>762</v>
      </c>
      <c r="E69" s="950" t="s">
        <v>763</v>
      </c>
      <c r="F69" s="333">
        <f ca="1">F41</f>
        <v>39.57</v>
      </c>
      <c r="O69" s="1428" t="s">
        <v>411</v>
      </c>
      <c r="P69" s="1467" t="s">
        <v>872</v>
      </c>
      <c r="Q69" s="1420">
        <f ca="1">C39</f>
        <v>150</v>
      </c>
      <c r="R69" s="1420" t="s">
        <v>818</v>
      </c>
    </row>
    <row r="70" spans="1:18" s="1384" customFormat="1" ht="13.5" thickBot="1">
      <c r="A70" s="954"/>
      <c r="B70" s="955"/>
      <c r="C70" s="310"/>
      <c r="D70" s="966"/>
      <c r="E70" s="950" t="s">
        <v>766</v>
      </c>
      <c r="F70" s="1054"/>
      <c r="O70" s="1428" t="s">
        <v>412</v>
      </c>
      <c r="P70" s="1467" t="s">
        <v>873</v>
      </c>
      <c r="Q70" s="1420">
        <f ca="1">C13</f>
        <v>4122</v>
      </c>
      <c r="R70" s="1420" t="s">
        <v>818</v>
      </c>
    </row>
    <row r="71" spans="1:18" s="1384" customFormat="1" ht="13.5" thickBot="1">
      <c r="A71" s="971" t="s">
        <v>396</v>
      </c>
      <c r="B71" s="972" t="s">
        <v>776</v>
      </c>
      <c r="C71" s="336">
        <f ca="1">ROUND(C68*10000/F71,0)</f>
        <v>-713</v>
      </c>
      <c r="D71" s="973" t="s">
        <v>777</v>
      </c>
      <c r="E71" s="974" t="s">
        <v>778</v>
      </c>
      <c r="F71" s="339">
        <f ca="1">F43</f>
        <v>12794.5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289</v>
      </c>
      <c r="D75" s="1384"/>
      <c r="E75" s="1384"/>
      <c r="F75" s="1384"/>
      <c r="K75" s="1402"/>
      <c r="L75" s="1384"/>
      <c r="O75" s="1418" t="s">
        <v>409</v>
      </c>
      <c r="P75" s="1419" t="s">
        <v>838</v>
      </c>
      <c r="Q75" s="1420">
        <f ca="1">Q65+Q66</f>
        <v>3403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-0.92700000000000005</v>
      </c>
    </row>
    <row r="80" spans="1:18">
      <c r="B80" s="340" t="s">
        <v>800</v>
      </c>
      <c r="C80" s="274">
        <f ca="1">ROUND(C75/C39,3)</f>
        <v>1.927</v>
      </c>
    </row>
    <row r="81" spans="2:3">
      <c r="B81" s="270" t="s">
        <v>801</v>
      </c>
      <c r="C81" s="238"/>
    </row>
    <row r="82" spans="2:3">
      <c r="B82" s="273" t="s">
        <v>802</v>
      </c>
      <c r="C82" s="275">
        <f ca="1">1-C83</f>
        <v>-0.21100000000000008</v>
      </c>
    </row>
    <row r="83" spans="2:3">
      <c r="B83" s="273" t="s">
        <v>803</v>
      </c>
      <c r="C83" s="274">
        <f ca="1">ROUND(C13/C40,3)</f>
        <v>1.2110000000000001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1" t="s">
        <v>694</v>
      </c>
      <c r="C6" s="1074">
        <f ca="1">ROUND(F6*F8*F7*(1-F9),0)</f>
        <v>0</v>
      </c>
      <c r="D6" s="155" t="s">
        <v>2105</v>
      </c>
      <c r="E6" s="302" t="s">
        <v>696</v>
      </c>
      <c r="F6" s="303">
        <f ca="1">INDIRECT("'数据-取费表'!u"&amp;$G$1)</f>
        <v>0</v>
      </c>
      <c r="G6" s="1384"/>
      <c r="H6" s="1069" t="s">
        <v>398</v>
      </c>
      <c r="I6" s="3651" t="s">
        <v>694</v>
      </c>
      <c r="J6" s="301">
        <f ca="1">ROUND(M6*M8*M7*(1-M9),0)</f>
        <v>0</v>
      </c>
      <c r="K6" s="1376" t="s">
        <v>2106</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0</v>
      </c>
      <c r="G7" s="1384"/>
      <c r="H7" s="304"/>
      <c r="I7" s="3652"/>
      <c r="J7" s="306"/>
      <c r="K7" s="307"/>
      <c r="L7" s="302" t="s">
        <v>697</v>
      </c>
      <c r="M7" s="303">
        <f ca="1">F7</f>
        <v>0</v>
      </c>
    </row>
    <row r="8" spans="1:37" ht="18" customHeight="1">
      <c r="A8" s="304"/>
      <c r="B8" s="3652"/>
      <c r="C8" s="306"/>
      <c r="D8" s="307"/>
      <c r="E8" s="302" t="s">
        <v>698</v>
      </c>
      <c r="F8" s="303">
        <f ca="1">INDIRECT("'数据-取费表'!ai"&amp;$G$1)</f>
        <v>0</v>
      </c>
      <c r="G8" s="1384"/>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49" t="s">
        <v>837</v>
      </c>
      <c r="L53" s="365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3365</v>
      </c>
      <c r="E2" s="3444"/>
      <c r="F2" s="2846"/>
      <c r="G2" s="2847"/>
      <c r="H2" s="2848"/>
      <c r="I2" s="2849"/>
      <c r="J2" s="3654" t="s">
        <v>2319</v>
      </c>
      <c r="K2" s="3655"/>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6" t="s">
        <v>2329</v>
      </c>
      <c r="K3" s="3657"/>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6" t="s">
        <v>2331</v>
      </c>
      <c r="K4" s="3657"/>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8" t="s">
        <v>2335</v>
      </c>
      <c r="B6" s="3659"/>
      <c r="C6" s="3660"/>
      <c r="D6" s="2870"/>
      <c r="E6" s="2871"/>
      <c r="F6" s="2872"/>
      <c r="G6" s="2873"/>
      <c r="H6" s="2848"/>
      <c r="I6" s="2849"/>
      <c r="J6" s="3661">
        <v>1</v>
      </c>
      <c r="K6" s="3662"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61"/>
      <c r="K7" s="3663"/>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5" t="s">
        <v>2349</v>
      </c>
      <c r="C8" s="3666"/>
      <c r="D8" s="2889" t="s">
        <v>2350</v>
      </c>
      <c r="E8" s="2890" t="s">
        <v>2351</v>
      </c>
      <c r="F8" s="2891" t="s">
        <v>2352</v>
      </c>
      <c r="G8" s="2892"/>
      <c r="H8" s="2848"/>
      <c r="I8" s="2849"/>
      <c r="J8" s="3661"/>
      <c r="K8" s="3663"/>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5" t="s">
        <v>2355</v>
      </c>
      <c r="C9" s="3666"/>
      <c r="D9" s="2889">
        <f>ROUND(D6*E9,0)</f>
        <v>0</v>
      </c>
      <c r="E9" s="2893"/>
      <c r="F9" s="2894" t="s">
        <v>2356</v>
      </c>
      <c r="G9" s="2873"/>
      <c r="H9" s="2848"/>
      <c r="I9" s="2849"/>
      <c r="J9" s="3661"/>
      <c r="K9" s="3663"/>
      <c r="L9" s="2883" t="s">
        <v>2357</v>
      </c>
      <c r="M9" s="2884"/>
      <c r="N9" s="2860"/>
      <c r="O9" s="2885"/>
      <c r="P9" s="2885"/>
      <c r="Q9" s="2886">
        <v>365</v>
      </c>
      <c r="R9" s="2887">
        <f t="shared" si="0"/>
        <v>0</v>
      </c>
      <c r="S9" s="2841"/>
      <c r="T9" s="2841"/>
      <c r="U9" s="2841"/>
      <c r="V9" s="2849"/>
    </row>
    <row r="10" spans="1:22" s="2853" customFormat="1" ht="13.15" customHeight="1">
      <c r="A10" s="2888">
        <v>2</v>
      </c>
      <c r="B10" s="3665" t="s">
        <v>2358</v>
      </c>
      <c r="C10" s="3666"/>
      <c r="D10" s="2889">
        <f>ROUND(D6*E10,0)</f>
        <v>0</v>
      </c>
      <c r="E10" s="2893"/>
      <c r="F10" s="2894" t="s">
        <v>2359</v>
      </c>
      <c r="G10" s="2873"/>
      <c r="H10" s="2848"/>
      <c r="I10" s="2849"/>
      <c r="J10" s="3661"/>
      <c r="K10" s="3663"/>
      <c r="L10" s="2883" t="s">
        <v>2360</v>
      </c>
      <c r="M10" s="2884"/>
      <c r="N10" s="2860"/>
      <c r="O10" s="2885"/>
      <c r="P10" s="2885"/>
      <c r="Q10" s="2886">
        <v>365</v>
      </c>
      <c r="R10" s="2887">
        <f t="shared" si="0"/>
        <v>0</v>
      </c>
      <c r="S10" s="2841"/>
      <c r="T10" s="2841"/>
      <c r="U10" s="2841"/>
      <c r="V10" s="2849"/>
    </row>
    <row r="11" spans="1:22" s="2853" customFormat="1" ht="13.15" customHeight="1">
      <c r="A11" s="2888">
        <v>3</v>
      </c>
      <c r="B11" s="3665" t="s">
        <v>2361</v>
      </c>
      <c r="C11" s="3666"/>
      <c r="D11" s="2889">
        <f>D12+D14+D15+D16</f>
        <v>0</v>
      </c>
      <c r="E11" s="2895" t="e">
        <f>D11/D6</f>
        <v>#DIV/0!</v>
      </c>
      <c r="F11" s="2891"/>
      <c r="G11" s="2892"/>
      <c r="H11" s="2848"/>
      <c r="I11" s="2849"/>
      <c r="J11" s="3661"/>
      <c r="K11" s="3663"/>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7" t="s">
        <v>2364</v>
      </c>
      <c r="C12" s="3668"/>
      <c r="D12" s="2897">
        <f>ROUND(D13*1.2%*(1-30%),0)</f>
        <v>0</v>
      </c>
      <c r="E12" s="2898">
        <v>1.2E-2</v>
      </c>
      <c r="F12" s="2891" t="s">
        <v>2365</v>
      </c>
      <c r="G12" s="2892"/>
      <c r="H12" s="2848"/>
      <c r="I12" s="2849"/>
      <c r="J12" s="3661"/>
      <c r="K12" s="3663"/>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61"/>
      <c r="K13" s="3663"/>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7" t="s">
        <v>2370</v>
      </c>
      <c r="C14" s="3668"/>
      <c r="D14" s="2897">
        <f>ROUND(E14*B5/10000,0)</f>
        <v>0</v>
      </c>
      <c r="E14" s="2886"/>
      <c r="F14" s="2891" t="s">
        <v>2371</v>
      </c>
      <c r="G14" s="2892"/>
      <c r="H14" s="2848"/>
      <c r="I14" s="2849"/>
      <c r="J14" s="3661"/>
      <c r="K14" s="3664"/>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7" t="s">
        <v>2374</v>
      </c>
      <c r="C15" s="3668"/>
      <c r="D15" s="2897">
        <f>ROUND(D6*E15,0)</f>
        <v>0</v>
      </c>
      <c r="E15" s="2898">
        <v>5.5E-2</v>
      </c>
      <c r="F15" s="2891" t="s">
        <v>2375</v>
      </c>
      <c r="G15" s="2873"/>
      <c r="H15" s="2848"/>
      <c r="I15" s="2849"/>
      <c r="J15" s="3661">
        <v>2</v>
      </c>
      <c r="K15" s="3662"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7" t="s">
        <v>2383</v>
      </c>
      <c r="C16" s="3668"/>
      <c r="D16" s="2908">
        <f>D6*E16</f>
        <v>0</v>
      </c>
      <c r="E16" s="2909"/>
      <c r="F16" s="2894" t="s">
        <v>2384</v>
      </c>
      <c r="G16" s="2873"/>
      <c r="H16" s="2848"/>
      <c r="I16" s="2849"/>
      <c r="J16" s="3661"/>
      <c r="K16" s="3663"/>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9" t="s">
        <v>2386</v>
      </c>
      <c r="C17" s="3670"/>
      <c r="D17" s="2911">
        <f>ROUND(D6*E17,0)</f>
        <v>0</v>
      </c>
      <c r="E17" s="2912"/>
      <c r="F17" s="2913" t="s">
        <v>2387</v>
      </c>
      <c r="G17" s="2873"/>
      <c r="H17" s="2848"/>
      <c r="I17" s="2849"/>
      <c r="J17" s="3661"/>
      <c r="K17" s="3663"/>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61"/>
      <c r="K18" s="3663"/>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61"/>
      <c r="K19" s="3664"/>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1">
        <v>3</v>
      </c>
      <c r="K20" s="3662"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61"/>
      <c r="K21" s="3663"/>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61"/>
      <c r="K22" s="3663"/>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61"/>
      <c r="K23" s="3663"/>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61"/>
      <c r="K24" s="3664"/>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71">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7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4" t="s">
        <v>2319</v>
      </c>
      <c r="K32" s="3655"/>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6" t="s">
        <v>2329</v>
      </c>
      <c r="K33" s="3657"/>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6" t="s">
        <v>2331</v>
      </c>
      <c r="K34" s="365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61">
        <v>1</v>
      </c>
      <c r="K36" s="3662"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61"/>
      <c r="K37" s="3663"/>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1"/>
      <c r="K38" s="3663"/>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61"/>
      <c r="K39" s="3663"/>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61"/>
      <c r="K40" s="3664"/>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1">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7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72" sqref="Q7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3403</v>
      </c>
      <c r="C2" s="1872" t="s">
        <v>1651</v>
      </c>
      <c r="D2" s="1873" t="s">
        <v>1652</v>
      </c>
      <c r="E2" s="2607">
        <f>SUM(E6:E13)</f>
        <v>12794.5</v>
      </c>
      <c r="F2" s="2707"/>
      <c r="G2" s="1489"/>
      <c r="H2" s="1489"/>
      <c r="I2" s="1489"/>
      <c r="J2" s="1489"/>
      <c r="K2" s="1489"/>
      <c r="L2" s="1489"/>
      <c r="M2" s="1489"/>
      <c r="N2" s="1489"/>
      <c r="O2" s="1489"/>
      <c r="P2" s="1489"/>
      <c r="Q2" s="1489"/>
      <c r="R2" s="1489"/>
      <c r="S2" s="1489"/>
    </row>
    <row r="3" spans="1:22" ht="15.75">
      <c r="A3" s="1870" t="s">
        <v>686</v>
      </c>
      <c r="B3" s="2601">
        <f ca="1">ROUND(B2*10000/E2,0)</f>
        <v>2660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3" t="s">
        <v>1654</v>
      </c>
      <c r="C5" s="367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3403</v>
      </c>
      <c r="C6" s="1872" t="s">
        <v>1651</v>
      </c>
      <c r="D6" s="2709"/>
      <c r="E6" s="2606">
        <f>IF(OR(A6=0,F6="否"),0,'数据-取费表'!K6+'数据-取费表'!S6)</f>
        <v>12794.5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Q72" sqref="Q7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12794.5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5"/>
      <c r="M4" s="2716"/>
      <c r="N4" s="2716"/>
      <c r="O4" s="2716"/>
      <c r="P4" s="3697" t="s">
        <v>1672</v>
      </c>
      <c r="Q4" s="3698"/>
      <c r="R4" s="3680" t="s">
        <v>1668</v>
      </c>
      <c r="S4" s="3681"/>
      <c r="T4" s="3680" t="s">
        <v>1669</v>
      </c>
      <c r="U4" s="3681"/>
      <c r="V4" s="3705" t="s">
        <v>1670</v>
      </c>
      <c r="W4" s="3705"/>
      <c r="X4" s="1355"/>
      <c r="Y4" s="3680" t="s">
        <v>1672</v>
      </c>
      <c r="Z4" s="3681"/>
      <c r="AA4" s="3675" t="s">
        <v>1668</v>
      </c>
      <c r="AB4" s="3675" t="s">
        <v>1669</v>
      </c>
      <c r="AC4" s="3675" t="s">
        <v>1670</v>
      </c>
    </row>
    <row r="5" spans="1:29" ht="15">
      <c r="A5" s="358"/>
      <c r="B5" s="359"/>
      <c r="C5" s="3686" t="s">
        <v>1673</v>
      </c>
      <c r="D5" s="3687"/>
      <c r="E5" s="3684" t="s">
        <v>1674</v>
      </c>
      <c r="F5" s="3685"/>
      <c r="G5" s="3686" t="s">
        <v>1675</v>
      </c>
      <c r="H5" s="3687"/>
      <c r="I5" s="3686" t="s">
        <v>1676</v>
      </c>
      <c r="J5" s="3687"/>
      <c r="K5" s="1890"/>
      <c r="L5" s="2715"/>
      <c r="M5" s="2716"/>
      <c r="N5" s="2716"/>
      <c r="O5" s="2716"/>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1890" t="s">
        <v>1678</v>
      </c>
      <c r="L6" s="2715"/>
      <c r="M6" s="2716"/>
      <c r="N6" s="2716"/>
      <c r="O6" s="2716"/>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44986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8" t="s">
        <v>1680</v>
      </c>
      <c r="Q7" s="3706"/>
      <c r="R7" s="701" t="s">
        <v>20</v>
      </c>
      <c r="S7" s="702">
        <f t="shared" ref="S7:S15" si="0">F7</f>
        <v>0</v>
      </c>
      <c r="T7" s="701" t="s">
        <v>20</v>
      </c>
      <c r="U7" s="702">
        <f t="shared" ref="U7:U15" si="1">H7</f>
        <v>0</v>
      </c>
      <c r="V7" s="701" t="s">
        <v>20</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8" t="s">
        <v>1683</v>
      </c>
      <c r="Q8" s="3679"/>
      <c r="R8" s="701" t="s">
        <v>20</v>
      </c>
      <c r="S8" s="702">
        <f t="shared" si="0"/>
        <v>100</v>
      </c>
      <c r="T8" s="701" t="s">
        <v>20</v>
      </c>
      <c r="U8" s="702">
        <f t="shared" si="1"/>
        <v>100</v>
      </c>
      <c r="V8" s="701" t="s">
        <v>20</v>
      </c>
      <c r="W8" s="702">
        <f t="shared" si="2"/>
        <v>100</v>
      </c>
      <c r="X8" s="703"/>
      <c r="Y8" s="3678" t="s">
        <v>1683</v>
      </c>
      <c r="Z8" s="367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2"/>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2"/>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2"/>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2"/>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0"/>
      <c r="Q16" s="1352"/>
      <c r="R16" s="705"/>
      <c r="S16" s="706"/>
      <c r="T16" s="705"/>
      <c r="U16" s="706"/>
      <c r="V16" s="705"/>
      <c r="W16" s="706"/>
      <c r="X16" s="1355"/>
      <c r="Y16" s="371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0"/>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0"/>
      <c r="Q18" s="1352"/>
      <c r="R18" s="705"/>
      <c r="S18" s="706"/>
      <c r="T18" s="705"/>
      <c r="U18" s="706"/>
      <c r="V18" s="705"/>
      <c r="W18" s="706"/>
      <c r="X18" s="1355"/>
      <c r="Y18" s="371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0"/>
      <c r="Q20" s="1352"/>
      <c r="R20" s="705"/>
      <c r="S20" s="706"/>
      <c r="T20" s="705"/>
      <c r="U20" s="706"/>
      <c r="V20" s="705"/>
      <c r="W20" s="706"/>
      <c r="X20" s="1355"/>
      <c r="Y20" s="371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0"/>
      <c r="Q22" s="1352"/>
      <c r="R22" s="705"/>
      <c r="S22" s="706"/>
      <c r="T22" s="705"/>
      <c r="U22" s="706"/>
      <c r="V22" s="705"/>
      <c r="W22" s="706"/>
      <c r="X22" s="1355"/>
      <c r="Y22" s="371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0"/>
      <c r="Q24" s="1352"/>
      <c r="R24" s="705"/>
      <c r="S24" s="706"/>
      <c r="T24" s="705"/>
      <c r="U24" s="706"/>
      <c r="V24" s="705"/>
      <c r="W24" s="706"/>
      <c r="X24" s="1355"/>
      <c r="Y24" s="371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0"/>
      <c r="Q26" s="1352" t="str">
        <f t="shared" si="11"/>
        <v>朝向</v>
      </c>
      <c r="R26" s="705" t="s">
        <v>18</v>
      </c>
      <c r="S26" s="706">
        <f t="shared" si="12"/>
        <v>100</v>
      </c>
      <c r="T26" s="705" t="s">
        <v>18</v>
      </c>
      <c r="U26" s="706">
        <f t="shared" si="13"/>
        <v>100</v>
      </c>
      <c r="V26" s="705" t="s">
        <v>18</v>
      </c>
      <c r="W26" s="706">
        <f t="shared" si="14"/>
        <v>100</v>
      </c>
      <c r="X26" s="1355"/>
      <c r="Y26" s="37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0"/>
      <c r="Q27" s="1343">
        <f t="shared" si="11"/>
        <v>111</v>
      </c>
      <c r="R27" s="701" t="s">
        <v>18</v>
      </c>
      <c r="S27" s="702">
        <f t="shared" si="12"/>
        <v>100</v>
      </c>
      <c r="T27" s="701" t="s">
        <v>18</v>
      </c>
      <c r="U27" s="702">
        <f t="shared" si="13"/>
        <v>100</v>
      </c>
      <c r="V27" s="701" t="s">
        <v>18</v>
      </c>
      <c r="W27" s="702">
        <f t="shared" si="14"/>
        <v>100</v>
      </c>
      <c r="X27" s="703"/>
      <c r="Y27" s="37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4" t="s">
        <v>1696</v>
      </c>
      <c r="Q32" s="1352" t="str">
        <f t="shared" si="11"/>
        <v>建筑类型</v>
      </c>
      <c r="R32" s="705" t="s">
        <v>18</v>
      </c>
      <c r="S32" s="706">
        <f t="shared" si="12"/>
        <v>100</v>
      </c>
      <c r="T32" s="705" t="s">
        <v>18</v>
      </c>
      <c r="U32" s="706">
        <f t="shared" si="13"/>
        <v>100</v>
      </c>
      <c r="V32" s="705" t="s">
        <v>18</v>
      </c>
      <c r="W32" s="706">
        <f t="shared" si="14"/>
        <v>100</v>
      </c>
      <c r="X32" s="1355"/>
      <c r="Y32" s="371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5"/>
      <c r="Q37" s="1343"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5"/>
      <c r="Q44" s="134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0" t="str">
        <f>A47</f>
        <v>成交单价（元/平方米）</v>
      </c>
      <c r="Q47" s="3710"/>
      <c r="R47" s="3711">
        <f>E47</f>
        <v>0</v>
      </c>
      <c r="S47" s="3711"/>
      <c r="T47" s="3711">
        <f>G47</f>
        <v>0</v>
      </c>
      <c r="U47" s="3711"/>
      <c r="V47" s="3711">
        <f>I47</f>
        <v>0</v>
      </c>
      <c r="W47" s="3711"/>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12794.5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680" t="s">
        <v>1771</v>
      </c>
      <c r="S4" s="3681"/>
      <c r="T4" s="3680" t="s">
        <v>1772</v>
      </c>
      <c r="U4" s="3681"/>
      <c r="V4" s="3705" t="s">
        <v>1773</v>
      </c>
      <c r="W4" s="3705"/>
      <c r="X4" s="1355"/>
      <c r="Y4" s="3680" t="s">
        <v>1775</v>
      </c>
      <c r="Z4" s="3681"/>
      <c r="AA4" s="3675" t="s">
        <v>1771</v>
      </c>
      <c r="AB4" s="3705" t="s">
        <v>1772</v>
      </c>
      <c r="AC4" s="3675" t="s">
        <v>1773</v>
      </c>
    </row>
    <row r="5" spans="1:29" ht="15">
      <c r="A5" s="358"/>
      <c r="B5" s="359"/>
      <c r="C5" s="3686" t="s">
        <v>1673</v>
      </c>
      <c r="D5" s="3687"/>
      <c r="E5" s="3684" t="s">
        <v>1674</v>
      </c>
      <c r="F5" s="3685"/>
      <c r="G5" s="3686" t="s">
        <v>1675</v>
      </c>
      <c r="H5" s="3687"/>
      <c r="I5" s="3686" t="s">
        <v>1676</v>
      </c>
      <c r="J5" s="3687"/>
      <c r="K5" s="559"/>
      <c r="L5" s="2715"/>
      <c r="M5" s="2716"/>
      <c r="N5" s="2716"/>
      <c r="O5" s="2716"/>
      <c r="P5" s="3699"/>
      <c r="Q5" s="3700"/>
      <c r="R5" s="3682"/>
      <c r="S5" s="3683"/>
      <c r="T5" s="3682"/>
      <c r="U5" s="3683"/>
      <c r="V5" s="3705"/>
      <c r="W5" s="3705"/>
      <c r="X5" s="1355"/>
      <c r="Y5" s="3682"/>
      <c r="Z5" s="3683"/>
      <c r="AA5" s="3676"/>
      <c r="AB5" s="3705"/>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01"/>
      <c r="Q6" s="3702"/>
      <c r="R6" s="3682"/>
      <c r="S6" s="3683"/>
      <c r="T6" s="3703"/>
      <c r="U6" s="3704"/>
      <c r="V6" s="3705"/>
      <c r="W6" s="3705"/>
      <c r="X6" s="1355"/>
      <c r="Y6" s="3703"/>
      <c r="Z6" s="3704"/>
      <c r="AA6" s="3677"/>
      <c r="AB6" s="3705"/>
      <c r="AC6" s="3677"/>
    </row>
    <row r="7" spans="1:29" s="108" customFormat="1" ht="15.75" thickBot="1">
      <c r="A7" s="362" t="s">
        <v>1679</v>
      </c>
      <c r="B7" s="363"/>
      <c r="C7" s="364">
        <f>'数据-取费表'!B2</f>
        <v>44986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2"/>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0"/>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0"/>
      <c r="Q18" s="1352"/>
      <c r="R18" s="705"/>
      <c r="S18" s="706"/>
      <c r="T18" s="705"/>
      <c r="U18" s="706"/>
      <c r="V18" s="705"/>
      <c r="W18" s="706"/>
      <c r="X18" s="1355"/>
      <c r="Y18" s="371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0"/>
      <c r="Q20" s="1352"/>
      <c r="R20" s="705"/>
      <c r="S20" s="706"/>
      <c r="T20" s="705"/>
      <c r="U20" s="706"/>
      <c r="V20" s="705"/>
      <c r="W20" s="706"/>
      <c r="X20" s="1355"/>
      <c r="Y20" s="371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0"/>
      <c r="Q22" s="1352"/>
      <c r="R22" s="705"/>
      <c r="S22" s="706"/>
      <c r="T22" s="705"/>
      <c r="U22" s="706"/>
      <c r="V22" s="705"/>
      <c r="W22" s="706"/>
      <c r="X22" s="1355"/>
      <c r="Y22" s="371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0"/>
      <c r="Q24" s="1352"/>
      <c r="R24" s="705"/>
      <c r="S24" s="706"/>
      <c r="T24" s="705"/>
      <c r="U24" s="706"/>
      <c r="V24" s="705"/>
      <c r="W24" s="706"/>
      <c r="X24" s="1355"/>
      <c r="Y24" s="371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0" t="str">
        <f>A47</f>
        <v>成交单价（元/平方米）</v>
      </c>
      <c r="Q47" s="3710"/>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12794.5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727" t="s">
        <v>1775</v>
      </c>
      <c r="Q4" s="3728"/>
      <c r="R4" s="3722" t="s">
        <v>1771</v>
      </c>
      <c r="S4" s="3723"/>
      <c r="T4" s="3722" t="s">
        <v>1772</v>
      </c>
      <c r="U4" s="3723"/>
      <c r="V4" s="3731" t="s">
        <v>1773</v>
      </c>
      <c r="W4" s="3731"/>
      <c r="X4" s="1958"/>
      <c r="Y4" s="3722" t="s">
        <v>1775</v>
      </c>
      <c r="Z4" s="3723"/>
      <c r="AA4" s="3721" t="s">
        <v>1771</v>
      </c>
      <c r="AB4" s="3721" t="s">
        <v>1772</v>
      </c>
      <c r="AC4" s="3724" t="s">
        <v>1773</v>
      </c>
    </row>
    <row r="5" spans="1:29" ht="15">
      <c r="A5" s="358"/>
      <c r="B5" s="359"/>
      <c r="C5" s="3686" t="s">
        <v>1673</v>
      </c>
      <c r="D5" s="3687"/>
      <c r="E5" s="3684" t="s">
        <v>1674</v>
      </c>
      <c r="F5" s="3685"/>
      <c r="G5" s="3686" t="s">
        <v>1675</v>
      </c>
      <c r="H5" s="3687"/>
      <c r="I5" s="3686" t="s">
        <v>1676</v>
      </c>
      <c r="J5" s="3687"/>
      <c r="K5" s="559"/>
      <c r="L5" s="2715"/>
      <c r="M5" s="2716"/>
      <c r="N5" s="2716"/>
      <c r="O5" s="2716"/>
      <c r="P5" s="3729"/>
      <c r="Q5" s="3700"/>
      <c r="R5" s="3682"/>
      <c r="S5" s="3683"/>
      <c r="T5" s="3682"/>
      <c r="U5" s="3683"/>
      <c r="V5" s="3705"/>
      <c r="W5" s="3705"/>
      <c r="X5" s="1355"/>
      <c r="Y5" s="3682"/>
      <c r="Z5" s="3683"/>
      <c r="AA5" s="3676"/>
      <c r="AB5" s="3676"/>
      <c r="AC5" s="3725"/>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30"/>
      <c r="Q6" s="3702"/>
      <c r="R6" s="3682"/>
      <c r="S6" s="3683"/>
      <c r="T6" s="3703"/>
      <c r="U6" s="3704"/>
      <c r="V6" s="3705"/>
      <c r="W6" s="3705"/>
      <c r="X6" s="1355"/>
      <c r="Y6" s="3703"/>
      <c r="Z6" s="3704"/>
      <c r="AA6" s="3677"/>
      <c r="AB6" s="3677"/>
      <c r="AC6" s="3726"/>
    </row>
    <row r="7" spans="1:29" s="108" customFormat="1" ht="15.75" thickBot="1">
      <c r="A7" s="362" t="s">
        <v>1679</v>
      </c>
      <c r="B7" s="363"/>
      <c r="C7" s="364">
        <f>'数据-取费表'!B2</f>
        <v>44986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2"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2" t="s">
        <v>1683</v>
      </c>
      <c r="Q8" s="3679"/>
      <c r="R8" s="701" t="s">
        <v>14</v>
      </c>
      <c r="S8" s="702">
        <f t="shared" si="0"/>
        <v>100</v>
      </c>
      <c r="T8" s="701" t="s">
        <v>14</v>
      </c>
      <c r="U8" s="702">
        <f t="shared" si="1"/>
        <v>100</v>
      </c>
      <c r="V8" s="701" t="s">
        <v>14</v>
      </c>
      <c r="W8" s="702">
        <f t="shared" si="2"/>
        <v>100</v>
      </c>
      <c r="X8" s="703"/>
      <c r="Y8" s="3678" t="s">
        <v>1683</v>
      </c>
      <c r="Z8" s="367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2"/>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9" t="s">
        <v>1691</v>
      </c>
      <c r="Q15" s="1352" t="str">
        <f t="shared" si="6"/>
        <v>办公集聚程度</v>
      </c>
      <c r="R15" s="705" t="s">
        <v>14</v>
      </c>
      <c r="S15" s="706">
        <f t="shared" si="0"/>
        <v>100</v>
      </c>
      <c r="T15" s="705" t="s">
        <v>14</v>
      </c>
      <c r="U15" s="706">
        <f t="shared" si="1"/>
        <v>100</v>
      </c>
      <c r="V15" s="705" t="s">
        <v>14</v>
      </c>
      <c r="W15" s="706">
        <f t="shared" si="2"/>
        <v>100</v>
      </c>
      <c r="X15" s="1355"/>
      <c r="Y15" s="371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0"/>
      <c r="Q16" s="1352"/>
      <c r="R16" s="705"/>
      <c r="S16" s="706"/>
      <c r="T16" s="705"/>
      <c r="U16" s="706"/>
      <c r="V16" s="705"/>
      <c r="W16" s="706"/>
      <c r="X16" s="1355"/>
      <c r="Y16" s="371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0"/>
      <c r="Q18" s="1352"/>
      <c r="R18" s="705"/>
      <c r="S18" s="706"/>
      <c r="T18" s="705"/>
      <c r="U18" s="706"/>
      <c r="V18" s="705"/>
      <c r="W18" s="706"/>
      <c r="X18" s="1355"/>
      <c r="Y18" s="371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0"/>
      <c r="Q20" s="1352"/>
      <c r="R20" s="705"/>
      <c r="S20" s="706"/>
      <c r="T20" s="705"/>
      <c r="U20" s="706"/>
      <c r="V20" s="705"/>
      <c r="W20" s="706"/>
      <c r="X20" s="1355"/>
      <c r="Y20" s="371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0"/>
      <c r="Q22" s="1352"/>
      <c r="R22" s="705"/>
      <c r="S22" s="706"/>
      <c r="T22" s="705"/>
      <c r="U22" s="706"/>
      <c r="V22" s="705"/>
      <c r="W22" s="706"/>
      <c r="X22" s="1355"/>
      <c r="Y22" s="371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0"/>
      <c r="Q24" s="1352"/>
      <c r="R24" s="705"/>
      <c r="S24" s="706"/>
      <c r="T24" s="705"/>
      <c r="U24" s="706"/>
      <c r="V24" s="705"/>
      <c r="W24" s="706"/>
      <c r="X24" s="1355"/>
      <c r="Y24" s="371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0"/>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0"/>
      <c r="Q26" s="1352"/>
      <c r="R26" s="705"/>
      <c r="S26" s="706"/>
      <c r="T26" s="705"/>
      <c r="U26" s="706"/>
      <c r="V26" s="705"/>
      <c r="W26" s="706"/>
      <c r="X26" s="1355"/>
      <c r="Y26" s="371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0"/>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0"/>
      <c r="Q28" s="1343" t="str">
        <f t="shared" si="11"/>
        <v>朝向</v>
      </c>
      <c r="R28" s="701" t="s">
        <v>14</v>
      </c>
      <c r="S28" s="702">
        <f>F28</f>
        <v>100</v>
      </c>
      <c r="T28" s="701" t="s">
        <v>14</v>
      </c>
      <c r="U28" s="702">
        <f>H28</f>
        <v>100</v>
      </c>
      <c r="V28" s="701" t="s">
        <v>14</v>
      </c>
      <c r="W28" s="702">
        <f>J28</f>
        <v>100</v>
      </c>
      <c r="X28" s="703"/>
      <c r="Y28" s="371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71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0"/>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4" t="s">
        <v>1696</v>
      </c>
      <c r="Q33" s="1352" t="str">
        <f t="shared" si="11"/>
        <v>建筑类型</v>
      </c>
      <c r="R33" s="705" t="s">
        <v>14</v>
      </c>
      <c r="S33" s="706">
        <f t="shared" si="12"/>
        <v>100</v>
      </c>
      <c r="T33" s="705" t="s">
        <v>14</v>
      </c>
      <c r="U33" s="706">
        <f t="shared" si="13"/>
        <v>100</v>
      </c>
      <c r="V33" s="705" t="s">
        <v>14</v>
      </c>
      <c r="W33" s="706">
        <f t="shared" si="14"/>
        <v>100</v>
      </c>
      <c r="X33" s="1355"/>
      <c r="Y33" s="371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5"/>
      <c r="Q37" s="1352" t="str">
        <f t="shared" si="11"/>
        <v>成新度</v>
      </c>
      <c r="R37" s="705" t="s">
        <v>14</v>
      </c>
      <c r="S37" s="706" t="e">
        <f t="shared" si="12"/>
        <v>#N/A</v>
      </c>
      <c r="T37" s="705" t="s">
        <v>14</v>
      </c>
      <c r="U37" s="706" t="e">
        <f t="shared" si="13"/>
        <v>#N/A</v>
      </c>
      <c r="V37" s="705" t="s">
        <v>14</v>
      </c>
      <c r="W37" s="706" t="e">
        <f t="shared" si="14"/>
        <v>#N/A</v>
      </c>
      <c r="X37" s="1355"/>
      <c r="Y37" s="371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5" t="s">
        <v>1696</v>
      </c>
      <c r="Q39" s="1352" t="str">
        <f t="shared" si="11"/>
        <v>物业管理</v>
      </c>
      <c r="R39" s="705" t="s">
        <v>14</v>
      </c>
      <c r="S39" s="706">
        <f t="shared" si="12"/>
        <v>100</v>
      </c>
      <c r="T39" s="705" t="s">
        <v>14</v>
      </c>
      <c r="U39" s="706">
        <f t="shared" si="13"/>
        <v>100</v>
      </c>
      <c r="V39" s="705" t="s">
        <v>14</v>
      </c>
      <c r="W39" s="706">
        <f t="shared" si="14"/>
        <v>100</v>
      </c>
      <c r="X39" s="1355"/>
      <c r="Y39" s="371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2" t="str">
        <f>A48</f>
        <v>成交单价（元/平方米）</v>
      </c>
      <c r="Q48" s="3710"/>
      <c r="R48" s="3711">
        <f>E48</f>
        <v>0</v>
      </c>
      <c r="S48" s="3711"/>
      <c r="T48" s="3711">
        <f>G48</f>
        <v>0</v>
      </c>
      <c r="U48" s="3711"/>
      <c r="V48" s="3711">
        <f>I48</f>
        <v>0</v>
      </c>
      <c r="W48" s="3711"/>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92"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估价对象为房地产，为所有。根据《国有土地使用证》[]，估价对象（分摊）出让国有建设用地使用权面积为26500平方米，建筑面积为12794.5平方米。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估价对象为房地产,属开发建设的，该项目尚在开发建设中。根据《国有土地使用证》[]，估价对象（分摊）出让国有建设用地使用权面积为26500平方米，规划建筑面积为12794.5平方米。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12794.5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913"/>
      <c r="M5" s="914"/>
      <c r="N5" s="914"/>
      <c r="O5" s="914"/>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913"/>
      <c r="M6" s="914"/>
      <c r="N6" s="914"/>
      <c r="O6" s="914"/>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44986</v>
      </c>
      <c r="D7" s="365">
        <v>100</v>
      </c>
      <c r="E7" s="366"/>
      <c r="F7" s="367">
        <f>SUMIF(52:52,YEAR(E7)&amp;"-"&amp;MONTH(E7),53:53)</f>
        <v>0</v>
      </c>
      <c r="G7" s="366"/>
      <c r="H7" s="365">
        <f>SUMIF(52:52,YEAR(G7)&amp;"-"&amp;MONTH(G7),53:53)</f>
        <v>0</v>
      </c>
      <c r="I7" s="366"/>
      <c r="J7" s="365">
        <f>SUMIF(52:52,YEAR(I7)&amp;"-"&amp;MONTH(I7),53:53)</f>
        <v>0</v>
      </c>
      <c r="K7" s="560"/>
      <c r="L7" s="915"/>
      <c r="M7" s="916"/>
      <c r="N7" s="916"/>
      <c r="O7" s="916"/>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8" t="s">
        <v>1683</v>
      </c>
      <c r="Q8" s="3679"/>
      <c r="R8" s="701" t="s">
        <v>14</v>
      </c>
      <c r="S8" s="702">
        <f t="shared" si="0"/>
        <v>100</v>
      </c>
      <c r="T8" s="701" t="s">
        <v>14</v>
      </c>
      <c r="U8" s="702">
        <f t="shared" si="1"/>
        <v>100</v>
      </c>
      <c r="V8" s="701" t="s">
        <v>14</v>
      </c>
      <c r="W8" s="702">
        <f t="shared" si="2"/>
        <v>100</v>
      </c>
      <c r="X8" s="703"/>
      <c r="Y8" s="3678" t="s">
        <v>1683</v>
      </c>
      <c r="Z8" s="367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5"/>
      <c r="M5" s="2716"/>
      <c r="N5" s="2716"/>
      <c r="O5" s="2716"/>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44986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8" t="s">
        <v>1680</v>
      </c>
      <c r="Q7" s="3706"/>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0"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0"/>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3"/>
      <c r="Q15" s="1352"/>
      <c r="R15" s="705"/>
      <c r="S15" s="706"/>
      <c r="T15" s="705"/>
      <c r="U15" s="706"/>
      <c r="V15" s="705"/>
      <c r="W15" s="706"/>
      <c r="X15" s="1355"/>
      <c r="Y15" s="371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3"/>
      <c r="Q17" s="1352"/>
      <c r="R17" s="705"/>
      <c r="S17" s="706"/>
      <c r="T17" s="705"/>
      <c r="U17" s="706"/>
      <c r="V17" s="705"/>
      <c r="W17" s="706"/>
      <c r="X17" s="1355"/>
      <c r="Y17" s="371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3"/>
      <c r="Q19" s="1352"/>
      <c r="R19" s="705"/>
      <c r="S19" s="706"/>
      <c r="T19" s="705"/>
      <c r="U19" s="706"/>
      <c r="V19" s="705"/>
      <c r="W19" s="706"/>
      <c r="X19" s="1355"/>
      <c r="Y19" s="371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3"/>
      <c r="Q21" s="1352"/>
      <c r="R21" s="705"/>
      <c r="S21" s="706"/>
      <c r="T21" s="705"/>
      <c r="U21" s="706"/>
      <c r="V21" s="705"/>
      <c r="W21" s="706"/>
      <c r="X21" s="1355"/>
      <c r="Y21" s="371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7" t="str">
        <f>A39</f>
        <v>估价对象XX用房的比较价值（楼面单价，元/平方米）</v>
      </c>
      <c r="Q39" s="3708"/>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5"/>
      <c r="M5" s="2716"/>
      <c r="N5" s="2716"/>
      <c r="O5" s="2716"/>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44986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8" t="s">
        <v>1680</v>
      </c>
      <c r="Q7" s="3706"/>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0"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0"/>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0"/>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3"/>
      <c r="Q15" s="1352"/>
      <c r="R15" s="705"/>
      <c r="S15" s="706"/>
      <c r="T15" s="705"/>
      <c r="U15" s="706"/>
      <c r="V15" s="705"/>
      <c r="W15" s="706"/>
      <c r="X15" s="1355"/>
      <c r="Y15" s="371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3"/>
      <c r="Q17" s="1352"/>
      <c r="R17" s="705"/>
      <c r="S17" s="706"/>
      <c r="T17" s="705"/>
      <c r="U17" s="706"/>
      <c r="V17" s="705"/>
      <c r="W17" s="706"/>
      <c r="X17" s="1355"/>
      <c r="Y17" s="371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3"/>
      <c r="Q19" s="1352"/>
      <c r="R19" s="705"/>
      <c r="S19" s="706"/>
      <c r="T19" s="705"/>
      <c r="U19" s="706"/>
      <c r="V19" s="705"/>
      <c r="W19" s="706"/>
      <c r="X19" s="1355"/>
      <c r="Y19" s="371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3"/>
      <c r="Q21" s="1352"/>
      <c r="R21" s="705"/>
      <c r="S21" s="706"/>
      <c r="T21" s="705"/>
      <c r="U21" s="706"/>
      <c r="V21" s="705"/>
      <c r="W21" s="706"/>
      <c r="X21" s="1355"/>
      <c r="Y21" s="371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7" t="str">
        <f>A37</f>
        <v>估价对象XX用房的比较价值（楼面单价，元/平方米）</v>
      </c>
      <c r="Q37" s="3708"/>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30" ht="15">
      <c r="A5" s="358"/>
      <c r="B5" s="359"/>
      <c r="C5" s="3686" t="s">
        <v>1673</v>
      </c>
      <c r="D5" s="3687"/>
      <c r="E5" s="3684" t="s">
        <v>1674</v>
      </c>
      <c r="F5" s="3685"/>
      <c r="G5" s="3686" t="s">
        <v>1675</v>
      </c>
      <c r="H5" s="3687"/>
      <c r="I5" s="3686" t="s">
        <v>1676</v>
      </c>
      <c r="J5" s="3687"/>
      <c r="K5" s="559"/>
      <c r="L5" s="2715"/>
      <c r="M5" s="2716"/>
      <c r="N5" s="2716"/>
      <c r="O5" s="2716"/>
      <c r="P5" s="3699"/>
      <c r="Q5" s="3700"/>
      <c r="R5" s="3682"/>
      <c r="S5" s="3683"/>
      <c r="T5" s="3682"/>
      <c r="U5" s="3683"/>
      <c r="V5" s="3705"/>
      <c r="W5" s="3705"/>
      <c r="X5" s="1355"/>
      <c r="Y5" s="3682"/>
      <c r="Z5" s="3683"/>
      <c r="AA5" s="3676"/>
      <c r="AB5" s="3676"/>
      <c r="AC5" s="3676"/>
    </row>
    <row r="6" spans="1:30" ht="15.75" thickBot="1">
      <c r="A6" s="360"/>
      <c r="B6" s="361"/>
      <c r="C6" s="3688" t="s">
        <v>1677</v>
      </c>
      <c r="D6" s="3689"/>
      <c r="E6" s="3690" t="s">
        <v>1677</v>
      </c>
      <c r="F6" s="3691"/>
      <c r="G6" s="3688" t="s">
        <v>1677</v>
      </c>
      <c r="H6" s="3689"/>
      <c r="I6" s="3688" t="s">
        <v>1677</v>
      </c>
      <c r="J6" s="3689"/>
      <c r="K6" s="559" t="s">
        <v>1678</v>
      </c>
      <c r="L6" s="2715"/>
      <c r="M6" s="2716"/>
      <c r="N6" s="2716"/>
      <c r="O6" s="2716"/>
      <c r="P6" s="3701"/>
      <c r="Q6" s="3702"/>
      <c r="R6" s="3682"/>
      <c r="S6" s="3683"/>
      <c r="T6" s="3703"/>
      <c r="U6" s="3704"/>
      <c r="V6" s="3705"/>
      <c r="W6" s="3705"/>
      <c r="X6" s="1355"/>
      <c r="Y6" s="3703"/>
      <c r="Z6" s="3704"/>
      <c r="AA6" s="3677"/>
      <c r="AB6" s="3677"/>
      <c r="AC6" s="3677"/>
    </row>
    <row r="7" spans="1:30" s="108" customFormat="1" ht="15.75" thickBot="1">
      <c r="A7" s="362" t="s">
        <v>1679</v>
      </c>
      <c r="B7" s="363"/>
      <c r="C7" s="364">
        <f>'数据-取费表'!B2</f>
        <v>44986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8" t="s">
        <v>1683</v>
      </c>
      <c r="Q8" s="3679"/>
      <c r="R8" s="701" t="s">
        <v>14</v>
      </c>
      <c r="S8" s="702">
        <f t="shared" si="0"/>
        <v>0</v>
      </c>
      <c r="T8" s="701" t="s">
        <v>14</v>
      </c>
      <c r="U8" s="702">
        <f t="shared" si="1"/>
        <v>0</v>
      </c>
      <c r="V8" s="701" t="s">
        <v>14</v>
      </c>
      <c r="W8" s="702">
        <f t="shared" si="2"/>
        <v>0</v>
      </c>
      <c r="X8" s="703"/>
      <c r="Y8" s="3678" t="s">
        <v>1683</v>
      </c>
      <c r="Z8" s="367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710"/>
      <c r="Q10" s="1343" t="str">
        <f t="shared" si="6"/>
        <v>土地使用年限（年）</v>
      </c>
      <c r="R10" s="701" t="s">
        <v>14</v>
      </c>
      <c r="S10" s="702">
        <f t="shared" si="0"/>
        <v>107</v>
      </c>
      <c r="T10" s="701" t="s">
        <v>14</v>
      </c>
      <c r="U10" s="702">
        <f t="shared" si="1"/>
        <v>107</v>
      </c>
      <c r="V10" s="701" t="s">
        <v>14</v>
      </c>
      <c r="W10" s="702">
        <f t="shared" si="2"/>
        <v>107</v>
      </c>
      <c r="X10" s="703"/>
      <c r="Y10" s="3622"/>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0"/>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3"/>
      <c r="Q16" s="1352"/>
      <c r="R16" s="705"/>
      <c r="S16" s="706"/>
      <c r="T16" s="705"/>
      <c r="U16" s="706"/>
      <c r="V16" s="705"/>
      <c r="W16" s="706"/>
      <c r="X16" s="1355"/>
      <c r="Y16" s="371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3"/>
      <c r="Q18" s="1352"/>
      <c r="R18" s="705"/>
      <c r="S18" s="706"/>
      <c r="T18" s="705"/>
      <c r="U18" s="706"/>
      <c r="V18" s="705"/>
      <c r="W18" s="706"/>
      <c r="X18" s="1355"/>
      <c r="Y18" s="371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3"/>
      <c r="Q20" s="1352"/>
      <c r="R20" s="705"/>
      <c r="S20" s="706"/>
      <c r="T20" s="705"/>
      <c r="U20" s="706"/>
      <c r="V20" s="705"/>
      <c r="W20" s="706"/>
      <c r="X20" s="1355"/>
      <c r="Y20" s="371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3"/>
      <c r="Q22" s="1352"/>
      <c r="R22" s="705"/>
      <c r="S22" s="706"/>
      <c r="T22" s="705"/>
      <c r="U22" s="706"/>
      <c r="V22" s="705"/>
      <c r="W22" s="706"/>
      <c r="X22" s="1355"/>
      <c r="Y22" s="371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3"/>
      <c r="Q24" s="1352"/>
      <c r="R24" s="705"/>
      <c r="S24" s="706"/>
      <c r="T24" s="705"/>
      <c r="U24" s="706"/>
      <c r="V24" s="705"/>
      <c r="W24" s="706"/>
      <c r="X24" s="1355"/>
      <c r="Y24" s="371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3"/>
      <c r="Q26" s="1352"/>
      <c r="R26" s="705"/>
      <c r="S26" s="706"/>
      <c r="T26" s="705"/>
      <c r="U26" s="706"/>
      <c r="V26" s="705"/>
      <c r="W26" s="706"/>
      <c r="X26" s="1355"/>
      <c r="Y26" s="371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3"/>
      <c r="Q28" s="1343"/>
      <c r="R28" s="701"/>
      <c r="S28" s="702"/>
      <c r="T28" s="701"/>
      <c r="U28" s="702"/>
      <c r="V28" s="701"/>
      <c r="W28" s="702"/>
      <c r="X28" s="703"/>
      <c r="Y28" s="371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3"/>
      <c r="Q30" s="1343"/>
      <c r="R30" s="701"/>
      <c r="S30" s="702"/>
      <c r="T30" s="701"/>
      <c r="U30" s="702"/>
      <c r="V30" s="701"/>
      <c r="W30" s="702"/>
      <c r="X30" s="703"/>
      <c r="Y30" s="371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3"/>
      <c r="Q33" s="1352"/>
      <c r="R33" s="705"/>
      <c r="S33" s="706"/>
      <c r="T33" s="705"/>
      <c r="U33" s="706"/>
      <c r="V33" s="705"/>
      <c r="W33" s="706"/>
      <c r="X33" s="1355"/>
      <c r="Y33" s="371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6"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0" t="str">
        <f>A46</f>
        <v>成交单价</v>
      </c>
      <c r="Q46" s="3710"/>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10" t="str">
        <f>A47</f>
        <v>比较价值（元/平方米）</v>
      </c>
      <c r="Q47" s="3710"/>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7" t="str">
        <f>A48</f>
        <v>估价对象XX用房的比较价值（楼面单价，元/平方米）</v>
      </c>
      <c r="Q48" s="3708"/>
      <c r="R48" s="3739" t="e">
        <f>ROUND(IF(D47="简单平均",AVERAGE(R47:W47),R47*F47+T47*H47+V47*J47),0)</f>
        <v>#DIV/0!</v>
      </c>
      <c r="S48" s="3739"/>
      <c r="T48" s="3739"/>
      <c r="U48" s="3739"/>
      <c r="V48" s="3739"/>
      <c r="W48" s="373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3" t="s">
        <v>1887</v>
      </c>
      <c r="H55" s="374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12794.5</v>
      </c>
      <c r="F56" s="886" t="e">
        <f t="shared" ref="F56:F64" si="15">ROUND(B56*E56/10000,0)</f>
        <v>#DIV/0!</v>
      </c>
      <c r="G56" s="3692"/>
      <c r="H56" s="371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12794.5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2" sqref="B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890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696</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tr">
        <f>土地案例!A5</f>
        <v>佳苑路南侧</v>
      </c>
      <c r="F5" s="3685"/>
      <c r="G5" s="3686" t="str">
        <f>土地案例!A6</f>
        <v>规划迎宾路北侧</v>
      </c>
      <c r="H5" s="3687"/>
      <c r="I5" s="3686" t="str">
        <f>土地案例!A7</f>
        <v>铁西街西侧</v>
      </c>
      <c r="J5" s="3687"/>
      <c r="K5" s="559"/>
      <c r="L5" s="2715"/>
      <c r="M5" s="2716"/>
      <c r="N5" s="2716"/>
      <c r="O5" s="2716"/>
      <c r="P5" s="3699"/>
      <c r="Q5" s="3700"/>
      <c r="R5" s="3682"/>
      <c r="S5" s="3683"/>
      <c r="T5" s="3682"/>
      <c r="U5" s="3683"/>
      <c r="V5" s="3705"/>
      <c r="W5" s="3705"/>
      <c r="X5" s="1355"/>
      <c r="Y5" s="3682"/>
      <c r="Z5" s="3683"/>
      <c r="AA5" s="3676"/>
      <c r="AB5" s="3676"/>
      <c r="AC5" s="3676"/>
    </row>
    <row r="6" spans="1:29" ht="15.75" thickBot="1">
      <c r="A6" s="360"/>
      <c r="B6" s="361"/>
      <c r="C6" s="3741" t="s">
        <v>1919</v>
      </c>
      <c r="D6" s="3742"/>
      <c r="E6" s="3743" t="s">
        <v>1919</v>
      </c>
      <c r="F6" s="3744"/>
      <c r="G6" s="3741" t="s">
        <v>1919</v>
      </c>
      <c r="H6" s="3742"/>
      <c r="I6" s="3741" t="s">
        <v>1919</v>
      </c>
      <c r="J6" s="3742"/>
      <c r="K6" s="559" t="s">
        <v>1678</v>
      </c>
      <c r="L6" s="2715"/>
      <c r="M6" s="2716"/>
      <c r="N6" s="2716"/>
      <c r="O6" s="2716"/>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44986</v>
      </c>
      <c r="D7" s="365">
        <v>100</v>
      </c>
      <c r="E7" s="366">
        <f>土地案例!AC5</f>
        <v>44900.000497685185</v>
      </c>
      <c r="F7" s="367">
        <f>SUMIF(65:65,YEAR(E7)&amp;"-"&amp;INT((MONTH(E7)+2)/3),66:66)</f>
        <v>100</v>
      </c>
      <c r="G7" s="1974">
        <f>土地案例!AC6</f>
        <v>44820.000497685185</v>
      </c>
      <c r="H7" s="365">
        <f>SUMIF(65:65,YEAR(G7)&amp;"-"&amp;INT((MONTH(G7)+2)/3),66:66)</f>
        <v>100</v>
      </c>
      <c r="I7" s="1974">
        <f>土地案例!AC7</f>
        <v>44817.000497685185</v>
      </c>
      <c r="J7" s="365">
        <f>SUMIF(65:65,YEAR(I7)&amp;"-"&amp;INT((MONTH(I7)+2)/3),66:66)</f>
        <v>100</v>
      </c>
      <c r="K7" s="560"/>
      <c r="L7" s="2717"/>
      <c r="M7" s="2718"/>
      <c r="N7" s="2718"/>
      <c r="O7" s="2718"/>
      <c r="P7" s="3678" t="s">
        <v>1680</v>
      </c>
      <c r="Q7" s="3706"/>
      <c r="R7" s="701" t="s">
        <v>14</v>
      </c>
      <c r="S7" s="702">
        <f t="shared" ref="S7:S15" si="0">F7</f>
        <v>100</v>
      </c>
      <c r="T7" s="701" t="s">
        <v>14</v>
      </c>
      <c r="U7" s="702">
        <f t="shared" ref="U7:U15" si="1">H7</f>
        <v>100</v>
      </c>
      <c r="V7" s="701" t="s">
        <v>14</v>
      </c>
      <c r="W7" s="702">
        <f t="shared" ref="W7:W15" si="2">J7</f>
        <v>100</v>
      </c>
      <c r="X7" s="703"/>
      <c r="Y7" s="3678" t="s">
        <v>1680</v>
      </c>
      <c r="Z7" s="3679"/>
      <c r="AA7" s="704">
        <f>D7/F7</f>
        <v>1</v>
      </c>
      <c r="AB7" s="704">
        <f>D7/H7</f>
        <v>1</v>
      </c>
      <c r="AC7" s="704">
        <f>D7/J7</f>
        <v>1</v>
      </c>
    </row>
    <row r="8" spans="1:29" s="108" customFormat="1" ht="15.75" thickBot="1">
      <c r="A8" s="362" t="s">
        <v>1681</v>
      </c>
      <c r="B8" s="363"/>
      <c r="C8" s="368" t="s">
        <v>1682</v>
      </c>
      <c r="D8" s="365">
        <v>100</v>
      </c>
      <c r="E8" s="368" t="s">
        <v>3723</v>
      </c>
      <c r="F8" s="367">
        <f>SUMIF(68:68,E8,69:69)-SUMIF(68:68,C8,69:69)+100</f>
        <v>100</v>
      </c>
      <c r="G8" s="368" t="s">
        <v>3723</v>
      </c>
      <c r="H8" s="365">
        <f>SUMIF(68:68,G8,69:69)-SUMIF(68:68,C8,69:69)+100</f>
        <v>100</v>
      </c>
      <c r="I8" s="368" t="s">
        <v>3723</v>
      </c>
      <c r="J8" s="365">
        <f>SUMIF(68:68,I8,69:69)-SUMIF(68:68,C8,69:69)+100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40" si="3">D8/F8</f>
        <v>1</v>
      </c>
      <c r="AB8" s="704">
        <f t="shared" ref="AB8:AB40" si="4">D8/H8</f>
        <v>1</v>
      </c>
      <c r="AC8" s="704">
        <f t="shared" ref="AC8:AC40" si="5">D8/J8</f>
        <v>1</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710"/>
      <c r="Q10" s="1343" t="str">
        <f t="shared" si="6"/>
        <v>土地使用年限（年）</v>
      </c>
      <c r="R10" s="701" t="s">
        <v>14</v>
      </c>
      <c r="S10" s="702">
        <f t="shared" si="0"/>
        <v>107</v>
      </c>
      <c r="T10" s="701" t="s">
        <v>14</v>
      </c>
      <c r="U10" s="702">
        <f t="shared" si="1"/>
        <v>107</v>
      </c>
      <c r="V10" s="701" t="s">
        <v>14</v>
      </c>
      <c r="W10" s="702">
        <f t="shared" si="2"/>
        <v>107</v>
      </c>
      <c r="X10" s="703"/>
      <c r="Y10" s="3622"/>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21"/>
      <c r="M11" s="2716"/>
      <c r="N11" s="2716"/>
      <c r="O11" s="2774"/>
      <c r="P11" s="3710"/>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3"/>
      <c r="Q16" s="1352"/>
      <c r="R16" s="705"/>
      <c r="S16" s="706"/>
      <c r="T16" s="705"/>
      <c r="U16" s="706"/>
      <c r="V16" s="705"/>
      <c r="W16" s="706"/>
      <c r="X16" s="1355"/>
      <c r="Y16" s="371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3"/>
      <c r="Q18" s="1352"/>
      <c r="R18" s="705"/>
      <c r="S18" s="706"/>
      <c r="T18" s="705"/>
      <c r="U18" s="706"/>
      <c r="V18" s="705"/>
      <c r="W18" s="706"/>
      <c r="X18" s="1355"/>
      <c r="Y18" s="371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3"/>
      <c r="Q20" s="1352"/>
      <c r="R20" s="705"/>
      <c r="S20" s="706"/>
      <c r="T20" s="705"/>
      <c r="U20" s="706"/>
      <c r="V20" s="705"/>
      <c r="W20" s="706"/>
      <c r="X20" s="1355"/>
      <c r="Y20" s="371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3"/>
      <c r="Q22" s="1352"/>
      <c r="R22" s="705"/>
      <c r="S22" s="706"/>
      <c r="T22" s="705"/>
      <c r="U22" s="706"/>
      <c r="V22" s="705"/>
      <c r="W22" s="706"/>
      <c r="X22" s="1355"/>
      <c r="Y22" s="371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3"/>
      <c r="Q24" s="1343"/>
      <c r="R24" s="701"/>
      <c r="S24" s="702"/>
      <c r="T24" s="701"/>
      <c r="U24" s="702"/>
      <c r="V24" s="701"/>
      <c r="W24" s="702"/>
      <c r="X24" s="703"/>
      <c r="Y24" s="371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3"/>
      <c r="Q26" s="1343"/>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3"/>
      <c r="Q29" s="1352"/>
      <c r="R29" s="705"/>
      <c r="S29" s="706"/>
      <c r="T29" s="705"/>
      <c r="U29" s="706"/>
      <c r="V29" s="705"/>
      <c r="W29" s="706"/>
      <c r="X29" s="1355"/>
      <c r="Y29" s="371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6"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1874</v>
      </c>
      <c r="C34" s="627">
        <f>'数据-汇总表'!D3</f>
        <v>26500</v>
      </c>
      <c r="D34" s="418">
        <v>100</v>
      </c>
      <c r="E34" s="627">
        <f>土地案例!I5</f>
        <v>18631.71</v>
      </c>
      <c r="F34" s="418">
        <f>LOOKUP(E34,108:108,109:109)-LOOKUP(C34,108:108,109:109)+100</f>
        <v>99.5</v>
      </c>
      <c r="G34" s="627">
        <f>土地案例!I6</f>
        <v>96373.48</v>
      </c>
      <c r="H34" s="418">
        <f>LOOKUP(G34,108:108,109:109)-LOOKUP(C34,108:108,109:109)+100</f>
        <v>101.5</v>
      </c>
      <c r="I34" s="479">
        <f>土地案例!I7</f>
        <v>6366.48</v>
      </c>
      <c r="J34" s="418">
        <f>LOOKUP(I34,108:108,109:109)-LOOKUP(C34,108:108,109:109)+100</f>
        <v>99.5</v>
      </c>
      <c r="K34" s="562"/>
      <c r="L34" s="2722"/>
      <c r="M34" s="2716"/>
      <c r="N34" s="2716"/>
      <c r="O34" s="2774"/>
      <c r="P34" s="3717"/>
      <c r="Q34" s="1352" t="str">
        <f>B34</f>
        <v>宗地面积</v>
      </c>
      <c r="R34" s="705" t="s">
        <v>14</v>
      </c>
      <c r="S34" s="706">
        <f t="shared" si="10"/>
        <v>99.5</v>
      </c>
      <c r="T34" s="705" t="s">
        <v>14</v>
      </c>
      <c r="U34" s="706">
        <f t="shared" si="11"/>
        <v>101.5</v>
      </c>
      <c r="V34" s="705" t="s">
        <v>14</v>
      </c>
      <c r="W34" s="706">
        <f t="shared" si="12"/>
        <v>99.5</v>
      </c>
      <c r="X34" s="1355"/>
      <c r="Y34" s="3717"/>
      <c r="Z34" s="1356" t="str">
        <f t="shared" si="13"/>
        <v>宗地面积</v>
      </c>
      <c r="AA34" s="1353">
        <f t="shared" si="3"/>
        <v>1.0050251256281406</v>
      </c>
      <c r="AB34" s="1353">
        <f t="shared" si="4"/>
        <v>0.98522167487684731</v>
      </c>
      <c r="AC34" s="1353">
        <f t="shared" si="5"/>
        <v>1.0050251256281406</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5">
      <c r="A41" s="430" t="s">
        <v>1844</v>
      </c>
      <c r="B41" s="1982" t="s">
        <v>3722</v>
      </c>
      <c r="C41" s="630" t="s">
        <v>0</v>
      </c>
      <c r="D41" s="432"/>
      <c r="E41" s="433">
        <f>土地案例!BA5</f>
        <v>360</v>
      </c>
      <c r="F41" s="434"/>
      <c r="G41" s="435">
        <f>土地案例!BA6</f>
        <v>360</v>
      </c>
      <c r="H41" s="436"/>
      <c r="I41" s="433">
        <f>土地案例!BA7</f>
        <v>360</v>
      </c>
      <c r="J41" s="436"/>
      <c r="K41" s="714"/>
      <c r="L41" s="2724"/>
      <c r="M41" s="2716"/>
      <c r="N41" s="2716"/>
      <c r="O41" s="2725"/>
      <c r="P41" s="3710" t="str">
        <f>A41</f>
        <v>成交单价</v>
      </c>
      <c r="Q41" s="3710"/>
      <c r="R41" s="3705">
        <f>E41</f>
        <v>360</v>
      </c>
      <c r="S41" s="3705"/>
      <c r="T41" s="3705">
        <f>G41</f>
        <v>360</v>
      </c>
      <c r="U41" s="3705"/>
      <c r="V41" s="3705">
        <f>I41</f>
        <v>360</v>
      </c>
      <c r="W41" s="3705"/>
      <c r="X41" s="690"/>
      <c r="Y41" s="712"/>
      <c r="Z41" s="690"/>
      <c r="AA41" s="690"/>
      <c r="AB41" s="690"/>
      <c r="AC41" s="690"/>
    </row>
    <row r="42" spans="1:31" ht="15.75" thickBot="1">
      <c r="A42" s="437" t="s">
        <v>1793</v>
      </c>
      <c r="B42" s="631"/>
      <c r="C42" s="440">
        <f>R43</f>
        <v>336</v>
      </c>
      <c r="D42" s="2317" t="s">
        <v>2137</v>
      </c>
      <c r="E42" s="440">
        <f>R42</f>
        <v>338</v>
      </c>
      <c r="F42" s="2318"/>
      <c r="G42" s="439">
        <f>T42</f>
        <v>331</v>
      </c>
      <c r="H42" s="2318"/>
      <c r="I42" s="440">
        <f>V42</f>
        <v>338</v>
      </c>
      <c r="J42" s="2318"/>
      <c r="K42" s="2320">
        <f>F42+H42+J42</f>
        <v>0</v>
      </c>
      <c r="L42" s="2724"/>
      <c r="M42" s="2716"/>
      <c r="N42" s="2716"/>
      <c r="O42" s="2725"/>
      <c r="P42" s="3710" t="str">
        <f>A42</f>
        <v>比较价值（元/平方米）</v>
      </c>
      <c r="Q42" s="3710"/>
      <c r="R42" s="3738">
        <f>ROUND(PRODUCT(R41,AA7:AA40),0)</f>
        <v>338</v>
      </c>
      <c r="S42" s="3738"/>
      <c r="T42" s="3738">
        <f>ROUND(PRODUCT(T41,AB7:AB40),0)</f>
        <v>331</v>
      </c>
      <c r="U42" s="3738"/>
      <c r="V42" s="3738">
        <f>ROUND(PRODUCT(V41,AC7:AC40),0)</f>
        <v>338</v>
      </c>
      <c r="W42" s="3738"/>
      <c r="X42" s="690"/>
      <c r="Y42" s="690"/>
      <c r="Z42" s="690"/>
      <c r="AA42" s="690"/>
      <c r="AB42" s="690"/>
      <c r="AC42" s="690"/>
    </row>
    <row r="43" spans="1:31" ht="15.75" thickBot="1">
      <c r="A43" s="441" t="s">
        <v>1794</v>
      </c>
      <c r="B43" s="442"/>
      <c r="C43" s="443">
        <f>R43</f>
        <v>336</v>
      </c>
      <c r="D43" s="443"/>
      <c r="E43" s="443"/>
      <c r="F43" s="443"/>
      <c r="G43" s="443"/>
      <c r="H43" s="443"/>
      <c r="I43" s="443"/>
      <c r="J43" s="443"/>
      <c r="K43" s="715"/>
      <c r="L43" s="2724"/>
      <c r="M43" s="2716"/>
      <c r="N43" s="2716"/>
      <c r="O43" s="2725"/>
      <c r="P43" s="3707" t="str">
        <f>A43</f>
        <v>估价对象XX用房的比较价值（楼面单价，元/平方米）</v>
      </c>
      <c r="Q43" s="3708"/>
      <c r="R43" s="3739">
        <f>ROUND(IF(D42="简单平均",AVERAGE(R42:W42),R42*F42+T42*H42+V42*J42),0)</f>
        <v>336</v>
      </c>
      <c r="S43" s="3739"/>
      <c r="T43" s="3739"/>
      <c r="U43" s="3739"/>
      <c r="V43" s="3739"/>
      <c r="W43" s="373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f>IF(E41&lt;E42,E42/E41-1,E41/E42-1)</f>
        <v>6.5088757396449815E-2</v>
      </c>
      <c r="F46" s="449" t="str">
        <f>IF(OR(E46&gt;=0.3,E46&lt;=-0.3),"超过30%","")</f>
        <v/>
      </c>
      <c r="G46" s="448">
        <f>IF(G41&lt;G42,G42/G41-1,G41/G42-1)</f>
        <v>8.7613293051359564E-2</v>
      </c>
      <c r="H46" s="449" t="str">
        <f>IF(OR(G46&gt;=0.3,G46&lt;=-0.3),"超过30%","")</f>
        <v/>
      </c>
      <c r="I46" s="448">
        <f>IF(I41&lt;I42,I42/I41-1,I41/I42-1)</f>
        <v>6.5088757396449815E-2</v>
      </c>
      <c r="J46" s="449" t="str">
        <f>IF(OR(I46&gt;=0.3,I46&lt;=-0.3),"超过30%","")</f>
        <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f>IF(E42&lt;G42,G42/E42-1,E42/G42-1)</f>
        <v>2.114803625377637E-2</v>
      </c>
      <c r="F47" s="449" t="str">
        <f>IF(OR(E47&gt;=0.2,E47&lt;=-0.2),"超过20%","")</f>
        <v/>
      </c>
      <c r="G47" s="448">
        <f>IF(G42&lt;I42,I42/G42-1,G42/I42-1)</f>
        <v>2.114803625377637E-2</v>
      </c>
      <c r="H47" s="449" t="str">
        <f>IF(OR(G47&gt;=0.2,G47&lt;=-0.2),"超过20%","")</f>
        <v/>
      </c>
      <c r="I47" s="448">
        <f>IF(I42&lt;E42,E42/I42-1,I42/E42-1)</f>
        <v>0</v>
      </c>
      <c r="J47" s="449" t="str">
        <f>IF(OR(I47&gt;=0.2,I47&lt;=-0.2),"超过20%","")</f>
        <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3" t="s">
        <v>1887</v>
      </c>
      <c r="H50" s="3740"/>
      <c r="I50" s="1356" t="s">
        <v>1922</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f>C43</f>
        <v>336</v>
      </c>
      <c r="C51" s="638">
        <v>1</v>
      </c>
      <c r="D51" s="944">
        <v>1</v>
      </c>
      <c r="E51" s="638">
        <f>'数据-汇总表'!E8+'数据-汇总表'!E9</f>
        <v>12794.5</v>
      </c>
      <c r="F51" s="639">
        <f t="shared" ref="F51:F60" si="15">ROUND(B51*E51/10000,0)</f>
        <v>430</v>
      </c>
      <c r="G51" s="3692"/>
      <c r="H51" s="371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f>ROUND($C$43*C52*D52,0)</f>
        <v>0</v>
      </c>
      <c r="C52" s="171">
        <f t="shared" ref="C52:C60" si="16">IF($C$50="北京市系数",I52,J52)</f>
        <v>0</v>
      </c>
      <c r="D52" s="945">
        <v>0.25</v>
      </c>
      <c r="E52" s="642"/>
      <c r="F52" s="639">
        <f t="shared" si="15"/>
        <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f t="shared" ref="B53:B60" si="17">ROUND($C$43*C53*D53,0)</f>
        <v>0</v>
      </c>
      <c r="C53" s="171">
        <f t="shared" si="16"/>
        <v>0</v>
      </c>
      <c r="D53" s="945">
        <v>0.25</v>
      </c>
      <c r="E53" s="642"/>
      <c r="F53" s="639">
        <f t="shared" si="15"/>
        <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f t="shared" si="17"/>
        <v>0</v>
      </c>
      <c r="C54" s="171">
        <f t="shared" si="16"/>
        <v>0</v>
      </c>
      <c r="D54" s="945">
        <v>0.25</v>
      </c>
      <c r="E54" s="642"/>
      <c r="F54" s="639">
        <f t="shared" si="15"/>
        <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f t="shared" si="17"/>
        <v>0</v>
      </c>
      <c r="C56" s="171">
        <f t="shared" si="16"/>
        <v>0</v>
      </c>
      <c r="D56" s="945">
        <v>0.25</v>
      </c>
      <c r="E56" s="217">
        <f>'数据-汇总表'!E11</f>
        <v>0</v>
      </c>
      <c r="F56" s="639">
        <f t="shared" si="15"/>
        <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f t="shared" si="17"/>
        <v>0</v>
      </c>
      <c r="C59" s="171">
        <f t="shared" si="16"/>
        <v>0</v>
      </c>
      <c r="D59" s="945">
        <v>0.25</v>
      </c>
      <c r="E59" s="217">
        <f>'数据-汇总表'!E14</f>
        <v>0</v>
      </c>
      <c r="F59" s="639">
        <f t="shared" si="15"/>
        <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f t="shared" si="17"/>
        <v>0</v>
      </c>
      <c r="C60" s="171">
        <f t="shared" si="16"/>
        <v>0</v>
      </c>
      <c r="D60" s="945">
        <v>0.25</v>
      </c>
      <c r="E60" s="217">
        <f>'数据-汇总表'!E15</f>
        <v>0</v>
      </c>
      <c r="F60" s="639">
        <f t="shared" si="15"/>
        <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26500</v>
      </c>
      <c r="F61" s="645">
        <f>IF(B41="楼面地价",SUM(F51:F60),ROUND(C43*E61/10000,0))</f>
        <v>890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v>100</v>
      </c>
      <c r="E66" s="544">
        <v>100</v>
      </c>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0（含）-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v>0</v>
      </c>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28.5">
      <c r="A107" s="476" t="s">
        <v>1694</v>
      </c>
      <c r="B107" s="477" t="s">
        <v>1913</v>
      </c>
      <c r="C107" s="478" t="str">
        <f t="shared" ref="C107:L107" si="25">C108&amp;"(含)"&amp;"-"&amp;D108</f>
        <v>0(含)-20000</v>
      </c>
      <c r="D107" s="478" t="str">
        <f t="shared" si="25"/>
        <v>20000(含)-40000</v>
      </c>
      <c r="E107" s="478" t="str">
        <f t="shared" si="25"/>
        <v>40000(含)-60000</v>
      </c>
      <c r="F107" s="478" t="str">
        <f t="shared" si="25"/>
        <v>60000(含)-80000</v>
      </c>
      <c r="G107" s="478" t="str">
        <f t="shared" si="25"/>
        <v>80000(含)-100000</v>
      </c>
      <c r="H107" s="478" t="str">
        <f t="shared" si="25"/>
        <v>100000(含)-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v>0</v>
      </c>
      <c r="D108" s="544">
        <f>C108+20000</f>
        <v>20000</v>
      </c>
      <c r="E108" s="544">
        <f t="shared" ref="E108:H108" si="26">D108+20000</f>
        <v>40000</v>
      </c>
      <c r="F108" s="544">
        <f t="shared" si="26"/>
        <v>60000</v>
      </c>
      <c r="G108" s="544">
        <f t="shared" si="26"/>
        <v>80000</v>
      </c>
      <c r="H108" s="544">
        <f t="shared" si="26"/>
        <v>100000</v>
      </c>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v>100</v>
      </c>
      <c r="D109" s="540">
        <f>C109+0.5</f>
        <v>100.5</v>
      </c>
      <c r="E109" s="540">
        <f t="shared" ref="E109:H109" si="27">D109+0.5</f>
        <v>101</v>
      </c>
      <c r="F109" s="540">
        <f t="shared" si="27"/>
        <v>101.5</v>
      </c>
      <c r="G109" s="540">
        <f t="shared" si="27"/>
        <v>102</v>
      </c>
      <c r="H109" s="540">
        <f t="shared" si="27"/>
        <v>102.5</v>
      </c>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C22" sqref="C22:Q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8" t="s">
        <v>2083</v>
      </c>
      <c r="D1" s="3749"/>
      <c r="E1" s="3749"/>
      <c r="F1" s="3749"/>
      <c r="G1" s="3749"/>
      <c r="H1" s="3749"/>
      <c r="I1" s="3749"/>
      <c r="J1" s="3749"/>
      <c r="K1" s="3749"/>
      <c r="L1" s="3749"/>
      <c r="M1" s="3749"/>
      <c r="N1" s="3749"/>
      <c r="O1" s="3749"/>
      <c r="P1" s="3749"/>
      <c r="Q1" s="3749"/>
      <c r="R1" s="3749"/>
      <c r="S1" s="375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Q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75">
      <c r="A3" s="2145" t="s">
        <v>2075</v>
      </c>
      <c r="B3" s="2602" t="e">
        <f ca="1">ROUND(B2*10000/E2,0)</f>
        <v>#DIV/0!</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C22" sqref="C22:Q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5" t="s">
        <v>1959</v>
      </c>
      <c r="X8" s="375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2" t="s">
        <v>3260</v>
      </c>
      <c r="B20" s="167" t="s">
        <v>1993</v>
      </c>
      <c r="C20" s="3325" t="e">
        <f>ROUND(IF(F21="与级别开发程度一致",0,(G21-E21)/C21),0)</f>
        <v>#DIV/0!</v>
      </c>
      <c r="D20" s="3341" t="s">
        <v>1997</v>
      </c>
      <c r="E20" s="3342"/>
      <c r="F20" s="3768" t="s">
        <v>1994</v>
      </c>
      <c r="G20" s="376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3"/>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44986</v>
      </c>
      <c r="H23" s="3343" t="s">
        <v>3262</v>
      </c>
      <c r="I23" s="3344" t="str">
        <f>IF(H23="季度增幅（自定义）",SUMIF(N25:N28,E2,O25:O28),"")</f>
        <v/>
      </c>
      <c r="J23" s="3446" t="s">
        <v>3261</v>
      </c>
      <c r="K23" s="1125"/>
      <c r="L23" s="2055" t="s">
        <v>2003</v>
      </c>
      <c r="M23" s="1328">
        <f>ROUND(SUMIF(地价!B2:G2,E2,地价!B16:G16),0)</f>
        <v>0</v>
      </c>
      <c r="N23" s="2056" t="s">
        <v>2004</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7"/>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4" t="s">
        <v>3300</v>
      </c>
      <c r="B103" s="3764"/>
      <c r="C103" s="3764"/>
      <c r="D103" s="3764"/>
      <c r="E103" s="3764"/>
      <c r="F103" s="3764"/>
      <c r="G103" s="3764"/>
      <c r="H103" s="3764"/>
      <c r="I103" s="3764"/>
      <c r="J103" s="3764"/>
      <c r="K103" s="3390"/>
      <c r="L103" s="3390"/>
      <c r="M103" s="3390"/>
      <c r="N103" s="3390"/>
    </row>
    <row r="104" spans="1:14">
      <c r="A104" s="3765" t="s">
        <v>3301</v>
      </c>
      <c r="B104" s="3765" t="s">
        <v>3302</v>
      </c>
      <c r="C104" s="3391" t="s">
        <v>3303</v>
      </c>
      <c r="D104" s="3392"/>
      <c r="E104" s="3392"/>
      <c r="F104" s="3392"/>
      <c r="G104" s="3392"/>
      <c r="H104" s="3392"/>
      <c r="I104" s="3392"/>
      <c r="J104" s="3393"/>
      <c r="K104" s="3394"/>
      <c r="L104" s="3394"/>
      <c r="M104" s="3394"/>
      <c r="N104" s="3394"/>
    </row>
    <row r="105" spans="1:14">
      <c r="A105" s="3765"/>
      <c r="B105" s="376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5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2"/>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4" t="s">
        <v>3317</v>
      </c>
      <c r="B113" s="3754"/>
      <c r="C113" s="3754"/>
      <c r="D113" s="3754"/>
      <c r="E113" s="3754"/>
      <c r="F113" s="3754"/>
      <c r="G113" s="3754"/>
      <c r="H113" s="3754"/>
      <c r="I113" s="3754"/>
      <c r="J113" s="375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7" t="s">
        <v>2609</v>
      </c>
      <c r="B20" s="3770" t="s">
        <v>2630</v>
      </c>
      <c r="C20" s="3103" t="s">
        <v>2441</v>
      </c>
      <c r="D20" s="3104"/>
      <c r="E20" s="3105">
        <v>1</v>
      </c>
      <c r="F20" s="3106" t="s">
        <v>2442</v>
      </c>
      <c r="G20" s="3106"/>
    </row>
    <row r="21" spans="1:13" ht="19.5" customHeight="1">
      <c r="A21" s="3778"/>
      <c r="B21" s="3771"/>
      <c r="C21" s="3107" t="s">
        <v>2443</v>
      </c>
      <c r="D21" s="3108"/>
      <c r="E21" s="3109">
        <v>1</v>
      </c>
      <c r="F21" s="3106" t="s">
        <v>2444</v>
      </c>
      <c r="G21" s="3106"/>
    </row>
    <row r="22" spans="1:13" ht="19.5" customHeight="1">
      <c r="A22" s="3778"/>
      <c r="B22" s="3771"/>
      <c r="C22" s="3107" t="s">
        <v>2445</v>
      </c>
      <c r="D22" s="3108"/>
      <c r="E22" s="3109">
        <v>0.9</v>
      </c>
      <c r="F22" s="3106" t="s">
        <v>2446</v>
      </c>
      <c r="G22" s="3106"/>
    </row>
    <row r="23" spans="1:13" ht="19.5" customHeight="1">
      <c r="A23" s="3778"/>
      <c r="B23" s="3771"/>
      <c r="C23" s="3107" t="s">
        <v>2447</v>
      </c>
      <c r="D23" s="3108"/>
      <c r="E23" s="3109">
        <v>0.9</v>
      </c>
      <c r="F23" s="3106" t="s">
        <v>2448</v>
      </c>
      <c r="G23" s="3106"/>
    </row>
    <row r="24" spans="1:13" ht="19.5" customHeight="1">
      <c r="A24" s="3778"/>
      <c r="B24" s="3771"/>
      <c r="C24" s="3107" t="s">
        <v>2449</v>
      </c>
      <c r="D24" s="3108"/>
      <c r="E24" s="3109">
        <v>0.8</v>
      </c>
      <c r="F24" s="3106" t="s">
        <v>2450</v>
      </c>
      <c r="G24" s="3106"/>
    </row>
    <row r="25" spans="1:13" ht="19.5" customHeight="1" thickBot="1">
      <c r="A25" s="3779"/>
      <c r="B25" s="3772"/>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3" t="s">
        <v>2633</v>
      </c>
      <c r="B27" s="3770" t="s">
        <v>2614</v>
      </c>
      <c r="C27" s="3103" t="s">
        <v>2454</v>
      </c>
      <c r="D27" s="3104"/>
      <c r="E27" s="3105">
        <v>1</v>
      </c>
      <c r="F27" s="3106" t="s">
        <v>2455</v>
      </c>
      <c r="G27" s="3106"/>
    </row>
    <row r="28" spans="1:13" ht="19.5" customHeight="1">
      <c r="A28" s="3774"/>
      <c r="B28" s="3771"/>
      <c r="C28" s="3107" t="s">
        <v>2456</v>
      </c>
      <c r="D28" s="3108"/>
      <c r="E28" s="3109">
        <v>1</v>
      </c>
      <c r="F28" s="3106" t="s">
        <v>2457</v>
      </c>
      <c r="G28" s="3106"/>
    </row>
    <row r="29" spans="1:13" ht="19.5" customHeight="1">
      <c r="A29" s="3774"/>
      <c r="B29" s="3771"/>
      <c r="C29" s="3107" t="s">
        <v>2458</v>
      </c>
      <c r="D29" s="3108"/>
      <c r="E29" s="3109">
        <v>0.8</v>
      </c>
      <c r="F29" s="3106" t="s">
        <v>2459</v>
      </c>
      <c r="G29" s="3106"/>
    </row>
    <row r="30" spans="1:13" ht="19.5" customHeight="1">
      <c r="A30" s="3774"/>
      <c r="B30" s="3771"/>
      <c r="C30" s="3107" t="s">
        <v>2460</v>
      </c>
      <c r="D30" s="3108"/>
      <c r="E30" s="3109">
        <v>0.8</v>
      </c>
      <c r="F30" s="3106" t="s">
        <v>2461</v>
      </c>
      <c r="G30" s="3106"/>
    </row>
    <row r="31" spans="1:13" ht="19.5" customHeight="1">
      <c r="A31" s="3774"/>
      <c r="B31" s="3771"/>
      <c r="C31" s="3107" t="s">
        <v>2462</v>
      </c>
      <c r="D31" s="3108"/>
      <c r="E31" s="3109">
        <v>0.8</v>
      </c>
      <c r="F31" s="3106" t="s">
        <v>2463</v>
      </c>
      <c r="G31" s="3106"/>
    </row>
    <row r="32" spans="1:13" ht="19.5" customHeight="1">
      <c r="A32" s="3774"/>
      <c r="B32" s="3771"/>
      <c r="C32" s="3107" t="s">
        <v>2464</v>
      </c>
      <c r="D32" s="3108"/>
      <c r="E32" s="3109">
        <v>0.7</v>
      </c>
      <c r="F32" s="3106" t="s">
        <v>2465</v>
      </c>
      <c r="G32" s="3106"/>
    </row>
    <row r="33" spans="1:7" ht="19.5" customHeight="1">
      <c r="A33" s="3774"/>
      <c r="B33" s="3771"/>
      <c r="C33" s="3107" t="s">
        <v>2466</v>
      </c>
      <c r="D33" s="3108"/>
      <c r="E33" s="3109">
        <v>0.8</v>
      </c>
      <c r="F33" s="3106" t="s">
        <v>2467</v>
      </c>
      <c r="G33" s="3106"/>
    </row>
    <row r="34" spans="1:7" ht="19.5" customHeight="1">
      <c r="A34" s="3774"/>
      <c r="B34" s="3771"/>
      <c r="C34" s="3107" t="s">
        <v>2468</v>
      </c>
      <c r="D34" s="3108"/>
      <c r="E34" s="3109">
        <v>0.6</v>
      </c>
      <c r="F34" s="3106" t="s">
        <v>2469</v>
      </c>
      <c r="G34" s="3106"/>
    </row>
    <row r="35" spans="1:7" ht="19.5" customHeight="1">
      <c r="A35" s="3774"/>
      <c r="B35" s="3771"/>
      <c r="C35" s="3107" t="s">
        <v>2470</v>
      </c>
      <c r="D35" s="3108"/>
      <c r="E35" s="3109">
        <v>0.2</v>
      </c>
      <c r="F35" s="3106" t="s">
        <v>2471</v>
      </c>
      <c r="G35" s="3106"/>
    </row>
    <row r="36" spans="1:7" ht="19.5" customHeight="1">
      <c r="A36" s="3774"/>
      <c r="B36" s="3771"/>
      <c r="C36" s="3107" t="s">
        <v>2472</v>
      </c>
      <c r="D36" s="3108"/>
      <c r="E36" s="3109">
        <v>0.2</v>
      </c>
      <c r="F36" s="3106" t="s">
        <v>2473</v>
      </c>
      <c r="G36" s="3106"/>
    </row>
    <row r="37" spans="1:7" ht="19.5" customHeight="1">
      <c r="A37" s="3774"/>
      <c r="B37" s="3776" t="s">
        <v>2634</v>
      </c>
      <c r="C37" s="3107" t="s">
        <v>2474</v>
      </c>
      <c r="D37" s="3108"/>
      <c r="E37" s="3109">
        <v>0.6</v>
      </c>
      <c r="F37" s="3106" t="s">
        <v>2475</v>
      </c>
      <c r="G37" s="3106"/>
    </row>
    <row r="38" spans="1:7" ht="19.5" customHeight="1">
      <c r="A38" s="3774"/>
      <c r="B38" s="3771"/>
      <c r="C38" s="3107" t="s">
        <v>2476</v>
      </c>
      <c r="D38" s="3108"/>
      <c r="E38" s="3109">
        <v>0.6</v>
      </c>
      <c r="F38" s="3106" t="s">
        <v>2477</v>
      </c>
      <c r="G38" s="3106"/>
    </row>
    <row r="39" spans="1:7" ht="19.5" customHeight="1" thickBot="1">
      <c r="A39" s="3775"/>
      <c r="B39" s="3772"/>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7" t="s">
        <v>2612</v>
      </c>
      <c r="B41" s="3770" t="s">
        <v>2636</v>
      </c>
      <c r="C41" s="3103" t="s">
        <v>2481</v>
      </c>
      <c r="D41" s="3104"/>
      <c r="E41" s="3105">
        <v>1</v>
      </c>
      <c r="F41" s="3106" t="s">
        <v>2482</v>
      </c>
      <c r="G41" s="3106"/>
    </row>
    <row r="42" spans="1:7" ht="19.5" customHeight="1">
      <c r="A42" s="3778"/>
      <c r="B42" s="3771"/>
      <c r="C42" s="3107" t="s">
        <v>2483</v>
      </c>
      <c r="D42" s="3108"/>
      <c r="E42" s="3109">
        <v>1</v>
      </c>
      <c r="F42" s="3106" t="s">
        <v>2484</v>
      </c>
      <c r="G42" s="3106"/>
    </row>
    <row r="43" spans="1:7" ht="19.5" customHeight="1">
      <c r="A43" s="3778"/>
      <c r="B43" s="3780"/>
      <c r="C43" s="3107" t="s">
        <v>2485</v>
      </c>
      <c r="D43" s="3108"/>
      <c r="E43" s="3109">
        <v>1.5</v>
      </c>
      <c r="F43" s="3106" t="s">
        <v>2486</v>
      </c>
      <c r="G43" s="3106"/>
    </row>
    <row r="44" spans="1:7" ht="19.5" customHeight="1">
      <c r="A44" s="3778"/>
      <c r="B44" s="3118" t="s">
        <v>2637</v>
      </c>
      <c r="C44" s="3107" t="s">
        <v>2638</v>
      </c>
      <c r="D44" s="3108"/>
      <c r="E44" s="3109">
        <v>2</v>
      </c>
      <c r="F44" s="3106" t="s">
        <v>2487</v>
      </c>
      <c r="G44" s="3106"/>
    </row>
    <row r="45" spans="1:7" ht="19.5" customHeight="1">
      <c r="A45" s="3778"/>
      <c r="B45" s="3776" t="s">
        <v>2639</v>
      </c>
      <c r="C45" s="3107" t="s">
        <v>2488</v>
      </c>
      <c r="D45" s="3108"/>
      <c r="E45" s="3109">
        <v>1</v>
      </c>
      <c r="F45" s="3106" t="s">
        <v>2489</v>
      </c>
      <c r="G45" s="3106"/>
    </row>
    <row r="46" spans="1:7" ht="19.5" customHeight="1">
      <c r="A46" s="3778"/>
      <c r="B46" s="3771"/>
      <c r="C46" s="3107" t="s">
        <v>2490</v>
      </c>
      <c r="D46" s="3108"/>
      <c r="E46" s="3109">
        <v>1</v>
      </c>
      <c r="F46" s="3106" t="s">
        <v>2491</v>
      </c>
      <c r="G46" s="3106"/>
    </row>
    <row r="47" spans="1:7" ht="19.5" customHeight="1">
      <c r="A47" s="3778"/>
      <c r="B47" s="3771"/>
      <c r="C47" s="3107" t="s">
        <v>2492</v>
      </c>
      <c r="D47" s="3108"/>
      <c r="E47" s="3109">
        <v>1</v>
      </c>
      <c r="F47" s="3106" t="s">
        <v>2493</v>
      </c>
      <c r="G47" s="3106"/>
    </row>
    <row r="48" spans="1:7" ht="19.5" customHeight="1">
      <c r="A48" s="3778"/>
      <c r="B48" s="3771"/>
      <c r="C48" s="3107" t="s">
        <v>2494</v>
      </c>
      <c r="D48" s="3108"/>
      <c r="E48" s="3109">
        <v>1</v>
      </c>
      <c r="F48" s="3106" t="s">
        <v>2495</v>
      </c>
      <c r="G48" s="3106"/>
    </row>
    <row r="49" spans="1:7" ht="19.5" customHeight="1">
      <c r="A49" s="3778"/>
      <c r="B49" s="3771"/>
      <c r="C49" s="3107" t="s">
        <v>2496</v>
      </c>
      <c r="D49" s="3108"/>
      <c r="E49" s="3109">
        <v>1</v>
      </c>
      <c r="F49" s="3106" t="s">
        <v>2497</v>
      </c>
      <c r="G49" s="3106"/>
    </row>
    <row r="50" spans="1:7" ht="19.5" customHeight="1">
      <c r="A50" s="3778"/>
      <c r="B50" s="3771"/>
      <c r="C50" s="3107" t="s">
        <v>2498</v>
      </c>
      <c r="D50" s="3108"/>
      <c r="E50" s="3109">
        <v>1</v>
      </c>
      <c r="F50" s="3106" t="s">
        <v>2499</v>
      </c>
      <c r="G50" s="3106"/>
    </row>
    <row r="51" spans="1:7" ht="19.5" customHeight="1" thickBot="1">
      <c r="A51" s="3779"/>
      <c r="B51" s="3772"/>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6" t="s">
        <v>2653</v>
      </c>
      <c r="C73" s="3092" t="s">
        <v>2654</v>
      </c>
      <c r="D73" s="3092" t="s">
        <v>2655</v>
      </c>
      <c r="E73" s="3118">
        <v>0.2</v>
      </c>
      <c r="F73" s="3118">
        <v>25</v>
      </c>
    </row>
    <row r="74" spans="1:7" ht="24">
      <c r="A74" s="3118">
        <v>2</v>
      </c>
      <c r="B74" s="3771"/>
      <c r="C74" s="3092" t="s">
        <v>2656</v>
      </c>
      <c r="D74" s="3092" t="s">
        <v>2657</v>
      </c>
      <c r="E74" s="3118">
        <v>0.2</v>
      </c>
      <c r="F74" s="3118">
        <v>25</v>
      </c>
    </row>
    <row r="75" spans="1:7" ht="24">
      <c r="A75" s="3118">
        <v>3</v>
      </c>
      <c r="B75" s="3771"/>
      <c r="C75" s="3092" t="s">
        <v>2658</v>
      </c>
      <c r="D75" s="3092" t="s">
        <v>2659</v>
      </c>
      <c r="E75" s="3118">
        <v>0.2</v>
      </c>
      <c r="F75" s="3118">
        <v>25</v>
      </c>
    </row>
    <row r="76" spans="1:7" ht="13.5">
      <c r="A76" s="3118">
        <v>4</v>
      </c>
      <c r="B76" s="3771"/>
      <c r="C76" s="3092" t="s">
        <v>2660</v>
      </c>
      <c r="D76" s="3092" t="s">
        <v>2661</v>
      </c>
      <c r="E76" s="3118">
        <v>0.15</v>
      </c>
      <c r="F76" s="3118">
        <v>20</v>
      </c>
    </row>
    <row r="77" spans="1:7" ht="24">
      <c r="A77" s="3118">
        <v>5</v>
      </c>
      <c r="B77" s="3771"/>
      <c r="C77" s="3092" t="s">
        <v>2662</v>
      </c>
      <c r="D77" s="3092" t="s">
        <v>2663</v>
      </c>
      <c r="E77" s="3118">
        <v>0.15</v>
      </c>
      <c r="F77" s="3118">
        <v>20</v>
      </c>
    </row>
    <row r="78" spans="1:7" ht="24">
      <c r="A78" s="3118">
        <v>6</v>
      </c>
      <c r="B78" s="3771"/>
      <c r="C78" s="3092" t="s">
        <v>2664</v>
      </c>
      <c r="D78" s="3092" t="s">
        <v>2665</v>
      </c>
      <c r="E78" s="3118">
        <v>0.15</v>
      </c>
      <c r="F78" s="3118">
        <v>20</v>
      </c>
    </row>
    <row r="79" spans="1:7" ht="24">
      <c r="A79" s="3118">
        <v>7</v>
      </c>
      <c r="B79" s="3771"/>
      <c r="C79" s="3092" t="s">
        <v>2666</v>
      </c>
      <c r="D79" s="3092" t="s">
        <v>2667</v>
      </c>
      <c r="E79" s="3118">
        <v>0.15</v>
      </c>
      <c r="F79" s="3118">
        <v>20</v>
      </c>
    </row>
    <row r="80" spans="1:7" ht="24">
      <c r="A80" s="3118">
        <v>8</v>
      </c>
      <c r="B80" s="3771"/>
      <c r="C80" s="3092" t="s">
        <v>2668</v>
      </c>
      <c r="D80" s="3092" t="s">
        <v>2669</v>
      </c>
      <c r="E80" s="3118">
        <v>0.1</v>
      </c>
      <c r="F80" s="3118">
        <v>15</v>
      </c>
    </row>
    <row r="81" spans="1:6" ht="24">
      <c r="A81" s="3118">
        <v>9</v>
      </c>
      <c r="B81" s="3771"/>
      <c r="C81" s="3092" t="s">
        <v>2670</v>
      </c>
      <c r="D81" s="3092" t="s">
        <v>2671</v>
      </c>
      <c r="E81" s="3118">
        <v>0.1</v>
      </c>
      <c r="F81" s="3118">
        <v>15</v>
      </c>
    </row>
    <row r="82" spans="1:6" ht="24">
      <c r="A82" s="3118">
        <v>10</v>
      </c>
      <c r="B82" s="3771"/>
      <c r="C82" s="3092" t="s">
        <v>2672</v>
      </c>
      <c r="D82" s="3092" t="s">
        <v>2673</v>
      </c>
      <c r="E82" s="3118">
        <v>0.1</v>
      </c>
      <c r="F82" s="3118">
        <v>15</v>
      </c>
    </row>
    <row r="83" spans="1:6" ht="24">
      <c r="A83" s="3118">
        <v>11</v>
      </c>
      <c r="B83" s="3771"/>
      <c r="C83" s="3092" t="s">
        <v>2674</v>
      </c>
      <c r="D83" s="3092" t="s">
        <v>2675</v>
      </c>
      <c r="E83" s="3118">
        <v>0.1</v>
      </c>
      <c r="F83" s="3118">
        <v>15</v>
      </c>
    </row>
    <row r="84" spans="1:6" ht="24">
      <c r="A84" s="3118">
        <v>12</v>
      </c>
      <c r="B84" s="3771"/>
      <c r="C84" s="3092" t="s">
        <v>2676</v>
      </c>
      <c r="D84" s="3092" t="s">
        <v>2677</v>
      </c>
      <c r="E84" s="3118">
        <v>0.1</v>
      </c>
      <c r="F84" s="3118">
        <v>15</v>
      </c>
    </row>
    <row r="85" spans="1:6" ht="13.5">
      <c r="A85" s="3118">
        <v>13</v>
      </c>
      <c r="B85" s="3771"/>
      <c r="C85" s="3092" t="s">
        <v>2678</v>
      </c>
      <c r="D85" s="3092" t="s">
        <v>2679</v>
      </c>
      <c r="E85" s="3118">
        <v>0.1</v>
      </c>
      <c r="F85" s="3118">
        <v>15</v>
      </c>
    </row>
    <row r="86" spans="1:6" ht="13.5">
      <c r="A86" s="3118">
        <v>14</v>
      </c>
      <c r="B86" s="3771"/>
      <c r="C86" s="3092" t="s">
        <v>2680</v>
      </c>
      <c r="D86" s="3092" t="s">
        <v>2681</v>
      </c>
      <c r="E86" s="3118">
        <v>0.1</v>
      </c>
      <c r="F86" s="3118">
        <v>15</v>
      </c>
    </row>
    <row r="87" spans="1:6" ht="13.5">
      <c r="A87" s="3118">
        <v>15</v>
      </c>
      <c r="B87" s="3771"/>
      <c r="C87" s="3092" t="s">
        <v>2682</v>
      </c>
      <c r="D87" s="3092" t="s">
        <v>2683</v>
      </c>
      <c r="E87" s="3118">
        <v>0.1</v>
      </c>
      <c r="F87" s="3118">
        <v>15</v>
      </c>
    </row>
    <row r="88" spans="1:6" ht="24">
      <c r="A88" s="3118">
        <v>16</v>
      </c>
      <c r="B88" s="3771"/>
      <c r="C88" s="3092" t="s">
        <v>2684</v>
      </c>
      <c r="D88" s="3092" t="s">
        <v>2685</v>
      </c>
      <c r="E88" s="3118">
        <v>0.1</v>
      </c>
      <c r="F88" s="3118">
        <v>15</v>
      </c>
    </row>
    <row r="89" spans="1:6" ht="24">
      <c r="A89" s="3118">
        <v>17</v>
      </c>
      <c r="B89" s="3780"/>
      <c r="C89" s="3092" t="s">
        <v>2686</v>
      </c>
      <c r="D89" s="3092" t="s">
        <v>2687</v>
      </c>
      <c r="E89" s="3118">
        <v>0.1</v>
      </c>
      <c r="F89" s="3118">
        <v>15</v>
      </c>
    </row>
    <row r="90" spans="1:6" ht="13.5">
      <c r="A90" s="3118">
        <v>18</v>
      </c>
      <c r="B90" s="3776" t="s">
        <v>2688</v>
      </c>
      <c r="C90" s="3092" t="s">
        <v>2689</v>
      </c>
      <c r="D90" s="3092" t="s">
        <v>2690</v>
      </c>
      <c r="E90" s="3118">
        <v>0.2</v>
      </c>
      <c r="F90" s="3118">
        <v>25</v>
      </c>
    </row>
    <row r="91" spans="1:6" ht="24">
      <c r="A91" s="3118">
        <v>19</v>
      </c>
      <c r="B91" s="3771"/>
      <c r="C91" s="3092" t="s">
        <v>2691</v>
      </c>
      <c r="D91" s="3092" t="s">
        <v>2692</v>
      </c>
      <c r="E91" s="3118">
        <v>0.2</v>
      </c>
      <c r="F91" s="3118">
        <v>25</v>
      </c>
    </row>
    <row r="92" spans="1:6" ht="13.5">
      <c r="A92" s="3118">
        <v>20</v>
      </c>
      <c r="B92" s="3771"/>
      <c r="C92" s="3092" t="s">
        <v>2693</v>
      </c>
      <c r="D92" s="3092" t="s">
        <v>2694</v>
      </c>
      <c r="E92" s="3118">
        <v>0.15</v>
      </c>
      <c r="F92" s="3118">
        <v>20</v>
      </c>
    </row>
    <row r="93" spans="1:6" ht="13.5">
      <c r="A93" s="3118">
        <v>21</v>
      </c>
      <c r="B93" s="3771"/>
      <c r="C93" s="3092" t="s">
        <v>2695</v>
      </c>
      <c r="D93" s="3092" t="s">
        <v>2696</v>
      </c>
      <c r="E93" s="3118">
        <v>0.15</v>
      </c>
      <c r="F93" s="3118">
        <v>20</v>
      </c>
    </row>
    <row r="94" spans="1:6" ht="13.5">
      <c r="A94" s="3118">
        <v>22</v>
      </c>
      <c r="B94" s="3771"/>
      <c r="C94" s="3092" t="s">
        <v>2697</v>
      </c>
      <c r="D94" s="3092" t="s">
        <v>2698</v>
      </c>
      <c r="E94" s="3118">
        <v>0.15</v>
      </c>
      <c r="F94" s="3118">
        <v>20</v>
      </c>
    </row>
    <row r="95" spans="1:6" ht="36">
      <c r="A95" s="3118">
        <v>23</v>
      </c>
      <c r="B95" s="3771"/>
      <c r="C95" s="3092" t="s">
        <v>2699</v>
      </c>
      <c r="D95" s="3092" t="s">
        <v>2700</v>
      </c>
      <c r="E95" s="3118">
        <v>0.15</v>
      </c>
      <c r="F95" s="3118">
        <v>20</v>
      </c>
    </row>
    <row r="96" spans="1:6" ht="13.5">
      <c r="A96" s="3118">
        <v>24</v>
      </c>
      <c r="B96" s="3771"/>
      <c r="C96" s="3092" t="s">
        <v>2701</v>
      </c>
      <c r="D96" s="3092" t="s">
        <v>2702</v>
      </c>
      <c r="E96" s="3118">
        <v>0.1</v>
      </c>
      <c r="F96" s="3118">
        <v>15</v>
      </c>
    </row>
    <row r="97" spans="1:6" ht="13.5">
      <c r="A97" s="3118">
        <v>25</v>
      </c>
      <c r="B97" s="3771"/>
      <c r="C97" s="3092" t="s">
        <v>2703</v>
      </c>
      <c r="D97" s="3092" t="s">
        <v>2704</v>
      </c>
      <c r="E97" s="3118">
        <v>0.1</v>
      </c>
      <c r="F97" s="3118">
        <v>15</v>
      </c>
    </row>
    <row r="98" spans="1:6" ht="24">
      <c r="A98" s="3118">
        <v>26</v>
      </c>
      <c r="B98" s="3771"/>
      <c r="C98" s="3092" t="s">
        <v>2705</v>
      </c>
      <c r="D98" s="3092" t="s">
        <v>2706</v>
      </c>
      <c r="E98" s="3118">
        <v>0.1</v>
      </c>
      <c r="F98" s="3118">
        <v>15</v>
      </c>
    </row>
    <row r="99" spans="1:6" ht="24">
      <c r="A99" s="3118">
        <v>27</v>
      </c>
      <c r="B99" s="3771"/>
      <c r="C99" s="3092" t="s">
        <v>2707</v>
      </c>
      <c r="D99" s="3092" t="s">
        <v>2708</v>
      </c>
      <c r="E99" s="3118">
        <v>0.1</v>
      </c>
      <c r="F99" s="3118">
        <v>15</v>
      </c>
    </row>
    <row r="100" spans="1:6" ht="13.5">
      <c r="A100" s="3118">
        <v>28</v>
      </c>
      <c r="B100" s="3771"/>
      <c r="C100" s="3092" t="s">
        <v>2709</v>
      </c>
      <c r="D100" s="3092" t="s">
        <v>2710</v>
      </c>
      <c r="E100" s="3118">
        <v>0.1</v>
      </c>
      <c r="F100" s="3118">
        <v>15</v>
      </c>
    </row>
    <row r="101" spans="1:6" ht="13.5">
      <c r="A101" s="3118">
        <v>29</v>
      </c>
      <c r="B101" s="3771"/>
      <c r="C101" s="3092" t="s">
        <v>2711</v>
      </c>
      <c r="D101" s="3092" t="s">
        <v>2712</v>
      </c>
      <c r="E101" s="3118">
        <v>0.1</v>
      </c>
      <c r="F101" s="3118">
        <v>15</v>
      </c>
    </row>
    <row r="102" spans="1:6" ht="13.5">
      <c r="A102" s="3118">
        <v>30</v>
      </c>
      <c r="B102" s="3771"/>
      <c r="C102" s="3092" t="s">
        <v>2713</v>
      </c>
      <c r="D102" s="3092" t="s">
        <v>2714</v>
      </c>
      <c r="E102" s="3118">
        <v>0.1</v>
      </c>
      <c r="F102" s="3118">
        <v>15</v>
      </c>
    </row>
    <row r="103" spans="1:6" ht="24">
      <c r="A103" s="3118">
        <v>31</v>
      </c>
      <c r="B103" s="3771"/>
      <c r="C103" s="3092" t="s">
        <v>2715</v>
      </c>
      <c r="D103" s="3092" t="s">
        <v>2716</v>
      </c>
      <c r="E103" s="3118">
        <v>0.1</v>
      </c>
      <c r="F103" s="3118">
        <v>15</v>
      </c>
    </row>
    <row r="104" spans="1:6" ht="24">
      <c r="A104" s="3118">
        <v>32</v>
      </c>
      <c r="B104" s="3771"/>
      <c r="C104" s="3092" t="s">
        <v>2717</v>
      </c>
      <c r="D104" s="3092" t="s">
        <v>2718</v>
      </c>
      <c r="E104" s="3118">
        <v>0.1</v>
      </c>
      <c r="F104" s="3118">
        <v>15</v>
      </c>
    </row>
    <row r="105" spans="1:6" ht="24">
      <c r="A105" s="3118">
        <v>33</v>
      </c>
      <c r="B105" s="3771"/>
      <c r="C105" s="3092" t="s">
        <v>2719</v>
      </c>
      <c r="D105" s="3092" t="s">
        <v>2720</v>
      </c>
      <c r="E105" s="3118">
        <v>0.1</v>
      </c>
      <c r="F105" s="3118">
        <v>15</v>
      </c>
    </row>
    <row r="106" spans="1:6" ht="24">
      <c r="A106" s="3118">
        <v>34</v>
      </c>
      <c r="B106" s="3780"/>
      <c r="C106" s="3092" t="s">
        <v>2721</v>
      </c>
      <c r="D106" s="3092" t="s">
        <v>2722</v>
      </c>
      <c r="E106" s="3118">
        <v>0.1</v>
      </c>
      <c r="F106" s="3118">
        <v>15</v>
      </c>
    </row>
    <row r="107" spans="1:6" ht="24">
      <c r="A107" s="3118">
        <v>35</v>
      </c>
      <c r="B107" s="3776" t="s">
        <v>2723</v>
      </c>
      <c r="C107" s="3118" t="s">
        <v>2724</v>
      </c>
      <c r="D107" s="3092" t="s">
        <v>2725</v>
      </c>
      <c r="E107" s="3118">
        <v>0.15</v>
      </c>
      <c r="F107" s="3118">
        <v>20</v>
      </c>
    </row>
    <row r="108" spans="1:6" ht="13.5">
      <c r="A108" s="3118">
        <v>36</v>
      </c>
      <c r="B108" s="3771"/>
      <c r="C108" s="3118" t="s">
        <v>2726</v>
      </c>
      <c r="D108" s="3092" t="s">
        <v>2727</v>
      </c>
      <c r="E108" s="3118">
        <v>0.15</v>
      </c>
      <c r="F108" s="3118">
        <v>20</v>
      </c>
    </row>
    <row r="109" spans="1:6" ht="13.5">
      <c r="A109" s="3118">
        <v>37</v>
      </c>
      <c r="B109" s="3771"/>
      <c r="C109" s="3118" t="s">
        <v>2728</v>
      </c>
      <c r="D109" s="3092" t="s">
        <v>2729</v>
      </c>
      <c r="E109" s="3118">
        <v>0.15</v>
      </c>
      <c r="F109" s="3118">
        <v>20</v>
      </c>
    </row>
    <row r="110" spans="1:6" ht="13.5">
      <c r="A110" s="3118">
        <v>38</v>
      </c>
      <c r="B110" s="3771"/>
      <c r="C110" s="3118" t="s">
        <v>2730</v>
      </c>
      <c r="D110" s="3092" t="s">
        <v>2731</v>
      </c>
      <c r="E110" s="3118">
        <v>0.1</v>
      </c>
      <c r="F110" s="3118">
        <v>15</v>
      </c>
    </row>
    <row r="111" spans="1:6" ht="24">
      <c r="A111" s="3118">
        <v>39</v>
      </c>
      <c r="B111" s="3771"/>
      <c r="C111" s="3118" t="s">
        <v>2732</v>
      </c>
      <c r="D111" s="3092" t="s">
        <v>2733</v>
      </c>
      <c r="E111" s="3118">
        <v>0.1</v>
      </c>
      <c r="F111" s="3118">
        <v>15</v>
      </c>
    </row>
    <row r="112" spans="1:6" ht="24">
      <c r="A112" s="3118">
        <v>40</v>
      </c>
      <c r="B112" s="3780"/>
      <c r="C112" s="3118" t="s">
        <v>2734</v>
      </c>
      <c r="D112" s="3092" t="s">
        <v>2735</v>
      </c>
      <c r="E112" s="3118">
        <v>0.1</v>
      </c>
      <c r="F112" s="3118">
        <v>15</v>
      </c>
    </row>
    <row r="113" spans="1:6" ht="13.5">
      <c r="A113" s="3118">
        <v>41</v>
      </c>
      <c r="B113" s="3781" t="s">
        <v>2736</v>
      </c>
      <c r="C113" s="3118" t="s">
        <v>2737</v>
      </c>
      <c r="D113" s="3092" t="s">
        <v>2738</v>
      </c>
      <c r="E113" s="3118">
        <v>0.1</v>
      </c>
      <c r="F113" s="3118">
        <v>15</v>
      </c>
    </row>
    <row r="114" spans="1:6" ht="13.5">
      <c r="A114" s="3118">
        <v>42</v>
      </c>
      <c r="B114" s="3781"/>
      <c r="C114" s="3118" t="s">
        <v>2739</v>
      </c>
      <c r="D114" s="3092" t="s">
        <v>2740</v>
      </c>
      <c r="E114" s="3118">
        <v>0.1</v>
      </c>
      <c r="F114" s="3118">
        <v>15</v>
      </c>
    </row>
    <row r="115" spans="1:6" ht="24">
      <c r="A115" s="3118">
        <v>43</v>
      </c>
      <c r="B115" s="3781"/>
      <c r="C115" s="3118" t="s">
        <v>2741</v>
      </c>
      <c r="D115" s="3092" t="s">
        <v>2742</v>
      </c>
      <c r="E115" s="3118">
        <v>0.1</v>
      </c>
      <c r="F115" s="3118">
        <v>15</v>
      </c>
    </row>
    <row r="116" spans="1:6" ht="13.5">
      <c r="A116" s="3118">
        <v>44</v>
      </c>
      <c r="B116" s="3776" t="s">
        <v>2743</v>
      </c>
      <c r="C116" s="3118" t="s">
        <v>2744</v>
      </c>
      <c r="D116" s="3092" t="s">
        <v>2745</v>
      </c>
      <c r="E116" s="3118">
        <v>0.1</v>
      </c>
      <c r="F116" s="3118">
        <v>15</v>
      </c>
    </row>
    <row r="117" spans="1:6" ht="24">
      <c r="A117" s="3118">
        <v>45</v>
      </c>
      <c r="B117" s="3780"/>
      <c r="C117" s="3092" t="s">
        <v>2746</v>
      </c>
      <c r="D117" s="3092" t="s">
        <v>2747</v>
      </c>
      <c r="E117" s="3118">
        <v>0.1</v>
      </c>
      <c r="F117" s="3118">
        <v>15</v>
      </c>
    </row>
    <row r="118" spans="1:6" ht="24">
      <c r="A118" s="3118">
        <v>46</v>
      </c>
      <c r="B118" s="3776" t="s">
        <v>2748</v>
      </c>
      <c r="C118" s="3118" t="s">
        <v>2749</v>
      </c>
      <c r="D118" s="3092" t="s">
        <v>2750</v>
      </c>
      <c r="E118" s="3118">
        <v>0.1</v>
      </c>
      <c r="F118" s="3118">
        <v>15</v>
      </c>
    </row>
    <row r="119" spans="1:6" ht="24">
      <c r="A119" s="3118">
        <v>47</v>
      </c>
      <c r="B119" s="3780"/>
      <c r="C119" s="3118" t="s">
        <v>2751</v>
      </c>
      <c r="D119" s="3092" t="s">
        <v>2752</v>
      </c>
      <c r="E119" s="3118">
        <v>0.1</v>
      </c>
      <c r="F119" s="3118">
        <v>15</v>
      </c>
    </row>
    <row r="120" spans="1:6" ht="13.5">
      <c r="A120" s="3118">
        <v>48</v>
      </c>
      <c r="B120" s="3776" t="s">
        <v>2753</v>
      </c>
      <c r="C120" s="3118" t="s">
        <v>2754</v>
      </c>
      <c r="D120" s="3092" t="s">
        <v>2755</v>
      </c>
      <c r="E120" s="3118">
        <v>0.1</v>
      </c>
      <c r="F120" s="3118">
        <v>15</v>
      </c>
    </row>
    <row r="121" spans="1:6" ht="13.5">
      <c r="A121" s="3118">
        <v>49</v>
      </c>
      <c r="B121" s="3780"/>
      <c r="C121" s="3118" t="s">
        <v>2756</v>
      </c>
      <c r="D121" s="3092" t="s">
        <v>2757</v>
      </c>
      <c r="E121" s="3118">
        <v>0.1</v>
      </c>
      <c r="F121" s="3118">
        <v>15</v>
      </c>
    </row>
    <row r="122" spans="1:6" ht="24">
      <c r="A122" s="3118">
        <v>50</v>
      </c>
      <c r="B122" s="3781" t="s">
        <v>2758</v>
      </c>
      <c r="C122" s="3118" t="s">
        <v>2759</v>
      </c>
      <c r="D122" s="3092" t="s">
        <v>2760</v>
      </c>
      <c r="E122" s="3118">
        <v>0.1</v>
      </c>
      <c r="F122" s="3118">
        <v>15</v>
      </c>
    </row>
    <row r="123" spans="1:6" ht="24">
      <c r="A123" s="3118">
        <v>51</v>
      </c>
      <c r="B123" s="3781"/>
      <c r="C123" s="3118" t="s">
        <v>2761</v>
      </c>
      <c r="D123" s="3092" t="s">
        <v>2762</v>
      </c>
      <c r="E123" s="3118">
        <v>0.1</v>
      </c>
      <c r="F123" s="3118">
        <v>15</v>
      </c>
    </row>
    <row r="124" spans="1:6" ht="24">
      <c r="A124" s="3118">
        <v>52</v>
      </c>
      <c r="B124" s="3781" t="s">
        <v>2763</v>
      </c>
      <c r="C124" s="3118" t="s">
        <v>2764</v>
      </c>
      <c r="D124" s="3092" t="s">
        <v>2765</v>
      </c>
      <c r="E124" s="3118">
        <v>0.1</v>
      </c>
      <c r="F124" s="3118">
        <v>15</v>
      </c>
    </row>
    <row r="125" spans="1:6" ht="24">
      <c r="A125" s="3118">
        <v>53</v>
      </c>
      <c r="B125" s="3781"/>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81" t="s">
        <v>2771</v>
      </c>
      <c r="C127" s="3118" t="s">
        <v>2772</v>
      </c>
      <c r="D127" s="3092" t="s">
        <v>2773</v>
      </c>
      <c r="E127" s="3118">
        <v>0.1</v>
      </c>
      <c r="F127" s="3118">
        <v>15</v>
      </c>
    </row>
    <row r="128" spans="1:6" ht="13.5">
      <c r="A128" s="3118">
        <v>56</v>
      </c>
      <c r="B128" s="3781"/>
      <c r="C128" s="3118" t="s">
        <v>2774</v>
      </c>
      <c r="D128" s="3092" t="s">
        <v>2775</v>
      </c>
      <c r="E128" s="3118">
        <v>0.1</v>
      </c>
      <c r="F128" s="3118">
        <v>15</v>
      </c>
    </row>
    <row r="129" spans="1:6" ht="24">
      <c r="A129" s="3118">
        <v>57</v>
      </c>
      <c r="B129" s="3781"/>
      <c r="C129" s="3118" t="s">
        <v>2776</v>
      </c>
      <c r="D129" s="3092" t="s">
        <v>2777</v>
      </c>
      <c r="E129" s="3118">
        <v>0.1</v>
      </c>
      <c r="F129" s="3118">
        <v>15</v>
      </c>
    </row>
    <row r="130" spans="1:6" ht="24">
      <c r="A130" s="3118">
        <v>58</v>
      </c>
      <c r="B130" s="3781" t="s">
        <v>2778</v>
      </c>
      <c r="C130" s="3118" t="s">
        <v>2779</v>
      </c>
      <c r="D130" s="3092" t="s">
        <v>2780</v>
      </c>
      <c r="E130" s="3118">
        <v>0.1</v>
      </c>
      <c r="F130" s="3118">
        <v>15</v>
      </c>
    </row>
    <row r="131" spans="1:6" ht="13.5">
      <c r="A131" s="3118">
        <v>59</v>
      </c>
      <c r="B131" s="3781"/>
      <c r="C131" s="3118" t="s">
        <v>2781</v>
      </c>
      <c r="D131" s="3092" t="s">
        <v>2782</v>
      </c>
      <c r="E131" s="3118">
        <v>0.1</v>
      </c>
      <c r="F131" s="3118">
        <v>15</v>
      </c>
    </row>
    <row r="132" spans="1:6" ht="13.5">
      <c r="A132" s="3118">
        <v>60</v>
      </c>
      <c r="B132" s="3776" t="s">
        <v>2783</v>
      </c>
      <c r="C132" s="3118" t="s">
        <v>2784</v>
      </c>
      <c r="D132" s="3092" t="s">
        <v>2785</v>
      </c>
      <c r="E132" s="3118">
        <v>0.1</v>
      </c>
      <c r="F132" s="3118">
        <v>15</v>
      </c>
    </row>
    <row r="133" spans="1:6" ht="13.5">
      <c r="A133" s="3118">
        <v>61</v>
      </c>
      <c r="B133" s="3780"/>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81" t="s">
        <v>2791</v>
      </c>
      <c r="C135" s="3118" t="s">
        <v>2792</v>
      </c>
      <c r="D135" s="3092" t="s">
        <v>2793</v>
      </c>
      <c r="E135" s="3118">
        <v>0.1</v>
      </c>
      <c r="F135" s="3118">
        <v>15</v>
      </c>
    </row>
    <row r="136" spans="1:6" ht="13.5">
      <c r="A136" s="3118">
        <v>64</v>
      </c>
      <c r="B136" s="3781"/>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4533</v>
      </c>
      <c r="E5" s="1491"/>
    </row>
    <row r="6" spans="1:5" ht="15.75">
      <c r="A6" s="1491"/>
      <c r="B6" s="3465"/>
      <c r="C6" s="1494" t="s">
        <v>911</v>
      </c>
      <c r="D6" s="850" t="str">
        <f ca="1">NUMBERSTRING(INT(D5*10000),2)&amp;"元整"</f>
        <v>肆仟伍佰叁拾叁万元整</v>
      </c>
      <c r="E6" s="1491"/>
    </row>
    <row r="7" spans="1:5" ht="15.75">
      <c r="A7" s="1491"/>
      <c r="B7" s="3470"/>
      <c r="C7" s="1495" t="s">
        <v>912</v>
      </c>
      <c r="D7" s="851">
        <f ca="1">结果表!H102</f>
        <v>3543</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4533</v>
      </c>
      <c r="E13" s="1491"/>
    </row>
    <row r="14" spans="1:5" ht="15.75">
      <c r="A14" s="1491"/>
      <c r="B14" s="3465"/>
      <c r="C14" s="1494" t="s">
        <v>911</v>
      </c>
      <c r="D14" s="850" t="str">
        <f ca="1">NUMBERSTRING(INT(D13*10000),2)&amp;"元整"</f>
        <v>肆仟伍佰叁拾叁万元整</v>
      </c>
      <c r="E14" s="1491"/>
    </row>
    <row r="15" spans="1:5" ht="15">
      <c r="A15" s="1491"/>
      <c r="B15" s="3470"/>
      <c r="C15" s="1495" t="s">
        <v>921</v>
      </c>
      <c r="D15" s="859">
        <f ca="1">结果表!H108</f>
        <v>3543</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29686</v>
      </c>
      <c r="C2" s="2" t="s">
        <v>106</v>
      </c>
      <c r="D2" s="199"/>
      <c r="E2" s="199"/>
      <c r="F2" s="199"/>
      <c r="G2" s="199"/>
    </row>
    <row r="3" spans="1:7" s="200" customFormat="1" ht="18" customHeight="1" thickBot="1">
      <c r="A3" s="203" t="s">
        <v>58</v>
      </c>
      <c r="B3" s="204">
        <f ca="1">ROUND(B2*10000/'数据-汇总表'!E3,0)</f>
        <v>23202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32</v>
      </c>
      <c r="D10" s="845">
        <f>'数据-汇总表'!E6</f>
        <v>12794.5</v>
      </c>
      <c r="E10" s="225">
        <f>'数据-取费表'!B28</f>
        <v>25</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256</v>
      </c>
      <c r="D19" s="849">
        <f>'数据-汇总表'!E3</f>
        <v>12794.5</v>
      </c>
      <c r="E19" s="211">
        <f>'数据-取费表'!B31</f>
        <v>200</v>
      </c>
      <c r="F19" s="231"/>
      <c r="G19" s="1" t="s">
        <v>436</v>
      </c>
    </row>
    <row r="20" spans="1:7" s="214" customFormat="1" ht="13.5" customHeight="1">
      <c r="A20" s="777" t="s">
        <v>419</v>
      </c>
      <c r="B20" s="210" t="s">
        <v>77</v>
      </c>
      <c r="C20" s="232">
        <f>ROUND((C5+C19)*F20,0)</f>
        <v>417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1325</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1064</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1064</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25563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3582</v>
      </c>
      <c r="D34" s="217"/>
      <c r="E34" s="220"/>
      <c r="F34" s="257">
        <f>IF('数据-取费表'!B24=0,1,'数据-取费表'!N16)</f>
        <v>1</v>
      </c>
      <c r="G34" s="219" t="s">
        <v>89</v>
      </c>
    </row>
    <row r="35" spans="1:7" ht="13.5" customHeight="1">
      <c r="A35" s="780" t="s">
        <v>351</v>
      </c>
      <c r="B35" s="215" t="s">
        <v>33</v>
      </c>
      <c r="C35" s="220">
        <f>ROUND(C34*F35,0)</f>
        <v>107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256</v>
      </c>
      <c r="D37" s="217">
        <f>'数据-汇总表'!E3</f>
        <v>12794.5</v>
      </c>
      <c r="E37" s="249">
        <f>'数据-取费表'!B35</f>
        <v>200</v>
      </c>
      <c r="F37" s="259"/>
      <c r="G37" s="261" t="s">
        <v>92</v>
      </c>
    </row>
    <row r="38" spans="1:7" ht="13.5" customHeight="1">
      <c r="A38" s="780" t="s">
        <v>354</v>
      </c>
      <c r="B38" s="215" t="s">
        <v>36</v>
      </c>
      <c r="C38" s="220">
        <f>ROUND(C34*F38,0)</f>
        <v>54</v>
      </c>
      <c r="D38" s="220"/>
      <c r="E38" s="220"/>
      <c r="F38" s="259">
        <f>'数据-取费表'!B36</f>
        <v>1.4999999999999999E-2</v>
      </c>
      <c r="G38" s="219" t="s">
        <v>90</v>
      </c>
    </row>
    <row r="39" spans="1:7" s="214" customFormat="1" ht="13.5" customHeight="1">
      <c r="A39" s="777" t="s">
        <v>338</v>
      </c>
      <c r="B39" s="210" t="s">
        <v>77</v>
      </c>
      <c r="C39" s="232">
        <f>ROUND(C33*F20,0)</f>
        <v>80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124</v>
      </c>
      <c r="D42" s="238"/>
      <c r="E42" s="238"/>
      <c r="F42" s="239"/>
      <c r="G42" s="3646" t="s">
        <v>94</v>
      </c>
    </row>
    <row r="43" spans="1:7" ht="13.5" customHeight="1">
      <c r="A43" s="780" t="s">
        <v>347</v>
      </c>
      <c r="B43" s="215" t="s">
        <v>426</v>
      </c>
      <c r="C43" s="238">
        <f ca="1">ROUND(IF('数据-取费表'!B22&lt;=1,C39*F22*'数据-取费表'!B21/2,C39*(POWER((1+F22),'数据-取费表'!B21/2)-1)),0)</f>
        <v>2</v>
      </c>
      <c r="D43" s="238"/>
      <c r="E43" s="238"/>
      <c r="F43" s="239"/>
      <c r="G43" s="3647"/>
    </row>
    <row r="44" spans="1:7" ht="13.5" customHeight="1">
      <c r="A44" s="780" t="s">
        <v>348</v>
      </c>
      <c r="B44" s="215" t="s">
        <v>428</v>
      </c>
      <c r="C44" s="238">
        <f ca="1">ROUND(IF('数据-取费表'!B22&lt;=1,C40*F22*'数据-取费表'!B21/2,C40*(POWER((1+F22),'数据-取费表'!B21/2)-1)),4)</f>
        <v>5.9999999999999995E-4</v>
      </c>
      <c r="D44" s="238"/>
      <c r="E44" s="238"/>
      <c r="F44" s="239"/>
      <c r="G44" s="3648"/>
    </row>
    <row r="45" spans="1:7" s="214" customFormat="1" ht="13.5" customHeight="1">
      <c r="A45" s="777" t="s">
        <v>341</v>
      </c>
      <c r="B45" s="244" t="s">
        <v>85</v>
      </c>
      <c r="C45" s="245">
        <f>C46</f>
        <v>204</v>
      </c>
      <c r="D45" s="235">
        <f>C47</f>
        <v>1E-3</v>
      </c>
      <c r="E45" s="236" t="s">
        <v>102</v>
      </c>
      <c r="F45" s="246"/>
      <c r="G45" s="247" t="s">
        <v>434</v>
      </c>
    </row>
    <row r="46" spans="1:7" s="214" customFormat="1" ht="13.5" customHeight="1">
      <c r="A46" s="780" t="s">
        <v>349</v>
      </c>
      <c r="B46" s="248" t="s">
        <v>427</v>
      </c>
      <c r="C46" s="249">
        <f>ROUND((C33+C39)*F27,0)</f>
        <v>204</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4761</v>
      </c>
      <c r="D49" s="232"/>
      <c r="E49" s="232"/>
      <c r="F49" s="264"/>
      <c r="G49" s="234" t="s">
        <v>435</v>
      </c>
    </row>
    <row r="50" spans="1:7" s="258" customFormat="1" ht="24">
      <c r="A50" s="777" t="s">
        <v>344</v>
      </c>
      <c r="B50" s="210" t="s">
        <v>97</v>
      </c>
      <c r="C50" s="232"/>
      <c r="D50" s="232"/>
      <c r="E50" s="232"/>
      <c r="F50" s="264">
        <f>IF('数据-取费表'!B24=0,'数据-取费表'!N16,1)</f>
        <v>0.86599999999999999</v>
      </c>
      <c r="G50" s="247" t="s">
        <v>98</v>
      </c>
    </row>
    <row r="51" spans="1:7" ht="16.5" customHeight="1">
      <c r="A51" s="777" t="s">
        <v>345</v>
      </c>
      <c r="B51" s="210" t="s">
        <v>105</v>
      </c>
      <c r="C51" s="232">
        <f ca="1">ROUND(C49*F50,0)</f>
        <v>4123</v>
      </c>
      <c r="D51" s="232"/>
      <c r="E51" s="232"/>
      <c r="F51" s="264"/>
      <c r="G51" s="234" t="s">
        <v>37</v>
      </c>
    </row>
    <row r="52" spans="1:7" s="208" customFormat="1" ht="16.5" thickBot="1">
      <c r="A52" s="265" t="s">
        <v>38</v>
      </c>
      <c r="B52" s="266"/>
      <c r="C52" s="267">
        <f ca="1">C31+C51</f>
        <v>29686</v>
      </c>
      <c r="D52" s="266"/>
      <c r="E52" s="266"/>
      <c r="F52" s="266"/>
      <c r="G52" s="268"/>
    </row>
    <row r="55" spans="1:7" ht="15">
      <c r="B55" s="270" t="s">
        <v>39</v>
      </c>
      <c r="C55" s="271"/>
    </row>
    <row r="56" spans="1:7">
      <c r="B56" s="273" t="s">
        <v>40</v>
      </c>
      <c r="C56" s="274">
        <f ca="1">ROUND(C51/C52,3)</f>
        <v>0.13900000000000001</v>
      </c>
    </row>
    <row r="57" spans="1:7">
      <c r="B57" s="273" t="s">
        <v>41</v>
      </c>
      <c r="C57" s="275">
        <f ca="1">1-C56</f>
        <v>0.86099999999999999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2" sqref="C22:Q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2845</v>
      </c>
      <c r="B1" s="3784"/>
      <c r="C1" s="3784"/>
      <c r="D1" s="3784"/>
      <c r="E1" s="3784"/>
      <c r="F1" s="3784"/>
      <c r="G1" s="378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2"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3187</v>
      </c>
      <c r="B1" s="3786"/>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3238</v>
      </c>
      <c r="B1" s="3787"/>
      <c r="C1" s="3787"/>
      <c r="D1" s="3787"/>
      <c r="E1" s="3787"/>
      <c r="F1" s="3788"/>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C22" sqref="C22:Q22"/>
    </sheetView>
  </sheetViews>
  <sheetFormatPr defaultRowHeight="13.5"/>
  <cols>
    <col min="1" max="1" width="13.875" customWidth="1"/>
    <col min="11" max="17" width="0" hidden="1" customWidth="1"/>
    <col min="25" max="30" width="0" hidden="1" customWidth="1"/>
  </cols>
  <sheetData>
    <row r="1" spans="1:30">
      <c r="A1" s="3221">
        <f>基准地价修正!G23</f>
        <v>44986</v>
      </c>
      <c r="B1" s="3210" t="s">
        <v>2844</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9" t="s">
        <v>2832</v>
      </c>
      <c r="S21" s="3790"/>
      <c r="T21" s="3790"/>
      <c r="U21" s="3790"/>
      <c r="V21" s="3790"/>
      <c r="W21" s="3790"/>
      <c r="X21" s="3165"/>
      <c r="Y21" s="3789" t="s">
        <v>2833</v>
      </c>
      <c r="Z21" s="3790"/>
      <c r="AA21" s="3790"/>
      <c r="AB21" s="3790"/>
      <c r="AC21" s="3790"/>
      <c r="AD21" s="3790"/>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22" sqref="C22:Q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44986</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1"/>
  <sheetViews>
    <sheetView workbookViewId="0">
      <selection activeCell="BA5" sqref="BA5:BA7"/>
    </sheetView>
  </sheetViews>
  <sheetFormatPr defaultRowHeight="12"/>
  <cols>
    <col min="1" max="1" width="20" style="3451" customWidth="1"/>
    <col min="2" max="2" width="7.625" style="3451" hidden="1" customWidth="1"/>
    <col min="3" max="3" width="11.625" style="3451" customWidth="1"/>
    <col min="4" max="4" width="20" style="3451" hidden="1" customWidth="1"/>
    <col min="5" max="5" width="7.375" style="3451" customWidth="1"/>
    <col min="6" max="7" width="20" style="3451" hidden="1" customWidth="1"/>
    <col min="8" max="8" width="9.25" style="3451" hidden="1" customWidth="1"/>
    <col min="9" max="9" width="10.375" style="3451" customWidth="1"/>
    <col min="10" max="10" width="12.625" style="3451" customWidth="1"/>
    <col min="11" max="11" width="11.75" style="3451" customWidth="1"/>
    <col min="12" max="12" width="20" style="3451" hidden="1" customWidth="1"/>
    <col min="13" max="13" width="9" style="3451" customWidth="1"/>
    <col min="14" max="28" width="20" style="3451" hidden="1" customWidth="1"/>
    <col min="29" max="29" width="11.375" style="3451" customWidth="1"/>
    <col min="30" max="31" width="20" style="3451" hidden="1" customWidth="1"/>
    <col min="32" max="32" width="20" style="3451" customWidth="1"/>
    <col min="33" max="37" width="20" style="3451" hidden="1" customWidth="1"/>
    <col min="38" max="38" width="11" style="3451" customWidth="1"/>
    <col min="39" max="39" width="20" style="3451" hidden="1" customWidth="1"/>
    <col min="40" max="40" width="10.125" style="3451" customWidth="1"/>
    <col min="41" max="41" width="20" style="3451" hidden="1" customWidth="1"/>
    <col min="42" max="42" width="11.125" style="3451" customWidth="1"/>
    <col min="43" max="44" width="20" style="3451" hidden="1" customWidth="1"/>
    <col min="45" max="45" width="9.125" style="3451" customWidth="1"/>
    <col min="46" max="46" width="8.25" style="3451" customWidth="1"/>
    <col min="47" max="52" width="20" style="3451" hidden="1" customWidth="1"/>
    <col min="53" max="53" width="8.75" style="3451" customWidth="1"/>
    <col min="54" max="16384" width="9" style="3451"/>
  </cols>
  <sheetData>
    <row r="1" spans="1:53">
      <c r="A1" s="3450" t="s">
        <v>3378</v>
      </c>
      <c r="B1" s="3450" t="s">
        <v>3379</v>
      </c>
      <c r="C1" s="3450" t="s">
        <v>3380</v>
      </c>
      <c r="D1" s="3450" t="s">
        <v>3381</v>
      </c>
      <c r="E1" s="3450" t="s">
        <v>3382</v>
      </c>
      <c r="F1" s="3450" t="s">
        <v>3383</v>
      </c>
      <c r="G1" s="3450" t="s">
        <v>3384</v>
      </c>
      <c r="H1" s="3450" t="s">
        <v>3385</v>
      </c>
      <c r="I1" s="3450" t="s">
        <v>3386</v>
      </c>
      <c r="J1" s="3450" t="s">
        <v>3387</v>
      </c>
      <c r="K1" s="3450" t="s">
        <v>3388</v>
      </c>
      <c r="L1" s="3450" t="s">
        <v>3389</v>
      </c>
      <c r="M1" s="3450" t="s">
        <v>3390</v>
      </c>
      <c r="N1" s="3450" t="s">
        <v>3391</v>
      </c>
      <c r="O1" s="3450" t="s">
        <v>3392</v>
      </c>
      <c r="P1" s="3450" t="s">
        <v>3393</v>
      </c>
      <c r="Q1" s="3450" t="s">
        <v>3394</v>
      </c>
      <c r="R1" s="3450" t="s">
        <v>3395</v>
      </c>
      <c r="S1" s="3450" t="s">
        <v>3396</v>
      </c>
      <c r="T1" s="3450" t="s">
        <v>3397</v>
      </c>
      <c r="U1" s="3450" t="s">
        <v>3398</v>
      </c>
      <c r="V1" s="3450" t="s">
        <v>3399</v>
      </c>
      <c r="W1" s="3450" t="s">
        <v>3400</v>
      </c>
      <c r="X1" s="3450" t="s">
        <v>3401</v>
      </c>
      <c r="Y1" s="3450" t="s">
        <v>3402</v>
      </c>
      <c r="Z1" s="3450" t="s">
        <v>3403</v>
      </c>
      <c r="AA1" s="3450" t="s">
        <v>3404</v>
      </c>
      <c r="AB1" s="3450" t="s">
        <v>3405</v>
      </c>
      <c r="AC1" s="3450" t="s">
        <v>3406</v>
      </c>
      <c r="AD1" s="3450" t="s">
        <v>3407</v>
      </c>
      <c r="AE1" s="3450" t="s">
        <v>3408</v>
      </c>
      <c r="AF1" s="3450" t="s">
        <v>3409</v>
      </c>
      <c r="AG1" s="3450" t="s">
        <v>3410</v>
      </c>
      <c r="AH1" s="3450" t="s">
        <v>3411</v>
      </c>
      <c r="AI1" s="3450" t="s">
        <v>3412</v>
      </c>
      <c r="AJ1" s="3450" t="s">
        <v>3413</v>
      </c>
      <c r="AK1" s="3450" t="s">
        <v>3414</v>
      </c>
      <c r="AL1" s="3450" t="s">
        <v>3415</v>
      </c>
      <c r="AM1" s="3450" t="s">
        <v>3416</v>
      </c>
      <c r="AN1" s="3450" t="s">
        <v>3417</v>
      </c>
      <c r="AO1" s="3450" t="s">
        <v>3418</v>
      </c>
      <c r="AP1" s="3450" t="s">
        <v>3419</v>
      </c>
      <c r="AQ1" s="3450" t="s">
        <v>3420</v>
      </c>
      <c r="AR1" s="3450" t="s">
        <v>3421</v>
      </c>
      <c r="AS1" s="3450" t="s">
        <v>3422</v>
      </c>
      <c r="AT1" s="3450" t="s">
        <v>3423</v>
      </c>
      <c r="AU1" s="3450" t="s">
        <v>3424</v>
      </c>
      <c r="AV1" s="3450" t="s">
        <v>3425</v>
      </c>
      <c r="AW1" s="3450" t="s">
        <v>3426</v>
      </c>
      <c r="AX1" s="3450" t="s">
        <v>3427</v>
      </c>
      <c r="AY1" s="3450" t="s">
        <v>3428</v>
      </c>
      <c r="AZ1" s="3450" t="s">
        <v>3429</v>
      </c>
      <c r="BA1" s="3451" t="s">
        <v>3685</v>
      </c>
    </row>
    <row r="2" spans="1:53" s="3455" customFormat="1">
      <c r="A2" s="3453" t="s">
        <v>3687</v>
      </c>
      <c r="B2" s="3453" t="s">
        <v>3430</v>
      </c>
      <c r="C2" s="3453" t="s">
        <v>3431</v>
      </c>
      <c r="D2" s="3453" t="s">
        <v>3432</v>
      </c>
      <c r="E2" s="3453" t="s">
        <v>3433</v>
      </c>
      <c r="F2" s="3453" t="s">
        <v>3434</v>
      </c>
      <c r="G2" s="3453" t="s">
        <v>3435</v>
      </c>
      <c r="H2" s="3453" t="s">
        <v>3436</v>
      </c>
      <c r="I2" s="3453">
        <v>18054.939999999999</v>
      </c>
      <c r="J2" s="3453">
        <v>22027.03</v>
      </c>
      <c r="K2" s="3453" t="s">
        <v>3437</v>
      </c>
      <c r="L2" s="3453" t="s">
        <v>3438</v>
      </c>
      <c r="M2" s="3453" t="s">
        <v>3436</v>
      </c>
      <c r="N2" s="3453" t="s">
        <v>3439</v>
      </c>
      <c r="O2" s="3453" t="s">
        <v>3440</v>
      </c>
      <c r="P2" s="3453" t="s">
        <v>3441</v>
      </c>
      <c r="Q2" s="3453" t="s">
        <v>3434</v>
      </c>
      <c r="R2" s="3453" t="s">
        <v>3434</v>
      </c>
      <c r="S2" s="3453" t="s">
        <v>3434</v>
      </c>
      <c r="T2" s="3453" t="s">
        <v>3434</v>
      </c>
      <c r="U2" s="3453" t="s">
        <v>3434</v>
      </c>
      <c r="V2" s="3453" t="s">
        <v>3434</v>
      </c>
      <c r="W2" s="3453" t="s">
        <v>3434</v>
      </c>
      <c r="X2" s="3453">
        <v>0</v>
      </c>
      <c r="Y2" s="3453">
        <v>0</v>
      </c>
      <c r="Z2" s="3454">
        <v>44904.000497685185</v>
      </c>
      <c r="AA2" s="3454">
        <v>44925.000497685185</v>
      </c>
      <c r="AB2" s="3454">
        <v>44925.000497685185</v>
      </c>
      <c r="AC2" s="3454">
        <v>44925.000497685185</v>
      </c>
      <c r="AD2" s="3453" t="s">
        <v>3442</v>
      </c>
      <c r="AE2" s="3453" t="s">
        <v>3443</v>
      </c>
      <c r="AF2" s="3453" t="s">
        <v>3444</v>
      </c>
      <c r="AG2" s="3453" t="s">
        <v>3434</v>
      </c>
      <c r="AH2" s="3453" t="s">
        <v>3434</v>
      </c>
      <c r="AI2" s="3453">
        <v>648.89</v>
      </c>
      <c r="AJ2" s="3453">
        <v>648</v>
      </c>
      <c r="AK2" s="3453" t="s">
        <v>3445</v>
      </c>
      <c r="AL2" s="3453">
        <v>650.25</v>
      </c>
      <c r="AM2" s="3453">
        <v>23.96</v>
      </c>
      <c r="AN2" s="3453">
        <v>24.01</v>
      </c>
      <c r="AO2" s="3453">
        <v>295</v>
      </c>
      <c r="AP2" s="3453">
        <v>295</v>
      </c>
      <c r="AQ2" s="3453" t="s">
        <v>3434</v>
      </c>
      <c r="AR2" s="3453" t="s">
        <v>3434</v>
      </c>
      <c r="AS2" s="3453">
        <v>0.21</v>
      </c>
      <c r="AT2" s="3453" t="s">
        <v>3446</v>
      </c>
      <c r="AU2" s="3453" t="s">
        <v>3440</v>
      </c>
      <c r="AV2" s="3453" t="s">
        <v>3434</v>
      </c>
      <c r="AW2" s="3453" t="s">
        <v>3440</v>
      </c>
      <c r="AX2" s="3453" t="s">
        <v>3434</v>
      </c>
      <c r="AY2" s="3453" t="s">
        <v>3434</v>
      </c>
      <c r="AZ2" s="3453" t="s">
        <v>3434</v>
      </c>
      <c r="BA2" s="3455">
        <f>ROUND(AL2*10000/I2,0)</f>
        <v>360</v>
      </c>
    </row>
    <row r="3" spans="1:53" s="3455" customFormat="1">
      <c r="A3" s="3453" t="s">
        <v>3688</v>
      </c>
      <c r="B3" s="3453" t="s">
        <v>3430</v>
      </c>
      <c r="C3" s="3453" t="s">
        <v>3447</v>
      </c>
      <c r="D3" s="3453" t="s">
        <v>3432</v>
      </c>
      <c r="E3" s="3453" t="s">
        <v>3433</v>
      </c>
      <c r="F3" s="3453" t="s">
        <v>3434</v>
      </c>
      <c r="G3" s="3453" t="s">
        <v>3448</v>
      </c>
      <c r="H3" s="3453" t="s">
        <v>3436</v>
      </c>
      <c r="I3" s="3453">
        <v>9425.73</v>
      </c>
      <c r="J3" s="3453">
        <v>9425.73</v>
      </c>
      <c r="K3" s="3453" t="s">
        <v>3449</v>
      </c>
      <c r="L3" s="3453" t="s">
        <v>3438</v>
      </c>
      <c r="M3" s="3453" t="s">
        <v>3436</v>
      </c>
      <c r="N3" s="3453" t="s">
        <v>3439</v>
      </c>
      <c r="O3" s="3453" t="s">
        <v>3440</v>
      </c>
      <c r="P3" s="3453" t="s">
        <v>3450</v>
      </c>
      <c r="Q3" s="3453" t="s">
        <v>3434</v>
      </c>
      <c r="R3" s="3453" t="s">
        <v>3434</v>
      </c>
      <c r="S3" s="3453" t="s">
        <v>3434</v>
      </c>
      <c r="T3" s="3453" t="s">
        <v>3434</v>
      </c>
      <c r="U3" s="3453" t="s">
        <v>3434</v>
      </c>
      <c r="V3" s="3453" t="s">
        <v>3434</v>
      </c>
      <c r="W3" s="3453" t="s">
        <v>3434</v>
      </c>
      <c r="X3" s="3453">
        <v>0</v>
      </c>
      <c r="Y3" s="3453">
        <v>0</v>
      </c>
      <c r="Z3" s="3454">
        <v>44879.000497685185</v>
      </c>
      <c r="AA3" s="3454">
        <v>44900.000497685185</v>
      </c>
      <c r="AB3" s="3454">
        <v>44900.000497685185</v>
      </c>
      <c r="AC3" s="3454">
        <v>44900.000497685185</v>
      </c>
      <c r="AD3" s="3453" t="s">
        <v>3451</v>
      </c>
      <c r="AE3" s="3453" t="s">
        <v>3443</v>
      </c>
      <c r="AF3" s="3453" t="s">
        <v>3452</v>
      </c>
      <c r="AG3" s="3453" t="s">
        <v>3434</v>
      </c>
      <c r="AH3" s="3453" t="s">
        <v>3434</v>
      </c>
      <c r="AI3" s="3453">
        <v>307.23</v>
      </c>
      <c r="AJ3" s="3453">
        <v>300</v>
      </c>
      <c r="AK3" s="3453" t="s">
        <v>3453</v>
      </c>
      <c r="AL3" s="3453">
        <v>307.94</v>
      </c>
      <c r="AM3" s="3453">
        <v>21.73</v>
      </c>
      <c r="AN3" s="3453">
        <v>21.78</v>
      </c>
      <c r="AO3" s="3453">
        <v>326</v>
      </c>
      <c r="AP3" s="3453">
        <v>327</v>
      </c>
      <c r="AQ3" s="3453" t="s">
        <v>3434</v>
      </c>
      <c r="AR3" s="3453" t="s">
        <v>3434</v>
      </c>
      <c r="AS3" s="3453">
        <v>0.23</v>
      </c>
      <c r="AT3" s="3453" t="s">
        <v>3446</v>
      </c>
      <c r="AU3" s="3453" t="s">
        <v>3440</v>
      </c>
      <c r="AV3" s="3453" t="s">
        <v>3434</v>
      </c>
      <c r="AW3" s="3453" t="s">
        <v>3440</v>
      </c>
      <c r="AX3" s="3453" t="s">
        <v>3434</v>
      </c>
      <c r="AY3" s="3453" t="s">
        <v>3434</v>
      </c>
      <c r="AZ3" s="3453" t="s">
        <v>3434</v>
      </c>
      <c r="BA3" s="3455">
        <f t="shared" ref="BA3:BA51" si="0">ROUND(AL3*10000/I3,0)</f>
        <v>327</v>
      </c>
    </row>
    <row r="4" spans="1:53" s="3455" customFormat="1">
      <c r="A4" s="3453" t="s">
        <v>3686</v>
      </c>
      <c r="B4" s="3453" t="s">
        <v>3430</v>
      </c>
      <c r="C4" s="3453" t="s">
        <v>3454</v>
      </c>
      <c r="D4" s="3453" t="s">
        <v>3432</v>
      </c>
      <c r="E4" s="3453" t="s">
        <v>3433</v>
      </c>
      <c r="F4" s="3453" t="s">
        <v>3434</v>
      </c>
      <c r="G4" s="3453" t="s">
        <v>3455</v>
      </c>
      <c r="H4" s="3453" t="s">
        <v>3436</v>
      </c>
      <c r="I4" s="3453">
        <v>11302.17</v>
      </c>
      <c r="J4" s="3453">
        <v>11302.17</v>
      </c>
      <c r="K4" s="3453" t="s">
        <v>3449</v>
      </c>
      <c r="L4" s="3453" t="s">
        <v>3438</v>
      </c>
      <c r="M4" s="3453" t="s">
        <v>3436</v>
      </c>
      <c r="N4" s="3453" t="s">
        <v>3439</v>
      </c>
      <c r="O4" s="3453" t="s">
        <v>3440</v>
      </c>
      <c r="P4" s="3453" t="s">
        <v>3450</v>
      </c>
      <c r="Q4" s="3453" t="s">
        <v>3434</v>
      </c>
      <c r="R4" s="3453" t="s">
        <v>3434</v>
      </c>
      <c r="S4" s="3453" t="s">
        <v>3434</v>
      </c>
      <c r="T4" s="3453" t="s">
        <v>3434</v>
      </c>
      <c r="U4" s="3453" t="s">
        <v>3434</v>
      </c>
      <c r="V4" s="3453" t="s">
        <v>3434</v>
      </c>
      <c r="W4" s="3453" t="s">
        <v>3434</v>
      </c>
      <c r="X4" s="3453">
        <v>0</v>
      </c>
      <c r="Y4" s="3453">
        <v>0</v>
      </c>
      <c r="Z4" s="3454">
        <v>44879.000497685185</v>
      </c>
      <c r="AA4" s="3454">
        <v>44900.000497685185</v>
      </c>
      <c r="AB4" s="3454">
        <v>44900.000497685185</v>
      </c>
      <c r="AC4" s="3454">
        <v>44900.000497685185</v>
      </c>
      <c r="AD4" s="3453" t="s">
        <v>3451</v>
      </c>
      <c r="AE4" s="3453" t="s">
        <v>3443</v>
      </c>
      <c r="AF4" s="3453" t="s">
        <v>3456</v>
      </c>
      <c r="AG4" s="3453" t="s">
        <v>3434</v>
      </c>
      <c r="AH4" s="3453" t="s">
        <v>3434</v>
      </c>
      <c r="AI4" s="3453">
        <v>362.8</v>
      </c>
      <c r="AJ4" s="3453">
        <v>360</v>
      </c>
      <c r="AK4" s="3453" t="s">
        <v>3453</v>
      </c>
      <c r="AL4" s="3453">
        <v>363.65</v>
      </c>
      <c r="AM4" s="3453">
        <v>21.4</v>
      </c>
      <c r="AN4" s="3453">
        <v>21.45</v>
      </c>
      <c r="AO4" s="3453">
        <v>321</v>
      </c>
      <c r="AP4" s="3453">
        <v>322</v>
      </c>
      <c r="AQ4" s="3453" t="s">
        <v>3434</v>
      </c>
      <c r="AR4" s="3453" t="s">
        <v>3434</v>
      </c>
      <c r="AS4" s="3453">
        <v>0.23</v>
      </c>
      <c r="AT4" s="3453" t="s">
        <v>3446</v>
      </c>
      <c r="AU4" s="3453" t="s">
        <v>3440</v>
      </c>
      <c r="AV4" s="3453" t="s">
        <v>3434</v>
      </c>
      <c r="AW4" s="3453" t="s">
        <v>3440</v>
      </c>
      <c r="AX4" s="3453" t="s">
        <v>3434</v>
      </c>
      <c r="AY4" s="3453" t="s">
        <v>3434</v>
      </c>
      <c r="AZ4" s="3453" t="s">
        <v>3434</v>
      </c>
      <c r="BA4" s="3455">
        <f t="shared" si="0"/>
        <v>322</v>
      </c>
    </row>
    <row r="5" spans="1:53" s="3458" customFormat="1">
      <c r="A5" s="3456" t="s">
        <v>3689</v>
      </c>
      <c r="B5" s="3456" t="s">
        <v>3430</v>
      </c>
      <c r="C5" s="3456" t="s">
        <v>3457</v>
      </c>
      <c r="D5" s="3456" t="s">
        <v>3432</v>
      </c>
      <c r="E5" s="3456" t="s">
        <v>3433</v>
      </c>
      <c r="F5" s="3456" t="s">
        <v>3434</v>
      </c>
      <c r="G5" s="3456" t="s">
        <v>3458</v>
      </c>
      <c r="H5" s="3456" t="s">
        <v>3436</v>
      </c>
      <c r="I5" s="3456">
        <v>18631.71</v>
      </c>
      <c r="J5" s="3456">
        <v>18631.71</v>
      </c>
      <c r="K5" s="3456" t="s">
        <v>3449</v>
      </c>
      <c r="L5" s="3456" t="s">
        <v>3438</v>
      </c>
      <c r="M5" s="3456" t="s">
        <v>3436</v>
      </c>
      <c r="N5" s="3456" t="s">
        <v>3439</v>
      </c>
      <c r="O5" s="3456" t="s">
        <v>3440</v>
      </c>
      <c r="P5" s="3456" t="s">
        <v>3450</v>
      </c>
      <c r="Q5" s="3456" t="s">
        <v>3434</v>
      </c>
      <c r="R5" s="3456" t="s">
        <v>3434</v>
      </c>
      <c r="S5" s="3456" t="s">
        <v>3434</v>
      </c>
      <c r="T5" s="3456" t="s">
        <v>3434</v>
      </c>
      <c r="U5" s="3456" t="s">
        <v>3434</v>
      </c>
      <c r="V5" s="3456" t="s">
        <v>3434</v>
      </c>
      <c r="W5" s="3456" t="s">
        <v>3434</v>
      </c>
      <c r="X5" s="3456">
        <v>0</v>
      </c>
      <c r="Y5" s="3456">
        <v>0</v>
      </c>
      <c r="Z5" s="3457">
        <v>44879.000497685185</v>
      </c>
      <c r="AA5" s="3457">
        <v>44900.000497685185</v>
      </c>
      <c r="AB5" s="3457">
        <v>44900.000497685185</v>
      </c>
      <c r="AC5" s="3457">
        <v>44900.000497685185</v>
      </c>
      <c r="AD5" s="3456" t="s">
        <v>3459</v>
      </c>
      <c r="AE5" s="3456" t="s">
        <v>3443</v>
      </c>
      <c r="AF5" s="3456" t="s">
        <v>3460</v>
      </c>
      <c r="AG5" s="3456" t="s">
        <v>3434</v>
      </c>
      <c r="AH5" s="3456" t="s">
        <v>3434</v>
      </c>
      <c r="AI5" s="3456">
        <v>669.62</v>
      </c>
      <c r="AJ5" s="3456">
        <v>660</v>
      </c>
      <c r="AK5" s="3456" t="s">
        <v>3453</v>
      </c>
      <c r="AL5" s="3456">
        <v>671.02</v>
      </c>
      <c r="AM5" s="3456">
        <v>23.96</v>
      </c>
      <c r="AN5" s="3456">
        <v>24.01</v>
      </c>
      <c r="AO5" s="3456">
        <v>359</v>
      </c>
      <c r="AP5" s="3456">
        <v>360</v>
      </c>
      <c r="AQ5" s="3456" t="s">
        <v>3434</v>
      </c>
      <c r="AR5" s="3456" t="s">
        <v>3434</v>
      </c>
      <c r="AS5" s="3456">
        <v>0.21</v>
      </c>
      <c r="AT5" s="3456" t="s">
        <v>3446</v>
      </c>
      <c r="AU5" s="3456" t="s">
        <v>3440</v>
      </c>
      <c r="AV5" s="3456" t="s">
        <v>3434</v>
      </c>
      <c r="AW5" s="3456" t="s">
        <v>3440</v>
      </c>
      <c r="AX5" s="3456" t="s">
        <v>3434</v>
      </c>
      <c r="AY5" s="3456" t="s">
        <v>3434</v>
      </c>
      <c r="AZ5" s="3456" t="s">
        <v>3434</v>
      </c>
      <c r="BA5" s="3458">
        <f t="shared" si="0"/>
        <v>360</v>
      </c>
    </row>
    <row r="6" spans="1:53" s="3458" customFormat="1">
      <c r="A6" s="3456" t="s">
        <v>3461</v>
      </c>
      <c r="B6" s="3456" t="s">
        <v>3430</v>
      </c>
      <c r="C6" s="3456" t="s">
        <v>3462</v>
      </c>
      <c r="D6" s="3456" t="s">
        <v>3432</v>
      </c>
      <c r="E6" s="3456" t="s">
        <v>3433</v>
      </c>
      <c r="F6" s="3456" t="s">
        <v>3434</v>
      </c>
      <c r="G6" s="3456" t="s">
        <v>3463</v>
      </c>
      <c r="H6" s="3456" t="s">
        <v>3436</v>
      </c>
      <c r="I6" s="3456">
        <v>96373.48</v>
      </c>
      <c r="J6" s="3456">
        <v>96373.48</v>
      </c>
      <c r="K6" s="3456" t="s">
        <v>3449</v>
      </c>
      <c r="L6" s="3456" t="s">
        <v>3438</v>
      </c>
      <c r="M6" s="3456" t="s">
        <v>3436</v>
      </c>
      <c r="N6" s="3456" t="s">
        <v>3439</v>
      </c>
      <c r="O6" s="3456" t="s">
        <v>3440</v>
      </c>
      <c r="P6" s="3456" t="s">
        <v>3450</v>
      </c>
      <c r="Q6" s="3456">
        <v>24</v>
      </c>
      <c r="R6" s="3456" t="s">
        <v>3434</v>
      </c>
      <c r="S6" s="3456" t="s">
        <v>3434</v>
      </c>
      <c r="T6" s="3456" t="s">
        <v>3434</v>
      </c>
      <c r="U6" s="3456" t="s">
        <v>3434</v>
      </c>
      <c r="V6" s="3456" t="s">
        <v>3434</v>
      </c>
      <c r="W6" s="3456" t="s">
        <v>3434</v>
      </c>
      <c r="X6" s="3456">
        <v>0</v>
      </c>
      <c r="Y6" s="3456">
        <v>0</v>
      </c>
      <c r="Z6" s="3457">
        <v>44799.000497685185</v>
      </c>
      <c r="AA6" s="3457">
        <v>44820.000497685185</v>
      </c>
      <c r="AB6" s="3457">
        <v>44820.000497685185</v>
      </c>
      <c r="AC6" s="3457">
        <v>44820.000497685185</v>
      </c>
      <c r="AD6" s="3456" t="s">
        <v>3464</v>
      </c>
      <c r="AE6" s="3456" t="s">
        <v>3443</v>
      </c>
      <c r="AF6" s="3456" t="s">
        <v>3465</v>
      </c>
      <c r="AG6" s="3456" t="s">
        <v>3434</v>
      </c>
      <c r="AH6" s="3456" t="s">
        <v>3434</v>
      </c>
      <c r="AI6" s="3456">
        <v>3463.66</v>
      </c>
      <c r="AJ6" s="3456">
        <v>3400</v>
      </c>
      <c r="AK6" s="3456" t="s">
        <v>3466</v>
      </c>
      <c r="AL6" s="3456">
        <v>3470.89</v>
      </c>
      <c r="AM6" s="3456">
        <v>23.96</v>
      </c>
      <c r="AN6" s="3456">
        <v>24.01</v>
      </c>
      <c r="AO6" s="3456">
        <v>359</v>
      </c>
      <c r="AP6" s="3456">
        <v>360</v>
      </c>
      <c r="AQ6" s="3456" t="s">
        <v>3434</v>
      </c>
      <c r="AR6" s="3456" t="s">
        <v>3434</v>
      </c>
      <c r="AS6" s="3456">
        <v>0.21</v>
      </c>
      <c r="AT6" s="3456" t="s">
        <v>3446</v>
      </c>
      <c r="AU6" s="3456" t="s">
        <v>3440</v>
      </c>
      <c r="AV6" s="3456" t="s">
        <v>3434</v>
      </c>
      <c r="AW6" s="3456" t="s">
        <v>3440</v>
      </c>
      <c r="AX6" s="3456" t="s">
        <v>3434</v>
      </c>
      <c r="AY6" s="3456" t="s">
        <v>3434</v>
      </c>
      <c r="AZ6" s="3456" t="s">
        <v>3434</v>
      </c>
      <c r="BA6" s="3458">
        <f t="shared" si="0"/>
        <v>360</v>
      </c>
    </row>
    <row r="7" spans="1:53" s="3458" customFormat="1">
      <c r="A7" s="3456" t="s">
        <v>3467</v>
      </c>
      <c r="B7" s="3456" t="s">
        <v>3430</v>
      </c>
      <c r="C7" s="3456" t="s">
        <v>3468</v>
      </c>
      <c r="D7" s="3456" t="s">
        <v>3432</v>
      </c>
      <c r="E7" s="3456" t="s">
        <v>3433</v>
      </c>
      <c r="F7" s="3456" t="s">
        <v>3434</v>
      </c>
      <c r="G7" s="3456" t="s">
        <v>3469</v>
      </c>
      <c r="H7" s="3456" t="s">
        <v>3436</v>
      </c>
      <c r="I7" s="3456">
        <v>6366.48</v>
      </c>
      <c r="J7" s="3456">
        <v>8021.76</v>
      </c>
      <c r="K7" s="3456" t="s">
        <v>3470</v>
      </c>
      <c r="L7" s="3456" t="s">
        <v>3438</v>
      </c>
      <c r="M7" s="3456" t="s">
        <v>3436</v>
      </c>
      <c r="N7" s="3456" t="s">
        <v>3439</v>
      </c>
      <c r="O7" s="3456" t="s">
        <v>3440</v>
      </c>
      <c r="P7" s="3456" t="s">
        <v>3471</v>
      </c>
      <c r="Q7" s="3456" t="s">
        <v>3434</v>
      </c>
      <c r="R7" s="3456" t="s">
        <v>3434</v>
      </c>
      <c r="S7" s="3456" t="s">
        <v>3434</v>
      </c>
      <c r="T7" s="3456" t="s">
        <v>3434</v>
      </c>
      <c r="U7" s="3456" t="s">
        <v>3434</v>
      </c>
      <c r="V7" s="3456" t="s">
        <v>3434</v>
      </c>
      <c r="W7" s="3456" t="s">
        <v>3434</v>
      </c>
      <c r="X7" s="3456">
        <v>0</v>
      </c>
      <c r="Y7" s="3456">
        <v>0</v>
      </c>
      <c r="Z7" s="3457">
        <v>44795.000497685185</v>
      </c>
      <c r="AA7" s="3457">
        <v>44817.000497685185</v>
      </c>
      <c r="AB7" s="3457">
        <v>44817.000497685185</v>
      </c>
      <c r="AC7" s="3457">
        <v>44817.000497685185</v>
      </c>
      <c r="AD7" s="3456" t="s">
        <v>3472</v>
      </c>
      <c r="AE7" s="3456" t="s">
        <v>3443</v>
      </c>
      <c r="AF7" s="3456" t="s">
        <v>3473</v>
      </c>
      <c r="AG7" s="3456" t="s">
        <v>3434</v>
      </c>
      <c r="AH7" s="3456" t="s">
        <v>3434</v>
      </c>
      <c r="AI7" s="3456">
        <v>228.81</v>
      </c>
      <c r="AJ7" s="3456">
        <v>220</v>
      </c>
      <c r="AK7" s="3456" t="s">
        <v>3474</v>
      </c>
      <c r="AL7" s="3456">
        <v>229.29</v>
      </c>
      <c r="AM7" s="3456">
        <v>23.96</v>
      </c>
      <c r="AN7" s="3456">
        <v>24.01</v>
      </c>
      <c r="AO7" s="3456">
        <v>285</v>
      </c>
      <c r="AP7" s="3456">
        <v>286</v>
      </c>
      <c r="AQ7" s="3456" t="s">
        <v>3434</v>
      </c>
      <c r="AR7" s="3456" t="s">
        <v>3434</v>
      </c>
      <c r="AS7" s="3456">
        <v>0.21</v>
      </c>
      <c r="AT7" s="3456" t="s">
        <v>3446</v>
      </c>
      <c r="AU7" s="3456" t="s">
        <v>3440</v>
      </c>
      <c r="AV7" s="3456" t="s">
        <v>3434</v>
      </c>
      <c r="AW7" s="3456" t="s">
        <v>3440</v>
      </c>
      <c r="AX7" s="3456" t="s">
        <v>3434</v>
      </c>
      <c r="AY7" s="3456" t="s">
        <v>3434</v>
      </c>
      <c r="AZ7" s="3456" t="s">
        <v>3434</v>
      </c>
      <c r="BA7" s="3458">
        <f t="shared" si="0"/>
        <v>360</v>
      </c>
    </row>
    <row r="8" spans="1:53">
      <c r="A8" s="3450" t="s">
        <v>3475</v>
      </c>
      <c r="B8" s="3450" t="s">
        <v>3430</v>
      </c>
      <c r="C8" s="3450" t="s">
        <v>3476</v>
      </c>
      <c r="D8" s="3450" t="s">
        <v>3432</v>
      </c>
      <c r="E8" s="3450" t="s">
        <v>3433</v>
      </c>
      <c r="F8" s="3450" t="s">
        <v>3434</v>
      </c>
      <c r="G8" s="3450" t="s">
        <v>3477</v>
      </c>
      <c r="H8" s="3450" t="s">
        <v>3436</v>
      </c>
      <c r="I8" s="3450">
        <v>5628.79</v>
      </c>
      <c r="J8" s="3450">
        <v>5628.79</v>
      </c>
      <c r="K8" s="3450" t="s">
        <v>3449</v>
      </c>
      <c r="L8" s="3450" t="s">
        <v>3438</v>
      </c>
      <c r="M8" s="3450" t="s">
        <v>3436</v>
      </c>
      <c r="N8" s="3450" t="s">
        <v>3439</v>
      </c>
      <c r="O8" s="3450" t="s">
        <v>3440</v>
      </c>
      <c r="P8" s="3450" t="s">
        <v>3450</v>
      </c>
      <c r="Q8" s="3450">
        <v>24</v>
      </c>
      <c r="R8" s="3450" t="s">
        <v>3434</v>
      </c>
      <c r="S8" s="3450" t="s">
        <v>3434</v>
      </c>
      <c r="T8" s="3450" t="s">
        <v>3434</v>
      </c>
      <c r="U8" s="3450" t="s">
        <v>3434</v>
      </c>
      <c r="V8" s="3450" t="s">
        <v>3434</v>
      </c>
      <c r="W8" s="3450" t="s">
        <v>3434</v>
      </c>
      <c r="X8" s="3450">
        <v>0</v>
      </c>
      <c r="Y8" s="3450">
        <v>0</v>
      </c>
      <c r="Z8" s="3452">
        <v>44714.000497685185</v>
      </c>
      <c r="AA8" s="3452">
        <v>44736.000497685185</v>
      </c>
      <c r="AB8" s="3452">
        <v>44736.000497685185</v>
      </c>
      <c r="AC8" s="3452">
        <v>44736.000497685185</v>
      </c>
      <c r="AD8" s="3450" t="s">
        <v>3478</v>
      </c>
      <c r="AE8" s="3450" t="s">
        <v>3443</v>
      </c>
      <c r="AF8" s="3450" t="s">
        <v>3479</v>
      </c>
      <c r="AG8" s="3450" t="s">
        <v>3434</v>
      </c>
      <c r="AH8" s="3450" t="s">
        <v>3434</v>
      </c>
      <c r="AI8" s="3450">
        <v>202.3</v>
      </c>
      <c r="AJ8" s="3450">
        <v>200</v>
      </c>
      <c r="AK8" s="3450" t="s">
        <v>3480</v>
      </c>
      <c r="AL8" s="3450">
        <v>202.72</v>
      </c>
      <c r="AM8" s="3450">
        <v>23.96</v>
      </c>
      <c r="AN8" s="3450">
        <v>24.01</v>
      </c>
      <c r="AO8" s="3450">
        <v>359</v>
      </c>
      <c r="AP8" s="3450">
        <v>360</v>
      </c>
      <c r="AQ8" s="3450" t="s">
        <v>3434</v>
      </c>
      <c r="AR8" s="3450" t="s">
        <v>3434</v>
      </c>
      <c r="AS8" s="3450">
        <v>0.21</v>
      </c>
      <c r="AT8" s="3450" t="s">
        <v>3446</v>
      </c>
      <c r="AU8" s="3450" t="s">
        <v>3440</v>
      </c>
      <c r="AV8" s="3450" t="s">
        <v>3434</v>
      </c>
      <c r="AW8" s="3450" t="s">
        <v>3440</v>
      </c>
      <c r="AX8" s="3450" t="s">
        <v>3434</v>
      </c>
      <c r="AY8" s="3450" t="s">
        <v>3434</v>
      </c>
      <c r="AZ8" s="3450" t="s">
        <v>3434</v>
      </c>
      <c r="BA8" s="3451">
        <f t="shared" si="0"/>
        <v>360</v>
      </c>
    </row>
    <row r="9" spans="1:53">
      <c r="A9" s="3450" t="s">
        <v>3481</v>
      </c>
      <c r="B9" s="3450" t="s">
        <v>3430</v>
      </c>
      <c r="C9" s="3450" t="s">
        <v>3482</v>
      </c>
      <c r="D9" s="3450" t="s">
        <v>3432</v>
      </c>
      <c r="E9" s="3450" t="s">
        <v>3433</v>
      </c>
      <c r="F9" s="3450" t="s">
        <v>3434</v>
      </c>
      <c r="G9" s="3450" t="s">
        <v>3483</v>
      </c>
      <c r="H9" s="3450" t="s">
        <v>3436</v>
      </c>
      <c r="I9" s="3450">
        <v>8305.91</v>
      </c>
      <c r="J9" s="3450">
        <v>8305.91</v>
      </c>
      <c r="K9" s="3450" t="s">
        <v>3449</v>
      </c>
      <c r="L9" s="3450" t="s">
        <v>3438</v>
      </c>
      <c r="M9" s="3450" t="s">
        <v>3436</v>
      </c>
      <c r="N9" s="3450" t="s">
        <v>3439</v>
      </c>
      <c r="O9" s="3450" t="s">
        <v>3440</v>
      </c>
      <c r="P9" s="3450" t="s">
        <v>3450</v>
      </c>
      <c r="Q9" s="3450">
        <v>24</v>
      </c>
      <c r="R9" s="3450" t="s">
        <v>3434</v>
      </c>
      <c r="S9" s="3450" t="s">
        <v>3434</v>
      </c>
      <c r="T9" s="3450" t="s">
        <v>3434</v>
      </c>
      <c r="U9" s="3450" t="s">
        <v>3434</v>
      </c>
      <c r="V9" s="3450" t="s">
        <v>3434</v>
      </c>
      <c r="W9" s="3450" t="s">
        <v>3434</v>
      </c>
      <c r="X9" s="3450">
        <v>0</v>
      </c>
      <c r="Y9" s="3450">
        <v>0</v>
      </c>
      <c r="Z9" s="3452">
        <v>44630.000497685185</v>
      </c>
      <c r="AA9" s="3452">
        <v>44651.000497685185</v>
      </c>
      <c r="AB9" s="3452">
        <v>44651.000497685185</v>
      </c>
      <c r="AC9" s="3452">
        <v>44651.000497685185</v>
      </c>
      <c r="AD9" s="3450" t="s">
        <v>3484</v>
      </c>
      <c r="AE9" s="3450" t="s">
        <v>3443</v>
      </c>
      <c r="AF9" s="3450" t="s">
        <v>3485</v>
      </c>
      <c r="AG9" s="3450" t="s">
        <v>3434</v>
      </c>
      <c r="AH9" s="3450" t="s">
        <v>3434</v>
      </c>
      <c r="AI9" s="3450">
        <v>298.52</v>
      </c>
      <c r="AJ9" s="3450">
        <v>290</v>
      </c>
      <c r="AK9" s="3450" t="s">
        <v>3486</v>
      </c>
      <c r="AL9" s="3450">
        <v>299.14</v>
      </c>
      <c r="AM9" s="3450">
        <v>23.96</v>
      </c>
      <c r="AN9" s="3450">
        <v>24.01</v>
      </c>
      <c r="AO9" s="3450">
        <v>359</v>
      </c>
      <c r="AP9" s="3450">
        <v>360</v>
      </c>
      <c r="AQ9" s="3450" t="s">
        <v>3434</v>
      </c>
      <c r="AR9" s="3450" t="s">
        <v>3434</v>
      </c>
      <c r="AS9" s="3450">
        <v>0.21</v>
      </c>
      <c r="AT9" s="3450" t="s">
        <v>3446</v>
      </c>
      <c r="AU9" s="3450" t="s">
        <v>3440</v>
      </c>
      <c r="AV9" s="3450" t="s">
        <v>3434</v>
      </c>
      <c r="AW9" s="3450" t="s">
        <v>3440</v>
      </c>
      <c r="AX9" s="3450" t="s">
        <v>3434</v>
      </c>
      <c r="AY9" s="3450" t="s">
        <v>3434</v>
      </c>
      <c r="AZ9" s="3450" t="s">
        <v>3434</v>
      </c>
      <c r="BA9" s="3451">
        <f t="shared" si="0"/>
        <v>360</v>
      </c>
    </row>
    <row r="10" spans="1:53">
      <c r="A10" s="3450" t="s">
        <v>3487</v>
      </c>
      <c r="B10" s="3450" t="s">
        <v>3430</v>
      </c>
      <c r="C10" s="3450" t="s">
        <v>3488</v>
      </c>
      <c r="D10" s="3450" t="s">
        <v>3432</v>
      </c>
      <c r="E10" s="3450" t="s">
        <v>3433</v>
      </c>
      <c r="F10" s="3450" t="s">
        <v>3434</v>
      </c>
      <c r="G10" s="3450" t="s">
        <v>3489</v>
      </c>
      <c r="H10" s="3450" t="s">
        <v>3436</v>
      </c>
      <c r="I10" s="3450">
        <v>9777.7099999999991</v>
      </c>
      <c r="J10" s="3450">
        <v>9777.7099999999991</v>
      </c>
      <c r="K10" s="3450" t="s">
        <v>3449</v>
      </c>
      <c r="L10" s="3450" t="s">
        <v>3438</v>
      </c>
      <c r="M10" s="3450" t="s">
        <v>3436</v>
      </c>
      <c r="N10" s="3450" t="s">
        <v>3439</v>
      </c>
      <c r="O10" s="3450" t="s">
        <v>3440</v>
      </c>
      <c r="P10" s="3450" t="s">
        <v>3450</v>
      </c>
      <c r="Q10" s="3450">
        <v>24</v>
      </c>
      <c r="R10" s="3450" t="s">
        <v>3434</v>
      </c>
      <c r="S10" s="3450" t="s">
        <v>3434</v>
      </c>
      <c r="T10" s="3450" t="s">
        <v>3434</v>
      </c>
      <c r="U10" s="3450" t="s">
        <v>3434</v>
      </c>
      <c r="V10" s="3450" t="s">
        <v>3434</v>
      </c>
      <c r="W10" s="3450" t="s">
        <v>3434</v>
      </c>
      <c r="X10" s="3450">
        <v>0</v>
      </c>
      <c r="Y10" s="3450">
        <v>0</v>
      </c>
      <c r="Z10" s="3452">
        <v>44630.000497685185</v>
      </c>
      <c r="AA10" s="3452">
        <v>44651.000497685185</v>
      </c>
      <c r="AB10" s="3452">
        <v>44651.000497685185</v>
      </c>
      <c r="AC10" s="3452">
        <v>44651.000497685185</v>
      </c>
      <c r="AD10" s="3450" t="s">
        <v>3484</v>
      </c>
      <c r="AE10" s="3450" t="s">
        <v>3443</v>
      </c>
      <c r="AF10" s="3450" t="s">
        <v>3490</v>
      </c>
      <c r="AG10" s="3450" t="s">
        <v>3434</v>
      </c>
      <c r="AH10" s="3450" t="s">
        <v>3434</v>
      </c>
      <c r="AI10" s="3450">
        <v>351.41</v>
      </c>
      <c r="AJ10" s="3450">
        <v>350</v>
      </c>
      <c r="AK10" s="3450" t="s">
        <v>3486</v>
      </c>
      <c r="AL10" s="3450">
        <v>352.15</v>
      </c>
      <c r="AM10" s="3450">
        <v>23.96</v>
      </c>
      <c r="AN10" s="3450">
        <v>24.01</v>
      </c>
      <c r="AO10" s="3450">
        <v>359</v>
      </c>
      <c r="AP10" s="3450">
        <v>360</v>
      </c>
      <c r="AQ10" s="3450" t="s">
        <v>3434</v>
      </c>
      <c r="AR10" s="3450" t="s">
        <v>3434</v>
      </c>
      <c r="AS10" s="3450">
        <v>0.21</v>
      </c>
      <c r="AT10" s="3450" t="s">
        <v>3446</v>
      </c>
      <c r="AU10" s="3450" t="s">
        <v>3440</v>
      </c>
      <c r="AV10" s="3450" t="s">
        <v>3434</v>
      </c>
      <c r="AW10" s="3450" t="s">
        <v>3440</v>
      </c>
      <c r="AX10" s="3450" t="s">
        <v>3434</v>
      </c>
      <c r="AY10" s="3450" t="s">
        <v>3434</v>
      </c>
      <c r="AZ10" s="3450" t="s">
        <v>3434</v>
      </c>
      <c r="BA10" s="3451">
        <f t="shared" si="0"/>
        <v>360</v>
      </c>
    </row>
    <row r="11" spans="1:53">
      <c r="A11" s="3450" t="s">
        <v>3491</v>
      </c>
      <c r="B11" s="3450" t="s">
        <v>3430</v>
      </c>
      <c r="C11" s="3450" t="s">
        <v>3492</v>
      </c>
      <c r="D11" s="3450" t="s">
        <v>3432</v>
      </c>
      <c r="E11" s="3450" t="s">
        <v>3433</v>
      </c>
      <c r="F11" s="3450" t="s">
        <v>3434</v>
      </c>
      <c r="G11" s="3450" t="s">
        <v>3493</v>
      </c>
      <c r="H11" s="3450" t="s">
        <v>3436</v>
      </c>
      <c r="I11" s="3450">
        <v>19789.64</v>
      </c>
      <c r="J11" s="3450">
        <v>19789.64</v>
      </c>
      <c r="K11" s="3450" t="s">
        <v>3449</v>
      </c>
      <c r="L11" s="3450" t="s">
        <v>3438</v>
      </c>
      <c r="M11" s="3450" t="s">
        <v>3436</v>
      </c>
      <c r="N11" s="3450" t="s">
        <v>3439</v>
      </c>
      <c r="O11" s="3450" t="s">
        <v>3440</v>
      </c>
      <c r="P11" s="3450" t="s">
        <v>3450</v>
      </c>
      <c r="Q11" s="3450" t="s">
        <v>3434</v>
      </c>
      <c r="R11" s="3450" t="s">
        <v>3434</v>
      </c>
      <c r="S11" s="3450" t="s">
        <v>3434</v>
      </c>
      <c r="T11" s="3450" t="s">
        <v>3434</v>
      </c>
      <c r="U11" s="3450" t="s">
        <v>3434</v>
      </c>
      <c r="V11" s="3450" t="s">
        <v>3434</v>
      </c>
      <c r="W11" s="3450" t="s">
        <v>3434</v>
      </c>
      <c r="X11" s="3450">
        <v>0</v>
      </c>
      <c r="Y11" s="3450">
        <v>0</v>
      </c>
      <c r="Z11" s="3452">
        <v>44624.000497685185</v>
      </c>
      <c r="AA11" s="3452">
        <v>44645.000497685185</v>
      </c>
      <c r="AB11" s="3452">
        <v>44645.000497685185</v>
      </c>
      <c r="AC11" s="3452">
        <v>44645.000497685185</v>
      </c>
      <c r="AD11" s="3450" t="s">
        <v>3494</v>
      </c>
      <c r="AE11" s="3450" t="s">
        <v>3443</v>
      </c>
      <c r="AF11" s="3450" t="s">
        <v>3495</v>
      </c>
      <c r="AG11" s="3450" t="s">
        <v>3434</v>
      </c>
      <c r="AH11" s="3450" t="s">
        <v>3434</v>
      </c>
      <c r="AI11" s="3450">
        <v>711.24</v>
      </c>
      <c r="AJ11" s="3450">
        <v>700</v>
      </c>
      <c r="AK11" s="3450" t="s">
        <v>3496</v>
      </c>
      <c r="AL11" s="3450">
        <v>712.72</v>
      </c>
      <c r="AM11" s="3450">
        <v>23.96</v>
      </c>
      <c r="AN11" s="3450">
        <v>24.01</v>
      </c>
      <c r="AO11" s="3450">
        <v>359</v>
      </c>
      <c r="AP11" s="3450">
        <v>360</v>
      </c>
      <c r="AQ11" s="3450" t="s">
        <v>3434</v>
      </c>
      <c r="AR11" s="3450" t="s">
        <v>3434</v>
      </c>
      <c r="AS11" s="3450">
        <v>0.21</v>
      </c>
      <c r="AT11" s="3450" t="s">
        <v>3446</v>
      </c>
      <c r="AU11" s="3450" t="s">
        <v>3440</v>
      </c>
      <c r="AV11" s="3450" t="s">
        <v>3434</v>
      </c>
      <c r="AW11" s="3450" t="s">
        <v>3440</v>
      </c>
      <c r="AX11" s="3450" t="s">
        <v>3434</v>
      </c>
      <c r="AY11" s="3450" t="s">
        <v>3434</v>
      </c>
      <c r="AZ11" s="3450" t="s">
        <v>3434</v>
      </c>
      <c r="BA11" s="3451">
        <f t="shared" si="0"/>
        <v>360</v>
      </c>
    </row>
    <row r="12" spans="1:53">
      <c r="A12" s="3450" t="s">
        <v>3497</v>
      </c>
      <c r="B12" s="3450" t="s">
        <v>3430</v>
      </c>
      <c r="C12" s="3450" t="s">
        <v>3498</v>
      </c>
      <c r="D12" s="3450" t="s">
        <v>3432</v>
      </c>
      <c r="E12" s="3450" t="s">
        <v>3433</v>
      </c>
      <c r="F12" s="3450" t="s">
        <v>3434</v>
      </c>
      <c r="G12" s="3450" t="s">
        <v>3499</v>
      </c>
      <c r="H12" s="3450" t="s">
        <v>3436</v>
      </c>
      <c r="I12" s="3450">
        <v>27867.25</v>
      </c>
      <c r="J12" s="3450">
        <v>27867.25</v>
      </c>
      <c r="K12" s="3450" t="s">
        <v>3449</v>
      </c>
      <c r="L12" s="3450" t="s">
        <v>3438</v>
      </c>
      <c r="M12" s="3450" t="s">
        <v>3436</v>
      </c>
      <c r="N12" s="3450" t="s">
        <v>3439</v>
      </c>
      <c r="O12" s="3450" t="s">
        <v>3440</v>
      </c>
      <c r="P12" s="3450" t="s">
        <v>3450</v>
      </c>
      <c r="Q12" s="3450">
        <v>24</v>
      </c>
      <c r="R12" s="3450" t="s">
        <v>3434</v>
      </c>
      <c r="S12" s="3450" t="s">
        <v>3434</v>
      </c>
      <c r="T12" s="3450" t="s">
        <v>3434</v>
      </c>
      <c r="U12" s="3450" t="s">
        <v>3434</v>
      </c>
      <c r="V12" s="3450" t="s">
        <v>3434</v>
      </c>
      <c r="W12" s="3450" t="s">
        <v>3434</v>
      </c>
      <c r="X12" s="3450">
        <v>0</v>
      </c>
      <c r="Y12" s="3450">
        <v>0</v>
      </c>
      <c r="Z12" s="3452">
        <v>44624.000497685185</v>
      </c>
      <c r="AA12" s="3452">
        <v>44645.000497685185</v>
      </c>
      <c r="AB12" s="3452">
        <v>44645.000497685185</v>
      </c>
      <c r="AC12" s="3452">
        <v>44645.000497685185</v>
      </c>
      <c r="AD12" s="3450" t="s">
        <v>3500</v>
      </c>
      <c r="AE12" s="3450" t="s">
        <v>3443</v>
      </c>
      <c r="AF12" s="3450" t="s">
        <v>3501</v>
      </c>
      <c r="AG12" s="3450" t="s">
        <v>3434</v>
      </c>
      <c r="AH12" s="3450" t="s">
        <v>3434</v>
      </c>
      <c r="AI12" s="3450">
        <v>1001.55</v>
      </c>
      <c r="AJ12" s="3450">
        <v>1000</v>
      </c>
      <c r="AK12" s="3450" t="s">
        <v>3496</v>
      </c>
      <c r="AL12" s="3450">
        <v>1003.64</v>
      </c>
      <c r="AM12" s="3450">
        <v>23.96</v>
      </c>
      <c r="AN12" s="3450">
        <v>24.01</v>
      </c>
      <c r="AO12" s="3450">
        <v>359</v>
      </c>
      <c r="AP12" s="3450">
        <v>360</v>
      </c>
      <c r="AQ12" s="3450" t="s">
        <v>3434</v>
      </c>
      <c r="AR12" s="3450" t="s">
        <v>3434</v>
      </c>
      <c r="AS12" s="3450">
        <v>0.21</v>
      </c>
      <c r="AT12" s="3450" t="s">
        <v>3446</v>
      </c>
      <c r="AU12" s="3450" t="s">
        <v>3440</v>
      </c>
      <c r="AV12" s="3450" t="s">
        <v>3434</v>
      </c>
      <c r="AW12" s="3450" t="s">
        <v>3440</v>
      </c>
      <c r="AX12" s="3450" t="s">
        <v>3434</v>
      </c>
      <c r="AY12" s="3450" t="s">
        <v>3434</v>
      </c>
      <c r="AZ12" s="3450" t="s">
        <v>3434</v>
      </c>
      <c r="BA12" s="3451">
        <f t="shared" si="0"/>
        <v>360</v>
      </c>
    </row>
    <row r="13" spans="1:53">
      <c r="A13" s="3450" t="s">
        <v>3502</v>
      </c>
      <c r="B13" s="3450" t="s">
        <v>3430</v>
      </c>
      <c r="C13" s="3450" t="s">
        <v>3503</v>
      </c>
      <c r="D13" s="3450" t="s">
        <v>3432</v>
      </c>
      <c r="E13" s="3450" t="s">
        <v>3433</v>
      </c>
      <c r="F13" s="3450" t="s">
        <v>3434</v>
      </c>
      <c r="G13" s="3450" t="s">
        <v>3504</v>
      </c>
      <c r="H13" s="3450" t="s">
        <v>3436</v>
      </c>
      <c r="I13" s="3450">
        <v>261</v>
      </c>
      <c r="J13" s="3450">
        <v>261</v>
      </c>
      <c r="K13" s="3450" t="s">
        <v>3449</v>
      </c>
      <c r="L13" s="3450" t="s">
        <v>3438</v>
      </c>
      <c r="M13" s="3450" t="s">
        <v>3436</v>
      </c>
      <c r="N13" s="3450" t="s">
        <v>3439</v>
      </c>
      <c r="O13" s="3450" t="s">
        <v>3440</v>
      </c>
      <c r="P13" s="3450" t="s">
        <v>3450</v>
      </c>
      <c r="Q13" s="3450">
        <v>24</v>
      </c>
      <c r="R13" s="3450" t="s">
        <v>3434</v>
      </c>
      <c r="S13" s="3450" t="s">
        <v>3434</v>
      </c>
      <c r="T13" s="3450" t="s">
        <v>3434</v>
      </c>
      <c r="U13" s="3450" t="s">
        <v>3434</v>
      </c>
      <c r="V13" s="3450" t="s">
        <v>3434</v>
      </c>
      <c r="W13" s="3450" t="s">
        <v>3434</v>
      </c>
      <c r="X13" s="3450">
        <v>0</v>
      </c>
      <c r="Y13" s="3450">
        <v>0</v>
      </c>
      <c r="Z13" s="3452">
        <v>44624.000497685185</v>
      </c>
      <c r="AA13" s="3452">
        <v>44645.000497685185</v>
      </c>
      <c r="AB13" s="3452">
        <v>44645.000497685185</v>
      </c>
      <c r="AC13" s="3452">
        <v>44645.000497685185</v>
      </c>
      <c r="AD13" s="3450" t="s">
        <v>3505</v>
      </c>
      <c r="AE13" s="3450" t="s">
        <v>3443</v>
      </c>
      <c r="AF13" s="3450" t="s">
        <v>3506</v>
      </c>
      <c r="AG13" s="3450" t="s">
        <v>3434</v>
      </c>
      <c r="AH13" s="3450" t="s">
        <v>3434</v>
      </c>
      <c r="AI13" s="3450">
        <v>9.3800000000000008</v>
      </c>
      <c r="AJ13" s="3450">
        <v>9</v>
      </c>
      <c r="AK13" s="3450" t="s">
        <v>3496</v>
      </c>
      <c r="AL13" s="3450">
        <v>9.4</v>
      </c>
      <c r="AM13" s="3450">
        <v>23.96</v>
      </c>
      <c r="AN13" s="3450">
        <v>24.01</v>
      </c>
      <c r="AO13" s="3450">
        <v>359</v>
      </c>
      <c r="AP13" s="3450">
        <v>360</v>
      </c>
      <c r="AQ13" s="3450" t="s">
        <v>3434</v>
      </c>
      <c r="AR13" s="3450" t="s">
        <v>3434</v>
      </c>
      <c r="AS13" s="3450">
        <v>0.21</v>
      </c>
      <c r="AT13" s="3450" t="s">
        <v>3446</v>
      </c>
      <c r="AU13" s="3450" t="s">
        <v>3440</v>
      </c>
      <c r="AV13" s="3450" t="s">
        <v>3434</v>
      </c>
      <c r="AW13" s="3450" t="s">
        <v>3440</v>
      </c>
      <c r="AX13" s="3450" t="s">
        <v>3434</v>
      </c>
      <c r="AY13" s="3450" t="s">
        <v>3434</v>
      </c>
      <c r="AZ13" s="3450" t="s">
        <v>3434</v>
      </c>
      <c r="BA13" s="3451">
        <f t="shared" si="0"/>
        <v>360</v>
      </c>
    </row>
    <row r="14" spans="1:53">
      <c r="A14" s="3450" t="s">
        <v>3502</v>
      </c>
      <c r="B14" s="3450" t="s">
        <v>3430</v>
      </c>
      <c r="C14" s="3450" t="s">
        <v>3507</v>
      </c>
      <c r="D14" s="3450" t="s">
        <v>3432</v>
      </c>
      <c r="E14" s="3450" t="s">
        <v>3433</v>
      </c>
      <c r="F14" s="3450" t="s">
        <v>3434</v>
      </c>
      <c r="G14" s="3450" t="s">
        <v>3504</v>
      </c>
      <c r="H14" s="3450" t="s">
        <v>3436</v>
      </c>
      <c r="I14" s="3450">
        <v>79</v>
      </c>
      <c r="J14" s="3450">
        <v>79</v>
      </c>
      <c r="K14" s="3450" t="s">
        <v>3449</v>
      </c>
      <c r="L14" s="3450" t="s">
        <v>3438</v>
      </c>
      <c r="M14" s="3450" t="s">
        <v>3436</v>
      </c>
      <c r="N14" s="3450" t="s">
        <v>3439</v>
      </c>
      <c r="O14" s="3450" t="s">
        <v>3440</v>
      </c>
      <c r="P14" s="3450" t="s">
        <v>3450</v>
      </c>
      <c r="Q14" s="3450">
        <v>24</v>
      </c>
      <c r="R14" s="3450" t="s">
        <v>3434</v>
      </c>
      <c r="S14" s="3450" t="s">
        <v>3434</v>
      </c>
      <c r="T14" s="3450" t="s">
        <v>3434</v>
      </c>
      <c r="U14" s="3450" t="s">
        <v>3434</v>
      </c>
      <c r="V14" s="3450" t="s">
        <v>3434</v>
      </c>
      <c r="W14" s="3450" t="s">
        <v>3434</v>
      </c>
      <c r="X14" s="3450">
        <v>0</v>
      </c>
      <c r="Y14" s="3450">
        <v>0</v>
      </c>
      <c r="Z14" s="3452">
        <v>44624.000497685185</v>
      </c>
      <c r="AA14" s="3452">
        <v>44645.000497685185</v>
      </c>
      <c r="AB14" s="3452">
        <v>44645.000497685185</v>
      </c>
      <c r="AC14" s="3452">
        <v>44645.000497685185</v>
      </c>
      <c r="AD14" s="3450" t="s">
        <v>3505</v>
      </c>
      <c r="AE14" s="3450" t="s">
        <v>3443</v>
      </c>
      <c r="AF14" s="3450" t="s">
        <v>3506</v>
      </c>
      <c r="AG14" s="3450" t="s">
        <v>3434</v>
      </c>
      <c r="AH14" s="3450" t="s">
        <v>3434</v>
      </c>
      <c r="AI14" s="3450">
        <v>2.84</v>
      </c>
      <c r="AJ14" s="3450">
        <v>2</v>
      </c>
      <c r="AK14" s="3450" t="s">
        <v>3496</v>
      </c>
      <c r="AL14" s="3450">
        <v>2.85</v>
      </c>
      <c r="AM14" s="3450">
        <v>23.97</v>
      </c>
      <c r="AN14" s="3450">
        <v>24.05</v>
      </c>
      <c r="AO14" s="3450">
        <v>359</v>
      </c>
      <c r="AP14" s="3450">
        <v>361</v>
      </c>
      <c r="AQ14" s="3450" t="s">
        <v>3434</v>
      </c>
      <c r="AR14" s="3450" t="s">
        <v>3434</v>
      </c>
      <c r="AS14" s="3450">
        <v>0.35</v>
      </c>
      <c r="AT14" s="3450" t="s">
        <v>3446</v>
      </c>
      <c r="AU14" s="3450" t="s">
        <v>3440</v>
      </c>
      <c r="AV14" s="3450" t="s">
        <v>3434</v>
      </c>
      <c r="AW14" s="3450" t="s">
        <v>3440</v>
      </c>
      <c r="AX14" s="3450" t="s">
        <v>3434</v>
      </c>
      <c r="AY14" s="3450" t="s">
        <v>3434</v>
      </c>
      <c r="AZ14" s="3450" t="s">
        <v>3434</v>
      </c>
      <c r="BA14" s="3451">
        <f t="shared" si="0"/>
        <v>361</v>
      </c>
    </row>
    <row r="15" spans="1:53">
      <c r="A15" s="3450" t="s">
        <v>3502</v>
      </c>
      <c r="B15" s="3450" t="s">
        <v>3430</v>
      </c>
      <c r="C15" s="3450" t="s">
        <v>3508</v>
      </c>
      <c r="D15" s="3450" t="s">
        <v>3432</v>
      </c>
      <c r="E15" s="3450" t="s">
        <v>3433</v>
      </c>
      <c r="F15" s="3450" t="s">
        <v>3434</v>
      </c>
      <c r="G15" s="3450" t="s">
        <v>3504</v>
      </c>
      <c r="H15" s="3450" t="s">
        <v>3436</v>
      </c>
      <c r="I15" s="3450">
        <v>183</v>
      </c>
      <c r="J15" s="3450">
        <v>183</v>
      </c>
      <c r="K15" s="3450" t="s">
        <v>3449</v>
      </c>
      <c r="L15" s="3450" t="s">
        <v>3438</v>
      </c>
      <c r="M15" s="3450" t="s">
        <v>3436</v>
      </c>
      <c r="N15" s="3450" t="s">
        <v>3439</v>
      </c>
      <c r="O15" s="3450" t="s">
        <v>3440</v>
      </c>
      <c r="P15" s="3450" t="s">
        <v>3450</v>
      </c>
      <c r="Q15" s="3450">
        <v>24</v>
      </c>
      <c r="R15" s="3450" t="s">
        <v>3434</v>
      </c>
      <c r="S15" s="3450" t="s">
        <v>3434</v>
      </c>
      <c r="T15" s="3450" t="s">
        <v>3434</v>
      </c>
      <c r="U15" s="3450" t="s">
        <v>3434</v>
      </c>
      <c r="V15" s="3450" t="s">
        <v>3434</v>
      </c>
      <c r="W15" s="3450" t="s">
        <v>3434</v>
      </c>
      <c r="X15" s="3450">
        <v>0</v>
      </c>
      <c r="Y15" s="3450">
        <v>0</v>
      </c>
      <c r="Z15" s="3452">
        <v>44624.000497685185</v>
      </c>
      <c r="AA15" s="3452">
        <v>44645.000497685185</v>
      </c>
      <c r="AB15" s="3452">
        <v>44645.000497685185</v>
      </c>
      <c r="AC15" s="3452">
        <v>44645.000497685185</v>
      </c>
      <c r="AD15" s="3450" t="s">
        <v>3505</v>
      </c>
      <c r="AE15" s="3450" t="s">
        <v>3443</v>
      </c>
      <c r="AF15" s="3450" t="s">
        <v>3506</v>
      </c>
      <c r="AG15" s="3450" t="s">
        <v>3434</v>
      </c>
      <c r="AH15" s="3450" t="s">
        <v>3434</v>
      </c>
      <c r="AI15" s="3450">
        <v>6.58</v>
      </c>
      <c r="AJ15" s="3450">
        <v>6</v>
      </c>
      <c r="AK15" s="3450" t="s">
        <v>3496</v>
      </c>
      <c r="AL15" s="3450">
        <v>6.59</v>
      </c>
      <c r="AM15" s="3450">
        <v>23.97</v>
      </c>
      <c r="AN15" s="3450">
        <v>24.01</v>
      </c>
      <c r="AO15" s="3450">
        <v>360</v>
      </c>
      <c r="AP15" s="3450">
        <v>360</v>
      </c>
      <c r="AQ15" s="3450" t="s">
        <v>3434</v>
      </c>
      <c r="AR15" s="3450" t="s">
        <v>3434</v>
      </c>
      <c r="AS15" s="3450">
        <v>0.15</v>
      </c>
      <c r="AT15" s="3450" t="s">
        <v>3446</v>
      </c>
      <c r="AU15" s="3450" t="s">
        <v>3440</v>
      </c>
      <c r="AV15" s="3450" t="s">
        <v>3434</v>
      </c>
      <c r="AW15" s="3450" t="s">
        <v>3440</v>
      </c>
      <c r="AX15" s="3450" t="s">
        <v>3434</v>
      </c>
      <c r="AY15" s="3450" t="s">
        <v>3434</v>
      </c>
      <c r="AZ15" s="3450" t="s">
        <v>3434</v>
      </c>
      <c r="BA15" s="3451">
        <f t="shared" si="0"/>
        <v>360</v>
      </c>
    </row>
    <row r="16" spans="1:53">
      <c r="A16" s="3450" t="s">
        <v>3509</v>
      </c>
      <c r="B16" s="3450" t="s">
        <v>3430</v>
      </c>
      <c r="C16" s="3450" t="s">
        <v>3510</v>
      </c>
      <c r="D16" s="3450" t="s">
        <v>3432</v>
      </c>
      <c r="E16" s="3450" t="s">
        <v>3433</v>
      </c>
      <c r="F16" s="3450" t="s">
        <v>3434</v>
      </c>
      <c r="G16" s="3450" t="s">
        <v>3511</v>
      </c>
      <c r="H16" s="3450" t="s">
        <v>3436</v>
      </c>
      <c r="I16" s="3450">
        <v>5689.12</v>
      </c>
      <c r="J16" s="3450">
        <v>5689.12</v>
      </c>
      <c r="K16" s="3450" t="s">
        <v>3449</v>
      </c>
      <c r="L16" s="3450" t="s">
        <v>3438</v>
      </c>
      <c r="M16" s="3450" t="s">
        <v>3436</v>
      </c>
      <c r="N16" s="3450" t="s">
        <v>3439</v>
      </c>
      <c r="O16" s="3450" t="s">
        <v>3440</v>
      </c>
      <c r="P16" s="3450" t="s">
        <v>3450</v>
      </c>
      <c r="Q16" s="3450" t="s">
        <v>3434</v>
      </c>
      <c r="R16" s="3450" t="s">
        <v>3434</v>
      </c>
      <c r="S16" s="3450" t="s">
        <v>3434</v>
      </c>
      <c r="T16" s="3450" t="s">
        <v>3434</v>
      </c>
      <c r="U16" s="3450" t="s">
        <v>3434</v>
      </c>
      <c r="V16" s="3450" t="s">
        <v>3434</v>
      </c>
      <c r="W16" s="3450" t="s">
        <v>3434</v>
      </c>
      <c r="X16" s="3450">
        <v>0</v>
      </c>
      <c r="Y16" s="3450">
        <v>0</v>
      </c>
      <c r="Z16" s="3452">
        <v>44534.000497685185</v>
      </c>
      <c r="AA16" s="3452">
        <v>44554.000497685185</v>
      </c>
      <c r="AB16" s="3452">
        <v>44554.000497685185</v>
      </c>
      <c r="AC16" s="3452">
        <v>44554.000497685185</v>
      </c>
      <c r="AD16" s="3450" t="s">
        <v>3512</v>
      </c>
      <c r="AE16" s="3450" t="s">
        <v>3443</v>
      </c>
      <c r="AF16" s="3450" t="s">
        <v>3513</v>
      </c>
      <c r="AG16" s="3450" t="s">
        <v>3434</v>
      </c>
      <c r="AH16" s="3450" t="s">
        <v>3434</v>
      </c>
      <c r="AI16" s="3450">
        <v>183.47</v>
      </c>
      <c r="AJ16" s="3450">
        <v>180</v>
      </c>
      <c r="AK16" s="3450" t="s">
        <v>3514</v>
      </c>
      <c r="AL16" s="3450">
        <v>183.9</v>
      </c>
      <c r="AM16" s="3450">
        <v>21.5</v>
      </c>
      <c r="AN16" s="3450">
        <v>21.55</v>
      </c>
      <c r="AO16" s="3450">
        <v>322</v>
      </c>
      <c r="AP16" s="3450">
        <v>323</v>
      </c>
      <c r="AQ16" s="3450" t="s">
        <v>3434</v>
      </c>
      <c r="AR16" s="3450" t="s">
        <v>3434</v>
      </c>
      <c r="AS16" s="3450">
        <v>0.23</v>
      </c>
      <c r="AT16" s="3450" t="s">
        <v>3446</v>
      </c>
      <c r="AU16" s="3450" t="s">
        <v>3440</v>
      </c>
      <c r="AV16" s="3450" t="s">
        <v>3434</v>
      </c>
      <c r="AW16" s="3450" t="s">
        <v>3440</v>
      </c>
      <c r="AX16" s="3450" t="s">
        <v>3434</v>
      </c>
      <c r="AY16" s="3450" t="s">
        <v>3434</v>
      </c>
      <c r="AZ16" s="3450" t="s">
        <v>3434</v>
      </c>
      <c r="BA16" s="3451">
        <f t="shared" si="0"/>
        <v>323</v>
      </c>
    </row>
    <row r="17" spans="1:53">
      <c r="A17" s="3450" t="s">
        <v>3515</v>
      </c>
      <c r="B17" s="3450" t="s">
        <v>3430</v>
      </c>
      <c r="C17" s="3450" t="s">
        <v>3516</v>
      </c>
      <c r="D17" s="3450" t="s">
        <v>3432</v>
      </c>
      <c r="E17" s="3450" t="s">
        <v>3433</v>
      </c>
      <c r="F17" s="3450" t="s">
        <v>3434</v>
      </c>
      <c r="G17" s="3450" t="s">
        <v>3517</v>
      </c>
      <c r="H17" s="3450" t="s">
        <v>3436</v>
      </c>
      <c r="I17" s="3450">
        <v>3569.69</v>
      </c>
      <c r="J17" s="3450">
        <v>3569.69</v>
      </c>
      <c r="K17" s="3450" t="s">
        <v>3449</v>
      </c>
      <c r="L17" s="3450" t="s">
        <v>3438</v>
      </c>
      <c r="M17" s="3450" t="s">
        <v>3436</v>
      </c>
      <c r="N17" s="3450" t="s">
        <v>3439</v>
      </c>
      <c r="O17" s="3450" t="s">
        <v>3440</v>
      </c>
      <c r="P17" s="3450" t="s">
        <v>3450</v>
      </c>
      <c r="Q17" s="3450">
        <v>24</v>
      </c>
      <c r="R17" s="3450" t="s">
        <v>3434</v>
      </c>
      <c r="S17" s="3450" t="s">
        <v>3434</v>
      </c>
      <c r="T17" s="3450" t="s">
        <v>3434</v>
      </c>
      <c r="U17" s="3450" t="s">
        <v>3434</v>
      </c>
      <c r="V17" s="3450" t="s">
        <v>3434</v>
      </c>
      <c r="W17" s="3450" t="s">
        <v>3434</v>
      </c>
      <c r="X17" s="3450">
        <v>0</v>
      </c>
      <c r="Y17" s="3450">
        <v>0</v>
      </c>
      <c r="Z17" s="3452">
        <v>44534.000497685185</v>
      </c>
      <c r="AA17" s="3452">
        <v>44554.000497685185</v>
      </c>
      <c r="AB17" s="3452">
        <v>44554.000497685185</v>
      </c>
      <c r="AC17" s="3452">
        <v>44554.000497685185</v>
      </c>
      <c r="AD17" s="3450" t="s">
        <v>3518</v>
      </c>
      <c r="AE17" s="3450" t="s">
        <v>3443</v>
      </c>
      <c r="AF17" s="3450" t="s">
        <v>3519</v>
      </c>
      <c r="AG17" s="3450" t="s">
        <v>3434</v>
      </c>
      <c r="AH17" s="3450" t="s">
        <v>3434</v>
      </c>
      <c r="AI17" s="3450">
        <v>128.29</v>
      </c>
      <c r="AJ17" s="3450">
        <v>120</v>
      </c>
      <c r="AK17" s="3450" t="s">
        <v>3514</v>
      </c>
      <c r="AL17" s="3450">
        <v>128.56</v>
      </c>
      <c r="AM17" s="3450">
        <v>23.96</v>
      </c>
      <c r="AN17" s="3450">
        <v>24.01</v>
      </c>
      <c r="AO17" s="3450">
        <v>359</v>
      </c>
      <c r="AP17" s="3450">
        <v>360</v>
      </c>
      <c r="AQ17" s="3450" t="s">
        <v>3434</v>
      </c>
      <c r="AR17" s="3450" t="s">
        <v>3434</v>
      </c>
      <c r="AS17" s="3450">
        <v>0.21</v>
      </c>
      <c r="AT17" s="3450" t="s">
        <v>3446</v>
      </c>
      <c r="AU17" s="3450" t="s">
        <v>3440</v>
      </c>
      <c r="AV17" s="3450" t="s">
        <v>3434</v>
      </c>
      <c r="AW17" s="3450" t="s">
        <v>3440</v>
      </c>
      <c r="AX17" s="3450" t="s">
        <v>3434</v>
      </c>
      <c r="AY17" s="3450" t="s">
        <v>3434</v>
      </c>
      <c r="AZ17" s="3450" t="s">
        <v>3434</v>
      </c>
      <c r="BA17" s="3451">
        <f t="shared" si="0"/>
        <v>360</v>
      </c>
    </row>
    <row r="18" spans="1:53">
      <c r="A18" s="3450" t="s">
        <v>3520</v>
      </c>
      <c r="B18" s="3450" t="s">
        <v>3430</v>
      </c>
      <c r="C18" s="3450" t="s">
        <v>3521</v>
      </c>
      <c r="D18" s="3450" t="s">
        <v>3432</v>
      </c>
      <c r="E18" s="3450" t="s">
        <v>3433</v>
      </c>
      <c r="F18" s="3450" t="s">
        <v>3434</v>
      </c>
      <c r="G18" s="3450" t="s">
        <v>3522</v>
      </c>
      <c r="H18" s="3450" t="s">
        <v>3436</v>
      </c>
      <c r="I18" s="3450">
        <v>21095.13</v>
      </c>
      <c r="J18" s="3450">
        <v>21095.13</v>
      </c>
      <c r="K18" s="3450" t="s">
        <v>3449</v>
      </c>
      <c r="L18" s="3450" t="s">
        <v>3438</v>
      </c>
      <c r="M18" s="3450" t="s">
        <v>3436</v>
      </c>
      <c r="N18" s="3450" t="s">
        <v>3439</v>
      </c>
      <c r="O18" s="3450" t="s">
        <v>3440</v>
      </c>
      <c r="P18" s="3450" t="s">
        <v>3450</v>
      </c>
      <c r="Q18" s="3450" t="s">
        <v>3434</v>
      </c>
      <c r="R18" s="3450" t="s">
        <v>3434</v>
      </c>
      <c r="S18" s="3450" t="s">
        <v>3434</v>
      </c>
      <c r="T18" s="3450" t="s">
        <v>3434</v>
      </c>
      <c r="U18" s="3450" t="s">
        <v>3434</v>
      </c>
      <c r="V18" s="3450" t="s">
        <v>3434</v>
      </c>
      <c r="W18" s="3450" t="s">
        <v>3434</v>
      </c>
      <c r="X18" s="3450">
        <v>0</v>
      </c>
      <c r="Y18" s="3450">
        <v>0</v>
      </c>
      <c r="Z18" s="3452">
        <v>44534.000497685185</v>
      </c>
      <c r="AA18" s="3452">
        <v>44554.000497685185</v>
      </c>
      <c r="AB18" s="3452">
        <v>44554.000497685185</v>
      </c>
      <c r="AC18" s="3452">
        <v>44554.000497685185</v>
      </c>
      <c r="AD18" s="3450" t="s">
        <v>3523</v>
      </c>
      <c r="AE18" s="3450" t="s">
        <v>3443</v>
      </c>
      <c r="AF18" s="3450" t="s">
        <v>3524</v>
      </c>
      <c r="AG18" s="3450" t="s">
        <v>3434</v>
      </c>
      <c r="AH18" s="3450" t="s">
        <v>3434</v>
      </c>
      <c r="AI18" s="3450">
        <v>758.16</v>
      </c>
      <c r="AJ18" s="3450">
        <v>750</v>
      </c>
      <c r="AK18" s="3450" t="s">
        <v>3514</v>
      </c>
      <c r="AL18" s="3450">
        <v>759.74</v>
      </c>
      <c r="AM18" s="3450">
        <v>23.96</v>
      </c>
      <c r="AN18" s="3450">
        <v>24.01</v>
      </c>
      <c r="AO18" s="3450">
        <v>359</v>
      </c>
      <c r="AP18" s="3450">
        <v>360</v>
      </c>
      <c r="AQ18" s="3450" t="s">
        <v>3434</v>
      </c>
      <c r="AR18" s="3450" t="s">
        <v>3434</v>
      </c>
      <c r="AS18" s="3450">
        <v>0.21</v>
      </c>
      <c r="AT18" s="3450" t="s">
        <v>3446</v>
      </c>
      <c r="AU18" s="3450" t="s">
        <v>3440</v>
      </c>
      <c r="AV18" s="3450" t="s">
        <v>3434</v>
      </c>
      <c r="AW18" s="3450" t="s">
        <v>3440</v>
      </c>
      <c r="AX18" s="3450" t="s">
        <v>3434</v>
      </c>
      <c r="AY18" s="3450" t="s">
        <v>3434</v>
      </c>
      <c r="AZ18" s="3450" t="s">
        <v>3434</v>
      </c>
      <c r="BA18" s="3451">
        <f t="shared" si="0"/>
        <v>360</v>
      </c>
    </row>
    <row r="19" spans="1:53">
      <c r="A19" s="3450" t="s">
        <v>3525</v>
      </c>
      <c r="B19" s="3450" t="s">
        <v>3430</v>
      </c>
      <c r="C19" s="3450" t="s">
        <v>3526</v>
      </c>
      <c r="D19" s="3450" t="s">
        <v>3432</v>
      </c>
      <c r="E19" s="3450" t="s">
        <v>3433</v>
      </c>
      <c r="F19" s="3450" t="s">
        <v>3434</v>
      </c>
      <c r="G19" s="3450" t="s">
        <v>3527</v>
      </c>
      <c r="H19" s="3450" t="s">
        <v>3436</v>
      </c>
      <c r="I19" s="3450">
        <v>10523.78</v>
      </c>
      <c r="J19" s="3450">
        <v>10523.78</v>
      </c>
      <c r="K19" s="3450" t="s">
        <v>3449</v>
      </c>
      <c r="L19" s="3450" t="s">
        <v>3438</v>
      </c>
      <c r="M19" s="3450" t="s">
        <v>3436</v>
      </c>
      <c r="N19" s="3450" t="s">
        <v>3439</v>
      </c>
      <c r="O19" s="3450" t="s">
        <v>3440</v>
      </c>
      <c r="P19" s="3450" t="s">
        <v>3450</v>
      </c>
      <c r="Q19" s="3450">
        <v>24</v>
      </c>
      <c r="R19" s="3450" t="s">
        <v>3434</v>
      </c>
      <c r="S19" s="3450" t="s">
        <v>3434</v>
      </c>
      <c r="T19" s="3450" t="s">
        <v>3434</v>
      </c>
      <c r="U19" s="3450" t="s">
        <v>3434</v>
      </c>
      <c r="V19" s="3450" t="s">
        <v>3434</v>
      </c>
      <c r="W19" s="3450" t="s">
        <v>3434</v>
      </c>
      <c r="X19" s="3450">
        <v>0</v>
      </c>
      <c r="Y19" s="3450">
        <v>0</v>
      </c>
      <c r="Z19" s="3452">
        <v>44534.000497685185</v>
      </c>
      <c r="AA19" s="3452">
        <v>44554.000497685185</v>
      </c>
      <c r="AB19" s="3452">
        <v>44554.000497685185</v>
      </c>
      <c r="AC19" s="3452">
        <v>44554.000497685185</v>
      </c>
      <c r="AD19" s="3450" t="s">
        <v>3523</v>
      </c>
      <c r="AE19" s="3450" t="s">
        <v>3443</v>
      </c>
      <c r="AF19" s="3450" t="s">
        <v>3528</v>
      </c>
      <c r="AG19" s="3450" t="s">
        <v>3434</v>
      </c>
      <c r="AH19" s="3450" t="s">
        <v>3434</v>
      </c>
      <c r="AI19" s="3450">
        <v>378.23</v>
      </c>
      <c r="AJ19" s="3450">
        <v>370</v>
      </c>
      <c r="AK19" s="3450" t="s">
        <v>3514</v>
      </c>
      <c r="AL19" s="3450">
        <v>379.01</v>
      </c>
      <c r="AM19" s="3450">
        <v>23.96</v>
      </c>
      <c r="AN19" s="3450">
        <v>24.01</v>
      </c>
      <c r="AO19" s="3450">
        <v>359</v>
      </c>
      <c r="AP19" s="3450">
        <v>360</v>
      </c>
      <c r="AQ19" s="3450" t="s">
        <v>3434</v>
      </c>
      <c r="AR19" s="3450" t="s">
        <v>3434</v>
      </c>
      <c r="AS19" s="3450">
        <v>0.21</v>
      </c>
      <c r="AT19" s="3450" t="s">
        <v>3446</v>
      </c>
      <c r="AU19" s="3450" t="s">
        <v>3440</v>
      </c>
      <c r="AV19" s="3450" t="s">
        <v>3434</v>
      </c>
      <c r="AW19" s="3450" t="s">
        <v>3440</v>
      </c>
      <c r="AX19" s="3450" t="s">
        <v>3434</v>
      </c>
      <c r="AY19" s="3450" t="s">
        <v>3434</v>
      </c>
      <c r="AZ19" s="3450" t="s">
        <v>3434</v>
      </c>
      <c r="BA19" s="3451">
        <f t="shared" si="0"/>
        <v>360</v>
      </c>
    </row>
    <row r="20" spans="1:53">
      <c r="A20" s="3450" t="s">
        <v>3529</v>
      </c>
      <c r="B20" s="3450" t="s">
        <v>3430</v>
      </c>
      <c r="C20" s="3450" t="s">
        <v>3530</v>
      </c>
      <c r="D20" s="3450" t="s">
        <v>3432</v>
      </c>
      <c r="E20" s="3450" t="s">
        <v>3433</v>
      </c>
      <c r="F20" s="3450" t="s">
        <v>3434</v>
      </c>
      <c r="G20" s="3450" t="s">
        <v>3531</v>
      </c>
      <c r="H20" s="3450" t="s">
        <v>3436</v>
      </c>
      <c r="I20" s="3450">
        <v>18305.099999999999</v>
      </c>
      <c r="J20" s="3450">
        <v>18305.099999999999</v>
      </c>
      <c r="K20" s="3450" t="s">
        <v>3449</v>
      </c>
      <c r="L20" s="3450" t="s">
        <v>3438</v>
      </c>
      <c r="M20" s="3450" t="s">
        <v>3436</v>
      </c>
      <c r="N20" s="3450" t="s">
        <v>3439</v>
      </c>
      <c r="O20" s="3450" t="s">
        <v>3440</v>
      </c>
      <c r="P20" s="3450" t="s">
        <v>3450</v>
      </c>
      <c r="Q20" s="3450">
        <v>24</v>
      </c>
      <c r="R20" s="3450" t="s">
        <v>3434</v>
      </c>
      <c r="S20" s="3450" t="s">
        <v>3434</v>
      </c>
      <c r="T20" s="3450" t="s">
        <v>3434</v>
      </c>
      <c r="U20" s="3450" t="s">
        <v>3434</v>
      </c>
      <c r="V20" s="3450" t="s">
        <v>3434</v>
      </c>
      <c r="W20" s="3450" t="s">
        <v>3434</v>
      </c>
      <c r="X20" s="3450">
        <v>0</v>
      </c>
      <c r="Y20" s="3450">
        <v>0</v>
      </c>
      <c r="Z20" s="3452">
        <v>44534.000497685185</v>
      </c>
      <c r="AA20" s="3452">
        <v>44554.000497685185</v>
      </c>
      <c r="AB20" s="3452">
        <v>44554.000497685185</v>
      </c>
      <c r="AC20" s="3452">
        <v>44554.000497685185</v>
      </c>
      <c r="AD20" s="3450" t="s">
        <v>3532</v>
      </c>
      <c r="AE20" s="3450" t="s">
        <v>3443</v>
      </c>
      <c r="AF20" s="3450" t="s">
        <v>3533</v>
      </c>
      <c r="AG20" s="3450" t="s">
        <v>3434</v>
      </c>
      <c r="AH20" s="3450" t="s">
        <v>3434</v>
      </c>
      <c r="AI20" s="3450">
        <v>657.89</v>
      </c>
      <c r="AJ20" s="3450">
        <v>650</v>
      </c>
      <c r="AK20" s="3450" t="s">
        <v>3514</v>
      </c>
      <c r="AL20" s="3450">
        <v>659.26</v>
      </c>
      <c r="AM20" s="3450">
        <v>23.96</v>
      </c>
      <c r="AN20" s="3450">
        <v>24.01</v>
      </c>
      <c r="AO20" s="3450">
        <v>359</v>
      </c>
      <c r="AP20" s="3450">
        <v>360</v>
      </c>
      <c r="AQ20" s="3450" t="s">
        <v>3434</v>
      </c>
      <c r="AR20" s="3450" t="s">
        <v>3434</v>
      </c>
      <c r="AS20" s="3450">
        <v>0.21</v>
      </c>
      <c r="AT20" s="3450" t="s">
        <v>3446</v>
      </c>
      <c r="AU20" s="3450" t="s">
        <v>3440</v>
      </c>
      <c r="AV20" s="3450" t="s">
        <v>3434</v>
      </c>
      <c r="AW20" s="3450" t="s">
        <v>3440</v>
      </c>
      <c r="AX20" s="3450" t="s">
        <v>3434</v>
      </c>
      <c r="AY20" s="3450" t="s">
        <v>3434</v>
      </c>
      <c r="AZ20" s="3450" t="s">
        <v>3434</v>
      </c>
      <c r="BA20" s="3451">
        <f t="shared" si="0"/>
        <v>360</v>
      </c>
    </row>
    <row r="21" spans="1:53">
      <c r="A21" s="3450" t="s">
        <v>3534</v>
      </c>
      <c r="B21" s="3450" t="s">
        <v>3430</v>
      </c>
      <c r="C21" s="3450" t="s">
        <v>3535</v>
      </c>
      <c r="D21" s="3450" t="s">
        <v>3432</v>
      </c>
      <c r="E21" s="3450" t="s">
        <v>3433</v>
      </c>
      <c r="F21" s="3450" t="s">
        <v>3434</v>
      </c>
      <c r="G21" s="3450" t="s">
        <v>3536</v>
      </c>
      <c r="H21" s="3450" t="s">
        <v>3436</v>
      </c>
      <c r="I21" s="3450">
        <v>13706.31</v>
      </c>
      <c r="J21" s="3450">
        <v>13706.31</v>
      </c>
      <c r="K21" s="3450" t="s">
        <v>3449</v>
      </c>
      <c r="L21" s="3450" t="s">
        <v>3438</v>
      </c>
      <c r="M21" s="3450" t="s">
        <v>3436</v>
      </c>
      <c r="N21" s="3450" t="s">
        <v>3439</v>
      </c>
      <c r="O21" s="3450" t="s">
        <v>3440</v>
      </c>
      <c r="P21" s="3450" t="s">
        <v>3450</v>
      </c>
      <c r="Q21" s="3450">
        <v>24</v>
      </c>
      <c r="R21" s="3450" t="s">
        <v>3434</v>
      </c>
      <c r="S21" s="3450" t="s">
        <v>3434</v>
      </c>
      <c r="T21" s="3450" t="s">
        <v>3434</v>
      </c>
      <c r="U21" s="3450" t="s">
        <v>3434</v>
      </c>
      <c r="V21" s="3450" t="s">
        <v>3434</v>
      </c>
      <c r="W21" s="3450" t="s">
        <v>3434</v>
      </c>
      <c r="X21" s="3450">
        <v>0</v>
      </c>
      <c r="Y21" s="3450">
        <v>0</v>
      </c>
      <c r="Z21" s="3452">
        <v>44534.000497685185</v>
      </c>
      <c r="AA21" s="3452">
        <v>44554.000497685185</v>
      </c>
      <c r="AB21" s="3452">
        <v>44554.000497685185</v>
      </c>
      <c r="AC21" s="3452">
        <v>44554.000497685185</v>
      </c>
      <c r="AD21" s="3450" t="s">
        <v>3532</v>
      </c>
      <c r="AE21" s="3450" t="s">
        <v>3443</v>
      </c>
      <c r="AF21" s="3450" t="s">
        <v>3537</v>
      </c>
      <c r="AG21" s="3450" t="s">
        <v>3434</v>
      </c>
      <c r="AH21" s="3450" t="s">
        <v>3434</v>
      </c>
      <c r="AI21" s="3450">
        <v>492.61</v>
      </c>
      <c r="AJ21" s="3450">
        <v>490</v>
      </c>
      <c r="AK21" s="3450" t="s">
        <v>3514</v>
      </c>
      <c r="AL21" s="3450">
        <v>493.63</v>
      </c>
      <c r="AM21" s="3450">
        <v>23.96</v>
      </c>
      <c r="AN21" s="3450">
        <v>24.01</v>
      </c>
      <c r="AO21" s="3450">
        <v>359</v>
      </c>
      <c r="AP21" s="3450">
        <v>360</v>
      </c>
      <c r="AQ21" s="3450" t="s">
        <v>3434</v>
      </c>
      <c r="AR21" s="3450" t="s">
        <v>3434</v>
      </c>
      <c r="AS21" s="3450">
        <v>0.21</v>
      </c>
      <c r="AT21" s="3450" t="s">
        <v>3446</v>
      </c>
      <c r="AU21" s="3450" t="s">
        <v>3440</v>
      </c>
      <c r="AV21" s="3450" t="s">
        <v>3434</v>
      </c>
      <c r="AW21" s="3450" t="s">
        <v>3440</v>
      </c>
      <c r="AX21" s="3450" t="s">
        <v>3434</v>
      </c>
      <c r="AY21" s="3450" t="s">
        <v>3434</v>
      </c>
      <c r="AZ21" s="3450" t="s">
        <v>3434</v>
      </c>
      <c r="BA21" s="3451">
        <f t="shared" si="0"/>
        <v>360</v>
      </c>
    </row>
    <row r="22" spans="1:53">
      <c r="A22" s="3450" t="s">
        <v>3525</v>
      </c>
      <c r="B22" s="3450" t="s">
        <v>3430</v>
      </c>
      <c r="C22" s="3450" t="s">
        <v>3538</v>
      </c>
      <c r="D22" s="3450" t="s">
        <v>3432</v>
      </c>
      <c r="E22" s="3450" t="s">
        <v>3433</v>
      </c>
      <c r="F22" s="3450" t="s">
        <v>3434</v>
      </c>
      <c r="G22" s="3450" t="s">
        <v>3527</v>
      </c>
      <c r="H22" s="3450" t="s">
        <v>3436</v>
      </c>
      <c r="I22" s="3450">
        <v>11501.75</v>
      </c>
      <c r="J22" s="3450">
        <v>11501.75</v>
      </c>
      <c r="K22" s="3450" t="s">
        <v>3449</v>
      </c>
      <c r="L22" s="3450" t="s">
        <v>3438</v>
      </c>
      <c r="M22" s="3450" t="s">
        <v>3436</v>
      </c>
      <c r="N22" s="3450" t="s">
        <v>3439</v>
      </c>
      <c r="O22" s="3450" t="s">
        <v>3440</v>
      </c>
      <c r="P22" s="3450" t="s">
        <v>3450</v>
      </c>
      <c r="Q22" s="3450">
        <v>24</v>
      </c>
      <c r="R22" s="3450" t="s">
        <v>3434</v>
      </c>
      <c r="S22" s="3450" t="s">
        <v>3434</v>
      </c>
      <c r="T22" s="3450" t="s">
        <v>3434</v>
      </c>
      <c r="U22" s="3450" t="s">
        <v>3434</v>
      </c>
      <c r="V22" s="3450" t="s">
        <v>3434</v>
      </c>
      <c r="W22" s="3450" t="s">
        <v>3434</v>
      </c>
      <c r="X22" s="3450">
        <v>0</v>
      </c>
      <c r="Y22" s="3450">
        <v>0</v>
      </c>
      <c r="Z22" s="3452">
        <v>44534.000497685185</v>
      </c>
      <c r="AA22" s="3452">
        <v>44554.000497685185</v>
      </c>
      <c r="AB22" s="3452">
        <v>44554.000497685185</v>
      </c>
      <c r="AC22" s="3452">
        <v>44554.000497685185</v>
      </c>
      <c r="AD22" s="3450" t="s">
        <v>3523</v>
      </c>
      <c r="AE22" s="3450" t="s">
        <v>3443</v>
      </c>
      <c r="AF22" s="3450" t="s">
        <v>3539</v>
      </c>
      <c r="AG22" s="3450" t="s">
        <v>3434</v>
      </c>
      <c r="AH22" s="3450" t="s">
        <v>3434</v>
      </c>
      <c r="AI22" s="3450">
        <v>413.37</v>
      </c>
      <c r="AJ22" s="3450">
        <v>410</v>
      </c>
      <c r="AK22" s="3450" t="s">
        <v>3514</v>
      </c>
      <c r="AL22" s="3450">
        <v>414.24</v>
      </c>
      <c r="AM22" s="3450">
        <v>23.96</v>
      </c>
      <c r="AN22" s="3450">
        <v>24.01</v>
      </c>
      <c r="AO22" s="3450">
        <v>359</v>
      </c>
      <c r="AP22" s="3450">
        <v>360</v>
      </c>
      <c r="AQ22" s="3450" t="s">
        <v>3434</v>
      </c>
      <c r="AR22" s="3450" t="s">
        <v>3434</v>
      </c>
      <c r="AS22" s="3450">
        <v>0.21</v>
      </c>
      <c r="AT22" s="3450" t="s">
        <v>3446</v>
      </c>
      <c r="AU22" s="3450" t="s">
        <v>3440</v>
      </c>
      <c r="AV22" s="3450" t="s">
        <v>3434</v>
      </c>
      <c r="AW22" s="3450" t="s">
        <v>3440</v>
      </c>
      <c r="AX22" s="3450" t="s">
        <v>3434</v>
      </c>
      <c r="AY22" s="3450" t="s">
        <v>3434</v>
      </c>
      <c r="AZ22" s="3450" t="s">
        <v>3434</v>
      </c>
      <c r="BA22" s="3451">
        <f t="shared" si="0"/>
        <v>360</v>
      </c>
    </row>
    <row r="23" spans="1:53">
      <c r="A23" s="3450" t="s">
        <v>3540</v>
      </c>
      <c r="B23" s="3450" t="s">
        <v>3430</v>
      </c>
      <c r="C23" s="3450" t="s">
        <v>3541</v>
      </c>
      <c r="D23" s="3450" t="s">
        <v>3432</v>
      </c>
      <c r="E23" s="3450" t="s">
        <v>3433</v>
      </c>
      <c r="F23" s="3450" t="s">
        <v>3434</v>
      </c>
      <c r="G23" s="3450" t="s">
        <v>3542</v>
      </c>
      <c r="H23" s="3450" t="s">
        <v>3436</v>
      </c>
      <c r="I23" s="3450">
        <v>4341.3999999999996</v>
      </c>
      <c r="J23" s="3450">
        <v>3038.98</v>
      </c>
      <c r="K23" s="3450" t="s">
        <v>3543</v>
      </c>
      <c r="L23" s="3450" t="s">
        <v>3438</v>
      </c>
      <c r="M23" s="3450" t="s">
        <v>3544</v>
      </c>
      <c r="N23" s="3450" t="s">
        <v>3439</v>
      </c>
      <c r="O23" s="3450" t="s">
        <v>3440</v>
      </c>
      <c r="P23" s="3450" t="s">
        <v>3450</v>
      </c>
      <c r="Q23" s="3450" t="s">
        <v>3434</v>
      </c>
      <c r="R23" s="3450" t="s">
        <v>3434</v>
      </c>
      <c r="S23" s="3450" t="s">
        <v>3434</v>
      </c>
      <c r="T23" s="3450" t="s">
        <v>3434</v>
      </c>
      <c r="U23" s="3450" t="s">
        <v>3434</v>
      </c>
      <c r="V23" s="3450" t="s">
        <v>3434</v>
      </c>
      <c r="W23" s="3450" t="s">
        <v>3434</v>
      </c>
      <c r="X23" s="3450">
        <v>0</v>
      </c>
      <c r="Y23" s="3450">
        <v>0</v>
      </c>
      <c r="Z23" s="3452">
        <v>44534.000497685185</v>
      </c>
      <c r="AA23" s="3452">
        <v>44554.000497685185</v>
      </c>
      <c r="AB23" s="3452">
        <v>44554.000497685185</v>
      </c>
      <c r="AC23" s="3452">
        <v>44554.000497685185</v>
      </c>
      <c r="AD23" s="3450" t="s">
        <v>3512</v>
      </c>
      <c r="AE23" s="3450" t="s">
        <v>3443</v>
      </c>
      <c r="AF23" s="3450" t="s">
        <v>3545</v>
      </c>
      <c r="AG23" s="3450" t="s">
        <v>3434</v>
      </c>
      <c r="AH23" s="3450" t="s">
        <v>3434</v>
      </c>
      <c r="AI23" s="3450">
        <v>136.75</v>
      </c>
      <c r="AJ23" s="3450">
        <v>130</v>
      </c>
      <c r="AK23" s="3450" t="s">
        <v>3514</v>
      </c>
      <c r="AL23" s="3450">
        <v>137.08000000000001</v>
      </c>
      <c r="AM23" s="3450">
        <v>21</v>
      </c>
      <c r="AN23" s="3450">
        <v>21.05</v>
      </c>
      <c r="AO23" s="3450">
        <v>450</v>
      </c>
      <c r="AP23" s="3450">
        <v>451</v>
      </c>
      <c r="AQ23" s="3450" t="s">
        <v>3434</v>
      </c>
      <c r="AR23" s="3450" t="s">
        <v>3434</v>
      </c>
      <c r="AS23" s="3450">
        <v>0.24</v>
      </c>
      <c r="AT23" s="3450" t="s">
        <v>3446</v>
      </c>
      <c r="AU23" s="3450" t="s">
        <v>3440</v>
      </c>
      <c r="AV23" s="3450" t="s">
        <v>3434</v>
      </c>
      <c r="AW23" s="3450" t="s">
        <v>3440</v>
      </c>
      <c r="AX23" s="3450" t="s">
        <v>3434</v>
      </c>
      <c r="AY23" s="3450" t="s">
        <v>3434</v>
      </c>
      <c r="AZ23" s="3450" t="s">
        <v>3434</v>
      </c>
      <c r="BA23" s="3451">
        <f t="shared" si="0"/>
        <v>316</v>
      </c>
    </row>
    <row r="24" spans="1:53">
      <c r="A24" s="3450" t="s">
        <v>3546</v>
      </c>
      <c r="B24" s="3450" t="s">
        <v>3430</v>
      </c>
      <c r="C24" s="3450" t="s">
        <v>3547</v>
      </c>
      <c r="D24" s="3450" t="s">
        <v>3432</v>
      </c>
      <c r="E24" s="3450" t="s">
        <v>3433</v>
      </c>
      <c r="F24" s="3450" t="s">
        <v>3434</v>
      </c>
      <c r="G24" s="3450" t="s">
        <v>3548</v>
      </c>
      <c r="H24" s="3450" t="s">
        <v>3436</v>
      </c>
      <c r="I24" s="3450">
        <v>13741.46</v>
      </c>
      <c r="J24" s="3450">
        <v>13741.46</v>
      </c>
      <c r="K24" s="3450" t="s">
        <v>3449</v>
      </c>
      <c r="L24" s="3450" t="s">
        <v>3438</v>
      </c>
      <c r="M24" s="3450" t="s">
        <v>3436</v>
      </c>
      <c r="N24" s="3450" t="s">
        <v>3439</v>
      </c>
      <c r="O24" s="3450" t="s">
        <v>3440</v>
      </c>
      <c r="P24" s="3450" t="s">
        <v>3450</v>
      </c>
      <c r="Q24" s="3450">
        <v>24</v>
      </c>
      <c r="R24" s="3450" t="s">
        <v>3434</v>
      </c>
      <c r="S24" s="3450" t="s">
        <v>3434</v>
      </c>
      <c r="T24" s="3450" t="s">
        <v>3434</v>
      </c>
      <c r="U24" s="3450" t="s">
        <v>3434</v>
      </c>
      <c r="V24" s="3450" t="s">
        <v>3434</v>
      </c>
      <c r="W24" s="3450" t="s">
        <v>3434</v>
      </c>
      <c r="X24" s="3450">
        <v>0</v>
      </c>
      <c r="Y24" s="3450">
        <v>0</v>
      </c>
      <c r="Z24" s="3452">
        <v>44534.000497685185</v>
      </c>
      <c r="AA24" s="3452">
        <v>44554.000497685185</v>
      </c>
      <c r="AB24" s="3452">
        <v>44554.000497685185</v>
      </c>
      <c r="AC24" s="3452">
        <v>44554.000497685185</v>
      </c>
      <c r="AD24" s="3450" t="s">
        <v>3518</v>
      </c>
      <c r="AE24" s="3450" t="s">
        <v>3443</v>
      </c>
      <c r="AF24" s="3450" t="s">
        <v>3549</v>
      </c>
      <c r="AG24" s="3450" t="s">
        <v>3434</v>
      </c>
      <c r="AH24" s="3450" t="s">
        <v>3434</v>
      </c>
      <c r="AI24" s="3450">
        <v>493.87</v>
      </c>
      <c r="AJ24" s="3450">
        <v>490</v>
      </c>
      <c r="AK24" s="3450" t="s">
        <v>3514</v>
      </c>
      <c r="AL24" s="3450">
        <v>494.89</v>
      </c>
      <c r="AM24" s="3450">
        <v>23.96</v>
      </c>
      <c r="AN24" s="3450">
        <v>24.01</v>
      </c>
      <c r="AO24" s="3450">
        <v>359</v>
      </c>
      <c r="AP24" s="3450">
        <v>360</v>
      </c>
      <c r="AQ24" s="3450" t="s">
        <v>3434</v>
      </c>
      <c r="AR24" s="3450" t="s">
        <v>3434</v>
      </c>
      <c r="AS24" s="3450">
        <v>0.21</v>
      </c>
      <c r="AT24" s="3450" t="s">
        <v>3446</v>
      </c>
      <c r="AU24" s="3450" t="s">
        <v>3440</v>
      </c>
      <c r="AV24" s="3450" t="s">
        <v>3434</v>
      </c>
      <c r="AW24" s="3450" t="s">
        <v>3440</v>
      </c>
      <c r="AX24" s="3450" t="s">
        <v>3434</v>
      </c>
      <c r="AY24" s="3450" t="s">
        <v>3434</v>
      </c>
      <c r="AZ24" s="3450" t="s">
        <v>3434</v>
      </c>
      <c r="BA24" s="3451">
        <f t="shared" si="0"/>
        <v>360</v>
      </c>
    </row>
    <row r="25" spans="1:53">
      <c r="A25" s="3450" t="s">
        <v>3550</v>
      </c>
      <c r="B25" s="3450" t="s">
        <v>3430</v>
      </c>
      <c r="C25" s="3450" t="s">
        <v>3551</v>
      </c>
      <c r="D25" s="3450" t="s">
        <v>3432</v>
      </c>
      <c r="E25" s="3450" t="s">
        <v>3433</v>
      </c>
      <c r="F25" s="3450" t="s">
        <v>3434</v>
      </c>
      <c r="G25" s="3450" t="s">
        <v>3552</v>
      </c>
      <c r="H25" s="3450" t="s">
        <v>3436</v>
      </c>
      <c r="I25" s="3450">
        <v>13528.24</v>
      </c>
      <c r="J25" s="3450">
        <v>13528.24</v>
      </c>
      <c r="K25" s="3450" t="s">
        <v>3449</v>
      </c>
      <c r="L25" s="3450" t="s">
        <v>3438</v>
      </c>
      <c r="M25" s="3450" t="s">
        <v>3436</v>
      </c>
      <c r="N25" s="3450" t="s">
        <v>3439</v>
      </c>
      <c r="O25" s="3450" t="s">
        <v>3440</v>
      </c>
      <c r="P25" s="3450" t="s">
        <v>3450</v>
      </c>
      <c r="Q25" s="3450">
        <v>24</v>
      </c>
      <c r="R25" s="3450" t="s">
        <v>3434</v>
      </c>
      <c r="S25" s="3450" t="s">
        <v>3434</v>
      </c>
      <c r="T25" s="3450" t="s">
        <v>3434</v>
      </c>
      <c r="U25" s="3450" t="s">
        <v>3434</v>
      </c>
      <c r="V25" s="3450" t="s">
        <v>3434</v>
      </c>
      <c r="W25" s="3450" t="s">
        <v>3434</v>
      </c>
      <c r="X25" s="3450">
        <v>0</v>
      </c>
      <c r="Y25" s="3450">
        <v>0</v>
      </c>
      <c r="Z25" s="3452">
        <v>44534.000497685185</v>
      </c>
      <c r="AA25" s="3452">
        <v>44554.000497685185</v>
      </c>
      <c r="AB25" s="3452">
        <v>44554.000497685185</v>
      </c>
      <c r="AC25" s="3452">
        <v>44554.000497685185</v>
      </c>
      <c r="AD25" s="3450" t="s">
        <v>3532</v>
      </c>
      <c r="AE25" s="3450" t="s">
        <v>3443</v>
      </c>
      <c r="AF25" s="3450" t="s">
        <v>3553</v>
      </c>
      <c r="AG25" s="3450" t="s">
        <v>3434</v>
      </c>
      <c r="AH25" s="3450" t="s">
        <v>3434</v>
      </c>
      <c r="AI25" s="3450">
        <v>486.21</v>
      </c>
      <c r="AJ25" s="3450">
        <v>480</v>
      </c>
      <c r="AK25" s="3450" t="s">
        <v>3514</v>
      </c>
      <c r="AL25" s="3450">
        <v>487.22</v>
      </c>
      <c r="AM25" s="3450">
        <v>23.96</v>
      </c>
      <c r="AN25" s="3450">
        <v>24.01</v>
      </c>
      <c r="AO25" s="3450">
        <v>359</v>
      </c>
      <c r="AP25" s="3450">
        <v>360</v>
      </c>
      <c r="AQ25" s="3450" t="s">
        <v>3434</v>
      </c>
      <c r="AR25" s="3450" t="s">
        <v>3434</v>
      </c>
      <c r="AS25" s="3450">
        <v>0.21</v>
      </c>
      <c r="AT25" s="3450" t="s">
        <v>3446</v>
      </c>
      <c r="AU25" s="3450" t="s">
        <v>3440</v>
      </c>
      <c r="AV25" s="3450" t="s">
        <v>3434</v>
      </c>
      <c r="AW25" s="3450" t="s">
        <v>3440</v>
      </c>
      <c r="AX25" s="3450" t="s">
        <v>3434</v>
      </c>
      <c r="AY25" s="3450" t="s">
        <v>3434</v>
      </c>
      <c r="AZ25" s="3450" t="s">
        <v>3434</v>
      </c>
      <c r="BA25" s="3451">
        <f t="shared" si="0"/>
        <v>360</v>
      </c>
    </row>
    <row r="26" spans="1:53">
      <c r="A26" s="3450" t="s">
        <v>3515</v>
      </c>
      <c r="B26" s="3450" t="s">
        <v>3430</v>
      </c>
      <c r="C26" s="3450" t="s">
        <v>3554</v>
      </c>
      <c r="D26" s="3450" t="s">
        <v>3432</v>
      </c>
      <c r="E26" s="3450" t="s">
        <v>3433</v>
      </c>
      <c r="F26" s="3450" t="s">
        <v>3434</v>
      </c>
      <c r="G26" s="3450" t="s">
        <v>3517</v>
      </c>
      <c r="H26" s="3450" t="s">
        <v>3436</v>
      </c>
      <c r="I26" s="3450">
        <v>11717.28</v>
      </c>
      <c r="J26" s="3450">
        <v>11717.28</v>
      </c>
      <c r="K26" s="3450" t="s">
        <v>3449</v>
      </c>
      <c r="L26" s="3450" t="s">
        <v>3438</v>
      </c>
      <c r="M26" s="3450" t="s">
        <v>3436</v>
      </c>
      <c r="N26" s="3450" t="s">
        <v>3439</v>
      </c>
      <c r="O26" s="3450" t="s">
        <v>3440</v>
      </c>
      <c r="P26" s="3450" t="s">
        <v>3450</v>
      </c>
      <c r="Q26" s="3450">
        <v>24</v>
      </c>
      <c r="R26" s="3450" t="s">
        <v>3434</v>
      </c>
      <c r="S26" s="3450" t="s">
        <v>3434</v>
      </c>
      <c r="T26" s="3450" t="s">
        <v>3434</v>
      </c>
      <c r="U26" s="3450" t="s">
        <v>3434</v>
      </c>
      <c r="V26" s="3450" t="s">
        <v>3434</v>
      </c>
      <c r="W26" s="3450" t="s">
        <v>3434</v>
      </c>
      <c r="X26" s="3450">
        <v>0</v>
      </c>
      <c r="Y26" s="3450">
        <v>0</v>
      </c>
      <c r="Z26" s="3452">
        <v>44534.000497685185</v>
      </c>
      <c r="AA26" s="3452">
        <v>44554.000497685185</v>
      </c>
      <c r="AB26" s="3452">
        <v>44554.000497685185</v>
      </c>
      <c r="AC26" s="3452">
        <v>44554.000497685185</v>
      </c>
      <c r="AD26" s="3450" t="s">
        <v>3523</v>
      </c>
      <c r="AE26" s="3450" t="s">
        <v>3443</v>
      </c>
      <c r="AF26" s="3450" t="s">
        <v>3555</v>
      </c>
      <c r="AG26" s="3450" t="s">
        <v>3434</v>
      </c>
      <c r="AH26" s="3450" t="s">
        <v>3434</v>
      </c>
      <c r="AI26" s="3450">
        <v>421.12</v>
      </c>
      <c r="AJ26" s="3450">
        <v>420</v>
      </c>
      <c r="AK26" s="3450" t="s">
        <v>3514</v>
      </c>
      <c r="AL26" s="3450">
        <v>422</v>
      </c>
      <c r="AM26" s="3450">
        <v>23.96</v>
      </c>
      <c r="AN26" s="3450">
        <v>24.01</v>
      </c>
      <c r="AO26" s="3450">
        <v>359</v>
      </c>
      <c r="AP26" s="3450">
        <v>360</v>
      </c>
      <c r="AQ26" s="3450" t="s">
        <v>3434</v>
      </c>
      <c r="AR26" s="3450" t="s">
        <v>3434</v>
      </c>
      <c r="AS26" s="3450">
        <v>0.21</v>
      </c>
      <c r="AT26" s="3450" t="s">
        <v>3446</v>
      </c>
      <c r="AU26" s="3450" t="s">
        <v>3440</v>
      </c>
      <c r="AV26" s="3450" t="s">
        <v>3434</v>
      </c>
      <c r="AW26" s="3450" t="s">
        <v>3440</v>
      </c>
      <c r="AX26" s="3450" t="s">
        <v>3434</v>
      </c>
      <c r="AY26" s="3450" t="s">
        <v>3434</v>
      </c>
      <c r="AZ26" s="3450" t="s">
        <v>3434</v>
      </c>
      <c r="BA26" s="3451">
        <f t="shared" si="0"/>
        <v>360</v>
      </c>
    </row>
    <row r="27" spans="1:53">
      <c r="A27" s="3450" t="s">
        <v>3556</v>
      </c>
      <c r="B27" s="3450" t="s">
        <v>3430</v>
      </c>
      <c r="C27" s="3450" t="s">
        <v>3557</v>
      </c>
      <c r="D27" s="3450" t="s">
        <v>3432</v>
      </c>
      <c r="E27" s="3450" t="s">
        <v>3433</v>
      </c>
      <c r="F27" s="3450" t="s">
        <v>3434</v>
      </c>
      <c r="G27" s="3450" t="s">
        <v>3558</v>
      </c>
      <c r="H27" s="3450" t="s">
        <v>3436</v>
      </c>
      <c r="I27" s="3450">
        <v>7723.3</v>
      </c>
      <c r="J27" s="3450">
        <v>7723.3</v>
      </c>
      <c r="K27" s="3450" t="s">
        <v>3449</v>
      </c>
      <c r="L27" s="3450" t="s">
        <v>3438</v>
      </c>
      <c r="M27" s="3450" t="s">
        <v>3436</v>
      </c>
      <c r="N27" s="3450" t="s">
        <v>3439</v>
      </c>
      <c r="O27" s="3450" t="s">
        <v>3440</v>
      </c>
      <c r="P27" s="3450" t="s">
        <v>3450</v>
      </c>
      <c r="Q27" s="3450" t="s">
        <v>3434</v>
      </c>
      <c r="R27" s="3450" t="s">
        <v>3434</v>
      </c>
      <c r="S27" s="3450" t="s">
        <v>3434</v>
      </c>
      <c r="T27" s="3450" t="s">
        <v>3434</v>
      </c>
      <c r="U27" s="3450" t="s">
        <v>3434</v>
      </c>
      <c r="V27" s="3450" t="s">
        <v>3434</v>
      </c>
      <c r="W27" s="3450" t="s">
        <v>3434</v>
      </c>
      <c r="X27" s="3450">
        <v>0</v>
      </c>
      <c r="Y27" s="3450">
        <v>0</v>
      </c>
      <c r="Z27" s="3452">
        <v>44534.000497685185</v>
      </c>
      <c r="AA27" s="3452">
        <v>44554.000497685185</v>
      </c>
      <c r="AB27" s="3452">
        <v>44554.000497685185</v>
      </c>
      <c r="AC27" s="3452">
        <v>44554.000497685185</v>
      </c>
      <c r="AD27" s="3450" t="s">
        <v>3512</v>
      </c>
      <c r="AE27" s="3450" t="s">
        <v>3443</v>
      </c>
      <c r="AF27" s="3450" t="s">
        <v>3559</v>
      </c>
      <c r="AG27" s="3450" t="s">
        <v>3434</v>
      </c>
      <c r="AH27" s="3450" t="s">
        <v>3434</v>
      </c>
      <c r="AI27" s="3450">
        <v>249.08</v>
      </c>
      <c r="AJ27" s="3450">
        <v>240</v>
      </c>
      <c r="AK27" s="3450" t="s">
        <v>3514</v>
      </c>
      <c r="AL27" s="3450">
        <v>249.66</v>
      </c>
      <c r="AM27" s="3450">
        <v>21.5</v>
      </c>
      <c r="AN27" s="3450">
        <v>21.55</v>
      </c>
      <c r="AO27" s="3450">
        <v>323</v>
      </c>
      <c r="AP27" s="3450">
        <v>323</v>
      </c>
      <c r="AQ27" s="3450" t="s">
        <v>3434</v>
      </c>
      <c r="AR27" s="3450" t="s">
        <v>3434</v>
      </c>
      <c r="AS27" s="3450">
        <v>0.23</v>
      </c>
      <c r="AT27" s="3450" t="s">
        <v>3446</v>
      </c>
      <c r="AU27" s="3450" t="s">
        <v>3440</v>
      </c>
      <c r="AV27" s="3450" t="s">
        <v>3434</v>
      </c>
      <c r="AW27" s="3450" t="s">
        <v>3440</v>
      </c>
      <c r="AX27" s="3450" t="s">
        <v>3434</v>
      </c>
      <c r="AY27" s="3450" t="s">
        <v>3434</v>
      </c>
      <c r="AZ27" s="3450" t="s">
        <v>3434</v>
      </c>
      <c r="BA27" s="3451">
        <f t="shared" si="0"/>
        <v>323</v>
      </c>
    </row>
    <row r="28" spans="1:53">
      <c r="A28" s="3450" t="s">
        <v>3560</v>
      </c>
      <c r="B28" s="3450" t="s">
        <v>3430</v>
      </c>
      <c r="C28" s="3450" t="s">
        <v>3561</v>
      </c>
      <c r="D28" s="3450" t="s">
        <v>3432</v>
      </c>
      <c r="E28" s="3450" t="s">
        <v>3433</v>
      </c>
      <c r="F28" s="3450" t="s">
        <v>3433</v>
      </c>
      <c r="G28" s="3450" t="s">
        <v>3562</v>
      </c>
      <c r="H28" s="3450" t="s">
        <v>3436</v>
      </c>
      <c r="I28" s="3450">
        <v>1371.34</v>
      </c>
      <c r="J28" s="3450">
        <v>1371.34</v>
      </c>
      <c r="K28" s="3450" t="s">
        <v>3449</v>
      </c>
      <c r="L28" s="3450" t="s">
        <v>3438</v>
      </c>
      <c r="M28" s="3450" t="s">
        <v>3436</v>
      </c>
      <c r="N28" s="3450" t="s">
        <v>3439</v>
      </c>
      <c r="O28" s="3450" t="s">
        <v>3440</v>
      </c>
      <c r="P28" s="3450" t="s">
        <v>3450</v>
      </c>
      <c r="Q28" s="3450" t="s">
        <v>3563</v>
      </c>
      <c r="R28" s="3450" t="s">
        <v>3434</v>
      </c>
      <c r="S28" s="3450" t="s">
        <v>3434</v>
      </c>
      <c r="T28" s="3450" t="s">
        <v>3434</v>
      </c>
      <c r="U28" s="3450" t="s">
        <v>3434</v>
      </c>
      <c r="V28" s="3450" t="s">
        <v>3434</v>
      </c>
      <c r="W28" s="3450" t="s">
        <v>3434</v>
      </c>
      <c r="X28" s="3450">
        <v>0</v>
      </c>
      <c r="Y28" s="3450">
        <v>0</v>
      </c>
      <c r="Z28" s="3452">
        <v>44512.000497685185</v>
      </c>
      <c r="AA28" s="3452">
        <v>44532.000497685185</v>
      </c>
      <c r="AB28" s="3452">
        <v>44532.000497685185</v>
      </c>
      <c r="AC28" s="3452">
        <v>44532.000497685185</v>
      </c>
      <c r="AD28" s="3450" t="s">
        <v>3564</v>
      </c>
      <c r="AE28" s="3450" t="s">
        <v>3443</v>
      </c>
      <c r="AF28" s="3450" t="s">
        <v>3565</v>
      </c>
      <c r="AG28" s="3450" t="s">
        <v>3434</v>
      </c>
      <c r="AH28" s="3450" t="s">
        <v>3434</v>
      </c>
      <c r="AI28" s="3450">
        <v>46.08</v>
      </c>
      <c r="AJ28" s="3450">
        <v>46</v>
      </c>
      <c r="AK28" s="3450" t="s">
        <v>3566</v>
      </c>
      <c r="AL28" s="3450">
        <v>46.18</v>
      </c>
      <c r="AM28" s="3450">
        <v>22.4</v>
      </c>
      <c r="AN28" s="3450">
        <v>22.45</v>
      </c>
      <c r="AO28" s="3450">
        <v>336</v>
      </c>
      <c r="AP28" s="3450">
        <v>337</v>
      </c>
      <c r="AQ28" s="3450" t="s">
        <v>3434</v>
      </c>
      <c r="AR28" s="3450" t="s">
        <v>3434</v>
      </c>
      <c r="AS28" s="3450">
        <v>0.22</v>
      </c>
      <c r="AT28" s="3450" t="s">
        <v>3567</v>
      </c>
      <c r="AU28" s="3450" t="s">
        <v>3440</v>
      </c>
      <c r="AV28" s="3450" t="s">
        <v>3434</v>
      </c>
      <c r="AW28" s="3450" t="s">
        <v>3440</v>
      </c>
      <c r="AX28" s="3450" t="s">
        <v>3434</v>
      </c>
      <c r="AY28" s="3450" t="s">
        <v>3434</v>
      </c>
      <c r="AZ28" s="3450" t="s">
        <v>3434</v>
      </c>
      <c r="BA28" s="3451">
        <f t="shared" si="0"/>
        <v>337</v>
      </c>
    </row>
    <row r="29" spans="1:53">
      <c r="A29" s="3450" t="s">
        <v>3568</v>
      </c>
      <c r="B29" s="3450" t="s">
        <v>3430</v>
      </c>
      <c r="C29" s="3450" t="s">
        <v>3569</v>
      </c>
      <c r="D29" s="3450" t="s">
        <v>3432</v>
      </c>
      <c r="E29" s="3450" t="s">
        <v>3433</v>
      </c>
      <c r="F29" s="3450" t="s">
        <v>3434</v>
      </c>
      <c r="G29" s="3450" t="s">
        <v>3570</v>
      </c>
      <c r="H29" s="3450" t="s">
        <v>3436</v>
      </c>
      <c r="I29" s="3450">
        <v>5982.73</v>
      </c>
      <c r="J29" s="3450">
        <v>5982.73</v>
      </c>
      <c r="K29" s="3450" t="s">
        <v>3571</v>
      </c>
      <c r="L29" s="3450" t="s">
        <v>3438</v>
      </c>
      <c r="M29" s="3450" t="s">
        <v>3572</v>
      </c>
      <c r="N29" s="3450" t="s">
        <v>3439</v>
      </c>
      <c r="O29" s="3450" t="s">
        <v>3440</v>
      </c>
      <c r="P29" s="3450" t="s">
        <v>3573</v>
      </c>
      <c r="Q29" s="3450" t="s">
        <v>3434</v>
      </c>
      <c r="R29" s="3450" t="s">
        <v>3434</v>
      </c>
      <c r="S29" s="3450" t="s">
        <v>3434</v>
      </c>
      <c r="T29" s="3450" t="s">
        <v>3434</v>
      </c>
      <c r="U29" s="3450" t="s">
        <v>3434</v>
      </c>
      <c r="V29" s="3450" t="s">
        <v>3434</v>
      </c>
      <c r="W29" s="3450" t="s">
        <v>3434</v>
      </c>
      <c r="X29" s="3450">
        <v>0</v>
      </c>
      <c r="Y29" s="3450">
        <v>0</v>
      </c>
      <c r="Z29" s="3452">
        <v>44427.000497685185</v>
      </c>
      <c r="AA29" s="3452">
        <v>44447.000497685185</v>
      </c>
      <c r="AB29" s="3452">
        <v>44447.000497685185</v>
      </c>
      <c r="AC29" s="3452">
        <v>44447.000497685185</v>
      </c>
      <c r="AD29" s="3450" t="s">
        <v>3574</v>
      </c>
      <c r="AE29" s="3450" t="s">
        <v>3443</v>
      </c>
      <c r="AF29" s="3450" t="s">
        <v>3575</v>
      </c>
      <c r="AG29" s="3450" t="s">
        <v>3434</v>
      </c>
      <c r="AH29" s="3450" t="s">
        <v>3434</v>
      </c>
      <c r="AI29" s="3450" t="s">
        <v>3434</v>
      </c>
      <c r="AJ29" s="3450">
        <v>190</v>
      </c>
      <c r="AK29" s="3450" t="s">
        <v>3576</v>
      </c>
      <c r="AL29" s="3450">
        <v>190.61</v>
      </c>
      <c r="AM29" s="3450" t="s">
        <v>3434</v>
      </c>
      <c r="AN29" s="3450">
        <v>21.24</v>
      </c>
      <c r="AO29" s="3450" t="s">
        <v>3434</v>
      </c>
      <c r="AP29" s="3450">
        <v>319</v>
      </c>
      <c r="AQ29" s="3450" t="s">
        <v>3434</v>
      </c>
      <c r="AR29" s="3450" t="s">
        <v>3434</v>
      </c>
      <c r="AS29" s="3450">
        <v>0</v>
      </c>
      <c r="AT29" s="3450" t="s">
        <v>3446</v>
      </c>
      <c r="AU29" s="3450" t="s">
        <v>3440</v>
      </c>
      <c r="AV29" s="3450" t="s">
        <v>3434</v>
      </c>
      <c r="AW29" s="3450" t="s">
        <v>3440</v>
      </c>
      <c r="AX29" s="3450" t="s">
        <v>3434</v>
      </c>
      <c r="AY29" s="3450" t="s">
        <v>3434</v>
      </c>
      <c r="AZ29" s="3450" t="s">
        <v>3434</v>
      </c>
      <c r="BA29" s="3451">
        <f t="shared" si="0"/>
        <v>319</v>
      </c>
    </row>
    <row r="30" spans="1:53">
      <c r="A30" s="3450" t="s">
        <v>3577</v>
      </c>
      <c r="B30" s="3450" t="s">
        <v>3430</v>
      </c>
      <c r="C30" s="3450" t="s">
        <v>3578</v>
      </c>
      <c r="D30" s="3450" t="s">
        <v>3432</v>
      </c>
      <c r="E30" s="3450" t="s">
        <v>3433</v>
      </c>
      <c r="F30" s="3450" t="s">
        <v>3434</v>
      </c>
      <c r="G30" s="3450" t="s">
        <v>3579</v>
      </c>
      <c r="H30" s="3450" t="s">
        <v>3436</v>
      </c>
      <c r="I30" s="3450">
        <v>47017.47</v>
      </c>
      <c r="J30" s="3450">
        <v>42315.72</v>
      </c>
      <c r="K30" s="3450" t="s">
        <v>3580</v>
      </c>
      <c r="L30" s="3450" t="s">
        <v>3438</v>
      </c>
      <c r="M30" s="3450" t="s">
        <v>3572</v>
      </c>
      <c r="N30" s="3450" t="s">
        <v>3439</v>
      </c>
      <c r="O30" s="3450" t="s">
        <v>3440</v>
      </c>
      <c r="P30" s="3450" t="s">
        <v>3573</v>
      </c>
      <c r="Q30" s="3450" t="s">
        <v>3581</v>
      </c>
      <c r="R30" s="3450" t="s">
        <v>3434</v>
      </c>
      <c r="S30" s="3450" t="s">
        <v>3434</v>
      </c>
      <c r="T30" s="3450" t="s">
        <v>3434</v>
      </c>
      <c r="U30" s="3450" t="s">
        <v>3434</v>
      </c>
      <c r="V30" s="3450" t="s">
        <v>3434</v>
      </c>
      <c r="W30" s="3450" t="s">
        <v>3434</v>
      </c>
      <c r="X30" s="3450">
        <v>0</v>
      </c>
      <c r="Y30" s="3450">
        <v>0</v>
      </c>
      <c r="Z30" s="3452">
        <v>44427.000497685185</v>
      </c>
      <c r="AA30" s="3452">
        <v>44447.000497685185</v>
      </c>
      <c r="AB30" s="3452">
        <v>44447.000497685185</v>
      </c>
      <c r="AC30" s="3452">
        <v>44447.000497685185</v>
      </c>
      <c r="AD30" s="3450" t="s">
        <v>3582</v>
      </c>
      <c r="AE30" s="3450" t="s">
        <v>3443</v>
      </c>
      <c r="AF30" s="3450" t="s">
        <v>3583</v>
      </c>
      <c r="AG30" s="3450" t="s">
        <v>3434</v>
      </c>
      <c r="AH30" s="3450" t="s">
        <v>3434</v>
      </c>
      <c r="AI30" s="3450">
        <v>1494.45</v>
      </c>
      <c r="AJ30" s="3450">
        <v>1490</v>
      </c>
      <c r="AK30" s="3450" t="s">
        <v>3576</v>
      </c>
      <c r="AL30" s="3450">
        <v>1497.98</v>
      </c>
      <c r="AM30" s="3450">
        <v>21.19</v>
      </c>
      <c r="AN30" s="3450">
        <v>21.24</v>
      </c>
      <c r="AO30" s="3450">
        <v>353</v>
      </c>
      <c r="AP30" s="3450">
        <v>354</v>
      </c>
      <c r="AQ30" s="3450" t="s">
        <v>3434</v>
      </c>
      <c r="AR30" s="3450" t="s">
        <v>3434</v>
      </c>
      <c r="AS30" s="3450">
        <v>0.24</v>
      </c>
      <c r="AT30" s="3450" t="s">
        <v>3446</v>
      </c>
      <c r="AU30" s="3450" t="s">
        <v>3440</v>
      </c>
      <c r="AV30" s="3450" t="s">
        <v>3434</v>
      </c>
      <c r="AW30" s="3450" t="s">
        <v>3440</v>
      </c>
      <c r="AX30" s="3450" t="s">
        <v>3434</v>
      </c>
      <c r="AY30" s="3450" t="s">
        <v>3434</v>
      </c>
      <c r="AZ30" s="3450" t="s">
        <v>3434</v>
      </c>
      <c r="BA30" s="3451">
        <f t="shared" si="0"/>
        <v>319</v>
      </c>
    </row>
    <row r="31" spans="1:53">
      <c r="A31" s="3450" t="s">
        <v>3584</v>
      </c>
      <c r="B31" s="3450" t="s">
        <v>3430</v>
      </c>
      <c r="C31" s="3450" t="s">
        <v>3585</v>
      </c>
      <c r="D31" s="3450" t="s">
        <v>3432</v>
      </c>
      <c r="E31" s="3450" t="s">
        <v>3433</v>
      </c>
      <c r="F31" s="3450" t="s">
        <v>3434</v>
      </c>
      <c r="G31" s="3450" t="s">
        <v>3586</v>
      </c>
      <c r="H31" s="3450" t="s">
        <v>3436</v>
      </c>
      <c r="I31" s="3450">
        <v>37517.279999999999</v>
      </c>
      <c r="J31" s="3450">
        <v>37517.279999999999</v>
      </c>
      <c r="K31" s="3450" t="s">
        <v>3571</v>
      </c>
      <c r="L31" s="3450" t="s">
        <v>3438</v>
      </c>
      <c r="M31" s="3450" t="s">
        <v>3572</v>
      </c>
      <c r="N31" s="3450" t="s">
        <v>3439</v>
      </c>
      <c r="O31" s="3450" t="s">
        <v>3440</v>
      </c>
      <c r="P31" s="3450" t="s">
        <v>3573</v>
      </c>
      <c r="Q31" s="3450" t="s">
        <v>3587</v>
      </c>
      <c r="R31" s="3450" t="s">
        <v>3434</v>
      </c>
      <c r="S31" s="3450" t="s">
        <v>3434</v>
      </c>
      <c r="T31" s="3450" t="s">
        <v>3434</v>
      </c>
      <c r="U31" s="3450" t="s">
        <v>3434</v>
      </c>
      <c r="V31" s="3450" t="s">
        <v>3434</v>
      </c>
      <c r="W31" s="3450" t="s">
        <v>3434</v>
      </c>
      <c r="X31" s="3450">
        <v>0</v>
      </c>
      <c r="Y31" s="3450">
        <v>0</v>
      </c>
      <c r="Z31" s="3452">
        <v>44427.000497685185</v>
      </c>
      <c r="AA31" s="3452">
        <v>44447.000497685185</v>
      </c>
      <c r="AB31" s="3452">
        <v>44447.000497685185</v>
      </c>
      <c r="AC31" s="3452">
        <v>44447.000497685185</v>
      </c>
      <c r="AD31" s="3450" t="s">
        <v>3582</v>
      </c>
      <c r="AE31" s="3450" t="s">
        <v>3443</v>
      </c>
      <c r="AF31" s="3450" t="s">
        <v>3583</v>
      </c>
      <c r="AG31" s="3450" t="s">
        <v>3434</v>
      </c>
      <c r="AH31" s="3450" t="s">
        <v>3434</v>
      </c>
      <c r="AI31" s="3450">
        <v>1192.49</v>
      </c>
      <c r="AJ31" s="3450">
        <v>1190</v>
      </c>
      <c r="AK31" s="3450" t="s">
        <v>3576</v>
      </c>
      <c r="AL31" s="3450">
        <v>1195.3</v>
      </c>
      <c r="AM31" s="3450">
        <v>21.19</v>
      </c>
      <c r="AN31" s="3450">
        <v>21.24</v>
      </c>
      <c r="AO31" s="3450">
        <v>318</v>
      </c>
      <c r="AP31" s="3450">
        <v>319</v>
      </c>
      <c r="AQ31" s="3450" t="s">
        <v>3434</v>
      </c>
      <c r="AR31" s="3450" t="s">
        <v>3434</v>
      </c>
      <c r="AS31" s="3450">
        <v>0.24</v>
      </c>
      <c r="AT31" s="3450" t="s">
        <v>3446</v>
      </c>
      <c r="AU31" s="3450" t="s">
        <v>3440</v>
      </c>
      <c r="AV31" s="3450" t="s">
        <v>3434</v>
      </c>
      <c r="AW31" s="3450" t="s">
        <v>3440</v>
      </c>
      <c r="AX31" s="3450" t="s">
        <v>3434</v>
      </c>
      <c r="AY31" s="3450" t="s">
        <v>3434</v>
      </c>
      <c r="AZ31" s="3450" t="s">
        <v>3434</v>
      </c>
      <c r="BA31" s="3451">
        <f t="shared" si="0"/>
        <v>319</v>
      </c>
    </row>
    <row r="32" spans="1:53">
      <c r="A32" s="3450" t="s">
        <v>3588</v>
      </c>
      <c r="B32" s="3450" t="s">
        <v>3430</v>
      </c>
      <c r="C32" s="3450" t="s">
        <v>3589</v>
      </c>
      <c r="D32" s="3450" t="s">
        <v>3432</v>
      </c>
      <c r="E32" s="3450" t="s">
        <v>3433</v>
      </c>
      <c r="F32" s="3450" t="s">
        <v>3434</v>
      </c>
      <c r="G32" s="3450" t="s">
        <v>3590</v>
      </c>
      <c r="H32" s="3450" t="s">
        <v>3436</v>
      </c>
      <c r="I32" s="3450">
        <v>11883.95</v>
      </c>
      <c r="J32" s="3450">
        <v>8318.77</v>
      </c>
      <c r="K32" s="3450" t="s">
        <v>3591</v>
      </c>
      <c r="L32" s="3450" t="s">
        <v>3438</v>
      </c>
      <c r="M32" s="3450" t="s">
        <v>3592</v>
      </c>
      <c r="N32" s="3450" t="s">
        <v>3439</v>
      </c>
      <c r="O32" s="3450" t="s">
        <v>3440</v>
      </c>
      <c r="P32" s="3450" t="s">
        <v>3573</v>
      </c>
      <c r="Q32" s="3450" t="s">
        <v>3434</v>
      </c>
      <c r="R32" s="3450" t="s">
        <v>3434</v>
      </c>
      <c r="S32" s="3450" t="s">
        <v>3434</v>
      </c>
      <c r="T32" s="3450" t="s">
        <v>3434</v>
      </c>
      <c r="U32" s="3450" t="s">
        <v>3434</v>
      </c>
      <c r="V32" s="3450" t="s">
        <v>3434</v>
      </c>
      <c r="W32" s="3450" t="s">
        <v>3434</v>
      </c>
      <c r="X32" s="3450">
        <v>0</v>
      </c>
      <c r="Y32" s="3450">
        <v>0</v>
      </c>
      <c r="Z32" s="3452">
        <v>44427.000497685185</v>
      </c>
      <c r="AA32" s="3452">
        <v>44447.000497685185</v>
      </c>
      <c r="AB32" s="3452">
        <v>44447.000497685185</v>
      </c>
      <c r="AC32" s="3452">
        <v>44447.000497685185</v>
      </c>
      <c r="AD32" s="3450" t="s">
        <v>3574</v>
      </c>
      <c r="AE32" s="3450" t="s">
        <v>3443</v>
      </c>
      <c r="AF32" s="3450" t="s">
        <v>3575</v>
      </c>
      <c r="AG32" s="3450" t="s">
        <v>3434</v>
      </c>
      <c r="AH32" s="3450" t="s">
        <v>3434</v>
      </c>
      <c r="AI32" s="3450">
        <v>377.73</v>
      </c>
      <c r="AJ32" s="3450">
        <v>370</v>
      </c>
      <c r="AK32" s="3450" t="s">
        <v>3576</v>
      </c>
      <c r="AL32" s="3450">
        <v>378.62</v>
      </c>
      <c r="AM32" s="3450">
        <v>21.19</v>
      </c>
      <c r="AN32" s="3450">
        <v>21.24</v>
      </c>
      <c r="AO32" s="3450">
        <v>454</v>
      </c>
      <c r="AP32" s="3450">
        <v>455</v>
      </c>
      <c r="AQ32" s="3450" t="s">
        <v>3434</v>
      </c>
      <c r="AR32" s="3450" t="s">
        <v>3434</v>
      </c>
      <c r="AS32" s="3450">
        <v>0.24</v>
      </c>
      <c r="AT32" s="3450" t="s">
        <v>3446</v>
      </c>
      <c r="AU32" s="3450" t="s">
        <v>3440</v>
      </c>
      <c r="AV32" s="3450" t="s">
        <v>3434</v>
      </c>
      <c r="AW32" s="3450" t="s">
        <v>3440</v>
      </c>
      <c r="AX32" s="3450" t="s">
        <v>3434</v>
      </c>
      <c r="AY32" s="3450" t="s">
        <v>3434</v>
      </c>
      <c r="AZ32" s="3450" t="s">
        <v>3434</v>
      </c>
      <c r="BA32" s="3451">
        <f t="shared" si="0"/>
        <v>319</v>
      </c>
    </row>
    <row r="33" spans="1:53">
      <c r="A33" s="3450" t="s">
        <v>3593</v>
      </c>
      <c r="B33" s="3450" t="s">
        <v>3430</v>
      </c>
      <c r="C33" s="3450" t="s">
        <v>3594</v>
      </c>
      <c r="D33" s="3450" t="s">
        <v>3432</v>
      </c>
      <c r="E33" s="3450" t="s">
        <v>3433</v>
      </c>
      <c r="F33" s="3450" t="s">
        <v>3434</v>
      </c>
      <c r="G33" s="3450" t="s">
        <v>3595</v>
      </c>
      <c r="H33" s="3450" t="s">
        <v>3436</v>
      </c>
      <c r="I33" s="3450">
        <v>7928.7</v>
      </c>
      <c r="J33" s="3450">
        <v>7928.7</v>
      </c>
      <c r="K33" s="3450" t="s">
        <v>3449</v>
      </c>
      <c r="L33" s="3450" t="s">
        <v>3438</v>
      </c>
      <c r="M33" s="3450" t="s">
        <v>3436</v>
      </c>
      <c r="N33" s="3450" t="s">
        <v>3439</v>
      </c>
      <c r="O33" s="3450" t="s">
        <v>3440</v>
      </c>
      <c r="P33" s="3450" t="s">
        <v>3450</v>
      </c>
      <c r="Q33" s="3450" t="s">
        <v>3563</v>
      </c>
      <c r="R33" s="3450" t="s">
        <v>3434</v>
      </c>
      <c r="S33" s="3450" t="s">
        <v>3434</v>
      </c>
      <c r="T33" s="3450" t="s">
        <v>3434</v>
      </c>
      <c r="U33" s="3450" t="s">
        <v>3434</v>
      </c>
      <c r="V33" s="3450" t="s">
        <v>3434</v>
      </c>
      <c r="W33" s="3450" t="s">
        <v>3434</v>
      </c>
      <c r="X33" s="3450">
        <v>0</v>
      </c>
      <c r="Y33" s="3450">
        <v>0</v>
      </c>
      <c r="Z33" s="3452">
        <v>44420.000497685185</v>
      </c>
      <c r="AA33" s="3452">
        <v>44440.000497685185</v>
      </c>
      <c r="AB33" s="3452">
        <v>44440.000497685185</v>
      </c>
      <c r="AC33" s="3452">
        <v>44440.000497685185</v>
      </c>
      <c r="AD33" s="3450" t="s">
        <v>3596</v>
      </c>
      <c r="AE33" s="3450" t="s">
        <v>3443</v>
      </c>
      <c r="AF33" s="3450" t="s">
        <v>3597</v>
      </c>
      <c r="AG33" s="3450" t="s">
        <v>3434</v>
      </c>
      <c r="AH33" s="3450" t="s">
        <v>3434</v>
      </c>
      <c r="AI33" s="3450">
        <v>284.95999999999998</v>
      </c>
      <c r="AJ33" s="3450">
        <v>280</v>
      </c>
      <c r="AK33" s="3450" t="s">
        <v>3598</v>
      </c>
      <c r="AL33" s="3450">
        <v>285.55</v>
      </c>
      <c r="AM33" s="3450">
        <v>23.96</v>
      </c>
      <c r="AN33" s="3450">
        <v>24.01</v>
      </c>
      <c r="AO33" s="3450">
        <v>359</v>
      </c>
      <c r="AP33" s="3450">
        <v>360</v>
      </c>
      <c r="AQ33" s="3450" t="s">
        <v>3434</v>
      </c>
      <c r="AR33" s="3450" t="s">
        <v>3434</v>
      </c>
      <c r="AS33" s="3450">
        <v>0.21</v>
      </c>
      <c r="AT33" s="3450" t="s">
        <v>3446</v>
      </c>
      <c r="AU33" s="3450" t="s">
        <v>3440</v>
      </c>
      <c r="AV33" s="3450" t="s">
        <v>3434</v>
      </c>
      <c r="AW33" s="3450" t="s">
        <v>3440</v>
      </c>
      <c r="AX33" s="3450" t="s">
        <v>3434</v>
      </c>
      <c r="AY33" s="3450" t="s">
        <v>3434</v>
      </c>
      <c r="AZ33" s="3450" t="s">
        <v>3434</v>
      </c>
      <c r="BA33" s="3451">
        <f t="shared" si="0"/>
        <v>360</v>
      </c>
    </row>
    <row r="34" spans="1:53">
      <c r="A34" s="3450" t="s">
        <v>3599</v>
      </c>
      <c r="B34" s="3450" t="s">
        <v>3430</v>
      </c>
      <c r="C34" s="3450" t="s">
        <v>3600</v>
      </c>
      <c r="D34" s="3450" t="s">
        <v>3432</v>
      </c>
      <c r="E34" s="3450" t="s">
        <v>3433</v>
      </c>
      <c r="F34" s="3450" t="s">
        <v>3434</v>
      </c>
      <c r="G34" s="3450" t="s">
        <v>3601</v>
      </c>
      <c r="H34" s="3450" t="s">
        <v>3436</v>
      </c>
      <c r="I34" s="3450">
        <v>3529.21</v>
      </c>
      <c r="J34" s="3450">
        <v>3529.21</v>
      </c>
      <c r="K34" s="3450" t="s">
        <v>3449</v>
      </c>
      <c r="L34" s="3450" t="s">
        <v>3438</v>
      </c>
      <c r="M34" s="3450" t="s">
        <v>3436</v>
      </c>
      <c r="N34" s="3450" t="s">
        <v>3439</v>
      </c>
      <c r="O34" s="3450" t="s">
        <v>3440</v>
      </c>
      <c r="P34" s="3450" t="s">
        <v>3450</v>
      </c>
      <c r="Q34" s="3450" t="s">
        <v>3563</v>
      </c>
      <c r="R34" s="3450" t="s">
        <v>3434</v>
      </c>
      <c r="S34" s="3450" t="s">
        <v>3434</v>
      </c>
      <c r="T34" s="3450" t="s">
        <v>3434</v>
      </c>
      <c r="U34" s="3450" t="s">
        <v>3434</v>
      </c>
      <c r="V34" s="3450" t="s">
        <v>3434</v>
      </c>
      <c r="W34" s="3450" t="s">
        <v>3434</v>
      </c>
      <c r="X34" s="3450">
        <v>0</v>
      </c>
      <c r="Y34" s="3450">
        <v>0</v>
      </c>
      <c r="Z34" s="3452">
        <v>44420.000497685185</v>
      </c>
      <c r="AA34" s="3452">
        <v>44440.000497685185</v>
      </c>
      <c r="AB34" s="3452">
        <v>44440.000497685185</v>
      </c>
      <c r="AC34" s="3452">
        <v>44440.000497685185</v>
      </c>
      <c r="AD34" s="3450" t="s">
        <v>3602</v>
      </c>
      <c r="AE34" s="3450" t="s">
        <v>3443</v>
      </c>
      <c r="AF34" s="3450" t="s">
        <v>3603</v>
      </c>
      <c r="AG34" s="3450" t="s">
        <v>3434</v>
      </c>
      <c r="AH34" s="3450" t="s">
        <v>3434</v>
      </c>
      <c r="AI34" s="3450">
        <v>126.84</v>
      </c>
      <c r="AJ34" s="3450">
        <v>126</v>
      </c>
      <c r="AK34" s="3450" t="s">
        <v>3598</v>
      </c>
      <c r="AL34" s="3450">
        <v>127.1</v>
      </c>
      <c r="AM34" s="3450">
        <v>23.96</v>
      </c>
      <c r="AN34" s="3450">
        <v>24.01</v>
      </c>
      <c r="AO34" s="3450">
        <v>359</v>
      </c>
      <c r="AP34" s="3450">
        <v>360</v>
      </c>
      <c r="AQ34" s="3450" t="s">
        <v>3434</v>
      </c>
      <c r="AR34" s="3450" t="s">
        <v>3434</v>
      </c>
      <c r="AS34" s="3450">
        <v>0.2</v>
      </c>
      <c r="AT34" s="3450" t="s">
        <v>3446</v>
      </c>
      <c r="AU34" s="3450" t="s">
        <v>3440</v>
      </c>
      <c r="AV34" s="3450" t="s">
        <v>3434</v>
      </c>
      <c r="AW34" s="3450" t="s">
        <v>3440</v>
      </c>
      <c r="AX34" s="3450" t="s">
        <v>3434</v>
      </c>
      <c r="AY34" s="3450" t="s">
        <v>3434</v>
      </c>
      <c r="AZ34" s="3450" t="s">
        <v>3434</v>
      </c>
      <c r="BA34" s="3451">
        <f t="shared" si="0"/>
        <v>360</v>
      </c>
    </row>
    <row r="35" spans="1:53">
      <c r="A35" s="3450" t="s">
        <v>3604</v>
      </c>
      <c r="B35" s="3450" t="s">
        <v>3430</v>
      </c>
      <c r="C35" s="3450" t="s">
        <v>3605</v>
      </c>
      <c r="D35" s="3450" t="s">
        <v>3432</v>
      </c>
      <c r="E35" s="3450" t="s">
        <v>3433</v>
      </c>
      <c r="F35" s="3450" t="s">
        <v>3434</v>
      </c>
      <c r="G35" s="3450" t="s">
        <v>3606</v>
      </c>
      <c r="H35" s="3450" t="s">
        <v>3436</v>
      </c>
      <c r="I35" s="3450">
        <v>3778.16</v>
      </c>
      <c r="J35" s="3450">
        <v>3778.16</v>
      </c>
      <c r="K35" s="3450" t="s">
        <v>3449</v>
      </c>
      <c r="L35" s="3450" t="s">
        <v>3438</v>
      </c>
      <c r="M35" s="3450" t="s">
        <v>3436</v>
      </c>
      <c r="N35" s="3450" t="s">
        <v>3439</v>
      </c>
      <c r="O35" s="3450" t="s">
        <v>3440</v>
      </c>
      <c r="P35" s="3450" t="s">
        <v>3450</v>
      </c>
      <c r="Q35" s="3450" t="s">
        <v>3563</v>
      </c>
      <c r="R35" s="3450" t="s">
        <v>3434</v>
      </c>
      <c r="S35" s="3450" t="s">
        <v>3434</v>
      </c>
      <c r="T35" s="3450" t="s">
        <v>3434</v>
      </c>
      <c r="U35" s="3450" t="s">
        <v>3434</v>
      </c>
      <c r="V35" s="3450" t="s">
        <v>3434</v>
      </c>
      <c r="W35" s="3450" t="s">
        <v>3434</v>
      </c>
      <c r="X35" s="3450">
        <v>0</v>
      </c>
      <c r="Y35" s="3450">
        <v>0</v>
      </c>
      <c r="Z35" s="3452">
        <v>44420.000497685185</v>
      </c>
      <c r="AA35" s="3452">
        <v>44440.000497685185</v>
      </c>
      <c r="AB35" s="3452">
        <v>44440.000497685185</v>
      </c>
      <c r="AC35" s="3452">
        <v>44440.000497685185</v>
      </c>
      <c r="AD35" s="3450" t="s">
        <v>3602</v>
      </c>
      <c r="AE35" s="3450" t="s">
        <v>3443</v>
      </c>
      <c r="AF35" s="3450" t="s">
        <v>3607</v>
      </c>
      <c r="AG35" s="3450" t="s">
        <v>3434</v>
      </c>
      <c r="AH35" s="3450" t="s">
        <v>3434</v>
      </c>
      <c r="AI35" s="3450">
        <v>135.79</v>
      </c>
      <c r="AJ35" s="3450">
        <v>135</v>
      </c>
      <c r="AK35" s="3450" t="s">
        <v>3598</v>
      </c>
      <c r="AL35" s="3450">
        <v>136.07</v>
      </c>
      <c r="AM35" s="3450">
        <v>23.96</v>
      </c>
      <c r="AN35" s="3450">
        <v>24.01</v>
      </c>
      <c r="AO35" s="3450">
        <v>359</v>
      </c>
      <c r="AP35" s="3450">
        <v>360</v>
      </c>
      <c r="AQ35" s="3450" t="s">
        <v>3434</v>
      </c>
      <c r="AR35" s="3450" t="s">
        <v>3434</v>
      </c>
      <c r="AS35" s="3450">
        <v>0.21</v>
      </c>
      <c r="AT35" s="3450" t="s">
        <v>3446</v>
      </c>
      <c r="AU35" s="3450" t="s">
        <v>3440</v>
      </c>
      <c r="AV35" s="3450" t="s">
        <v>3434</v>
      </c>
      <c r="AW35" s="3450" t="s">
        <v>3440</v>
      </c>
      <c r="AX35" s="3450" t="s">
        <v>3434</v>
      </c>
      <c r="AY35" s="3450" t="s">
        <v>3434</v>
      </c>
      <c r="AZ35" s="3450" t="s">
        <v>3434</v>
      </c>
      <c r="BA35" s="3451">
        <f t="shared" si="0"/>
        <v>360</v>
      </c>
    </row>
    <row r="36" spans="1:53">
      <c r="A36" s="3450" t="s">
        <v>3608</v>
      </c>
      <c r="B36" s="3450" t="s">
        <v>3430</v>
      </c>
      <c r="C36" s="3450" t="s">
        <v>3609</v>
      </c>
      <c r="D36" s="3450" t="s">
        <v>3432</v>
      </c>
      <c r="E36" s="3450" t="s">
        <v>3433</v>
      </c>
      <c r="F36" s="3450" t="s">
        <v>3434</v>
      </c>
      <c r="G36" s="3450" t="s">
        <v>3610</v>
      </c>
      <c r="H36" s="3450" t="s">
        <v>3436</v>
      </c>
      <c r="I36" s="3450">
        <v>5850.48</v>
      </c>
      <c r="J36" s="3450">
        <v>5850.48</v>
      </c>
      <c r="K36" s="3450" t="s">
        <v>3449</v>
      </c>
      <c r="L36" s="3450" t="s">
        <v>3438</v>
      </c>
      <c r="M36" s="3450" t="s">
        <v>3436</v>
      </c>
      <c r="N36" s="3450" t="s">
        <v>3439</v>
      </c>
      <c r="O36" s="3450" t="s">
        <v>3440</v>
      </c>
      <c r="P36" s="3450" t="s">
        <v>3450</v>
      </c>
      <c r="Q36" s="3450" t="s">
        <v>3563</v>
      </c>
      <c r="R36" s="3450" t="s">
        <v>3434</v>
      </c>
      <c r="S36" s="3450" t="s">
        <v>3434</v>
      </c>
      <c r="T36" s="3450" t="s">
        <v>3434</v>
      </c>
      <c r="U36" s="3450" t="s">
        <v>3434</v>
      </c>
      <c r="V36" s="3450" t="s">
        <v>3434</v>
      </c>
      <c r="W36" s="3450" t="s">
        <v>3434</v>
      </c>
      <c r="X36" s="3450">
        <v>0</v>
      </c>
      <c r="Y36" s="3450">
        <v>0</v>
      </c>
      <c r="Z36" s="3452">
        <v>44420.000497685185</v>
      </c>
      <c r="AA36" s="3452">
        <v>44440.000497685185</v>
      </c>
      <c r="AB36" s="3452">
        <v>44440.000497685185</v>
      </c>
      <c r="AC36" s="3452">
        <v>44440.000497685185</v>
      </c>
      <c r="AD36" s="3450" t="s">
        <v>3596</v>
      </c>
      <c r="AE36" s="3450" t="s">
        <v>3443</v>
      </c>
      <c r="AF36" s="3450" t="s">
        <v>3611</v>
      </c>
      <c r="AG36" s="3450" t="s">
        <v>3434</v>
      </c>
      <c r="AH36" s="3450" t="s">
        <v>3434</v>
      </c>
      <c r="AI36" s="3450">
        <v>210.27</v>
      </c>
      <c r="AJ36" s="3450">
        <v>210</v>
      </c>
      <c r="AK36" s="3450" t="s">
        <v>3598</v>
      </c>
      <c r="AL36" s="3450">
        <v>210.7</v>
      </c>
      <c r="AM36" s="3450">
        <v>23.96</v>
      </c>
      <c r="AN36" s="3450">
        <v>24.01</v>
      </c>
      <c r="AO36" s="3450">
        <v>359</v>
      </c>
      <c r="AP36" s="3450">
        <v>360</v>
      </c>
      <c r="AQ36" s="3450" t="s">
        <v>3434</v>
      </c>
      <c r="AR36" s="3450" t="s">
        <v>3434</v>
      </c>
      <c r="AS36" s="3450">
        <v>0.2</v>
      </c>
      <c r="AT36" s="3450" t="s">
        <v>3446</v>
      </c>
      <c r="AU36" s="3450" t="s">
        <v>3440</v>
      </c>
      <c r="AV36" s="3450" t="s">
        <v>3434</v>
      </c>
      <c r="AW36" s="3450" t="s">
        <v>3440</v>
      </c>
      <c r="AX36" s="3450" t="s">
        <v>3434</v>
      </c>
      <c r="AY36" s="3450" t="s">
        <v>3434</v>
      </c>
      <c r="AZ36" s="3450" t="s">
        <v>3434</v>
      </c>
      <c r="BA36" s="3451">
        <f t="shared" si="0"/>
        <v>360</v>
      </c>
    </row>
    <row r="37" spans="1:53">
      <c r="A37" s="3450" t="s">
        <v>3612</v>
      </c>
      <c r="B37" s="3450" t="s">
        <v>3430</v>
      </c>
      <c r="C37" s="3450" t="s">
        <v>3613</v>
      </c>
      <c r="D37" s="3450" t="s">
        <v>3432</v>
      </c>
      <c r="E37" s="3450" t="s">
        <v>3433</v>
      </c>
      <c r="F37" s="3450" t="s">
        <v>3434</v>
      </c>
      <c r="G37" s="3450" t="s">
        <v>3614</v>
      </c>
      <c r="H37" s="3450" t="s">
        <v>3436</v>
      </c>
      <c r="I37" s="3450">
        <v>8422.2099999999991</v>
      </c>
      <c r="J37" s="3450">
        <v>8422.2099999999991</v>
      </c>
      <c r="K37" s="3450" t="s">
        <v>3449</v>
      </c>
      <c r="L37" s="3450" t="s">
        <v>3438</v>
      </c>
      <c r="M37" s="3450" t="s">
        <v>3436</v>
      </c>
      <c r="N37" s="3450" t="s">
        <v>3439</v>
      </c>
      <c r="O37" s="3450" t="s">
        <v>3440</v>
      </c>
      <c r="P37" s="3450" t="s">
        <v>3450</v>
      </c>
      <c r="Q37" s="3450" t="s">
        <v>3563</v>
      </c>
      <c r="R37" s="3450" t="s">
        <v>3434</v>
      </c>
      <c r="S37" s="3450" t="s">
        <v>3434</v>
      </c>
      <c r="T37" s="3450" t="s">
        <v>3434</v>
      </c>
      <c r="U37" s="3450" t="s">
        <v>3434</v>
      </c>
      <c r="V37" s="3450" t="s">
        <v>3434</v>
      </c>
      <c r="W37" s="3450" t="s">
        <v>3434</v>
      </c>
      <c r="X37" s="3450">
        <v>0</v>
      </c>
      <c r="Y37" s="3450">
        <v>0</v>
      </c>
      <c r="Z37" s="3452">
        <v>44420.000497685185</v>
      </c>
      <c r="AA37" s="3452">
        <v>44440.000497685185</v>
      </c>
      <c r="AB37" s="3452">
        <v>44440.000497685185</v>
      </c>
      <c r="AC37" s="3452">
        <v>44440.000497685185</v>
      </c>
      <c r="AD37" s="3450" t="s">
        <v>3596</v>
      </c>
      <c r="AE37" s="3450" t="s">
        <v>3443</v>
      </c>
      <c r="AF37" s="3450" t="s">
        <v>3597</v>
      </c>
      <c r="AG37" s="3450" t="s">
        <v>3434</v>
      </c>
      <c r="AH37" s="3450" t="s">
        <v>3434</v>
      </c>
      <c r="AI37" s="3450">
        <v>302.69</v>
      </c>
      <c r="AJ37" s="3450">
        <v>300</v>
      </c>
      <c r="AK37" s="3450" t="s">
        <v>3598</v>
      </c>
      <c r="AL37" s="3450">
        <v>303.33</v>
      </c>
      <c r="AM37" s="3450">
        <v>23.96</v>
      </c>
      <c r="AN37" s="3450">
        <v>24.01</v>
      </c>
      <c r="AO37" s="3450">
        <v>359</v>
      </c>
      <c r="AP37" s="3450">
        <v>360</v>
      </c>
      <c r="AQ37" s="3450" t="s">
        <v>3434</v>
      </c>
      <c r="AR37" s="3450" t="s">
        <v>3434</v>
      </c>
      <c r="AS37" s="3450">
        <v>0.21</v>
      </c>
      <c r="AT37" s="3450" t="s">
        <v>3446</v>
      </c>
      <c r="AU37" s="3450" t="s">
        <v>3440</v>
      </c>
      <c r="AV37" s="3450" t="s">
        <v>3434</v>
      </c>
      <c r="AW37" s="3450" t="s">
        <v>3440</v>
      </c>
      <c r="AX37" s="3450" t="s">
        <v>3434</v>
      </c>
      <c r="AY37" s="3450" t="s">
        <v>3434</v>
      </c>
      <c r="AZ37" s="3450" t="s">
        <v>3434</v>
      </c>
      <c r="BA37" s="3451">
        <f t="shared" si="0"/>
        <v>360</v>
      </c>
    </row>
    <row r="38" spans="1:53">
      <c r="A38" s="3450" t="s">
        <v>3615</v>
      </c>
      <c r="B38" s="3450" t="s">
        <v>3430</v>
      </c>
      <c r="C38" s="3450" t="s">
        <v>3616</v>
      </c>
      <c r="D38" s="3450" t="s">
        <v>3432</v>
      </c>
      <c r="E38" s="3450" t="s">
        <v>3433</v>
      </c>
      <c r="F38" s="3450" t="s">
        <v>3434</v>
      </c>
      <c r="G38" s="3450" t="s">
        <v>3617</v>
      </c>
      <c r="H38" s="3450" t="s">
        <v>3436</v>
      </c>
      <c r="I38" s="3450">
        <v>33333.339999999997</v>
      </c>
      <c r="J38" s="3450">
        <v>36666.67</v>
      </c>
      <c r="K38" s="3450" t="s">
        <v>3618</v>
      </c>
      <c r="L38" s="3450" t="s">
        <v>3619</v>
      </c>
      <c r="M38" s="3450" t="s">
        <v>3436</v>
      </c>
      <c r="N38" s="3450" t="s">
        <v>3439</v>
      </c>
      <c r="O38" s="3450" t="s">
        <v>3440</v>
      </c>
      <c r="P38" s="3450" t="s">
        <v>3450</v>
      </c>
      <c r="Q38" s="3450" t="s">
        <v>3434</v>
      </c>
      <c r="R38" s="3450" t="s">
        <v>3434</v>
      </c>
      <c r="S38" s="3450" t="s">
        <v>3434</v>
      </c>
      <c r="T38" s="3450" t="s">
        <v>3434</v>
      </c>
      <c r="U38" s="3450" t="s">
        <v>3434</v>
      </c>
      <c r="V38" s="3450" t="s">
        <v>3434</v>
      </c>
      <c r="W38" s="3450" t="s">
        <v>3434</v>
      </c>
      <c r="X38" s="3450">
        <v>0</v>
      </c>
      <c r="Y38" s="3450">
        <v>0</v>
      </c>
      <c r="Z38" s="3452">
        <v>44390.000497685185</v>
      </c>
      <c r="AA38" s="3452">
        <v>44410.000497685185</v>
      </c>
      <c r="AB38" s="3452">
        <v>44415.000497685185</v>
      </c>
      <c r="AC38" s="3452">
        <v>44415.000497685185</v>
      </c>
      <c r="AD38" s="3450" t="s">
        <v>3620</v>
      </c>
      <c r="AE38" s="3450" t="s">
        <v>3443</v>
      </c>
      <c r="AF38" s="3450" t="s">
        <v>3621</v>
      </c>
      <c r="AG38" s="3450" t="s">
        <v>3434</v>
      </c>
      <c r="AH38" s="3450" t="s">
        <v>3434</v>
      </c>
      <c r="AI38" s="3450">
        <v>1143</v>
      </c>
      <c r="AJ38" s="3450">
        <v>1100</v>
      </c>
      <c r="AK38" s="3450" t="s">
        <v>3622</v>
      </c>
      <c r="AL38" s="3450">
        <v>1145.5</v>
      </c>
      <c r="AM38" s="3450">
        <v>22.86</v>
      </c>
      <c r="AN38" s="3450">
        <v>22.91</v>
      </c>
      <c r="AO38" s="3450">
        <v>312</v>
      </c>
      <c r="AP38" s="3450">
        <v>312</v>
      </c>
      <c r="AQ38" s="3450" t="s">
        <v>3434</v>
      </c>
      <c r="AR38" s="3450" t="s">
        <v>3434</v>
      </c>
      <c r="AS38" s="3450">
        <v>0.22</v>
      </c>
      <c r="AT38" s="3450" t="s">
        <v>3446</v>
      </c>
      <c r="AU38" s="3450" t="s">
        <v>3440</v>
      </c>
      <c r="AV38" s="3450" t="s">
        <v>3434</v>
      </c>
      <c r="AW38" s="3450" t="s">
        <v>3440</v>
      </c>
      <c r="AX38" s="3450" t="s">
        <v>3434</v>
      </c>
      <c r="AY38" s="3450" t="s">
        <v>3434</v>
      </c>
      <c r="AZ38" s="3450" t="s">
        <v>3434</v>
      </c>
      <c r="BA38" s="3451">
        <f t="shared" si="0"/>
        <v>344</v>
      </c>
    </row>
    <row r="39" spans="1:53">
      <c r="A39" s="3450" t="s">
        <v>3623</v>
      </c>
      <c r="B39" s="3450" t="s">
        <v>3430</v>
      </c>
      <c r="C39" s="3450" t="s">
        <v>3624</v>
      </c>
      <c r="D39" s="3450" t="s">
        <v>3432</v>
      </c>
      <c r="E39" s="3450" t="s">
        <v>3433</v>
      </c>
      <c r="F39" s="3450" t="s">
        <v>3434</v>
      </c>
      <c r="G39" s="3450" t="s">
        <v>3625</v>
      </c>
      <c r="H39" s="3450" t="s">
        <v>3436</v>
      </c>
      <c r="I39" s="3450">
        <v>28374.78</v>
      </c>
      <c r="J39" s="3450">
        <v>28374.78</v>
      </c>
      <c r="K39" s="3450" t="s">
        <v>3449</v>
      </c>
      <c r="L39" s="3450" t="s">
        <v>3438</v>
      </c>
      <c r="M39" s="3450" t="s">
        <v>3436</v>
      </c>
      <c r="N39" s="3450" t="s">
        <v>3439</v>
      </c>
      <c r="O39" s="3450" t="s">
        <v>3440</v>
      </c>
      <c r="P39" s="3450" t="s">
        <v>3450</v>
      </c>
      <c r="Q39" s="3450" t="s">
        <v>3434</v>
      </c>
      <c r="R39" s="3450" t="s">
        <v>3434</v>
      </c>
      <c r="S39" s="3450" t="s">
        <v>3434</v>
      </c>
      <c r="T39" s="3450" t="s">
        <v>3434</v>
      </c>
      <c r="U39" s="3450" t="s">
        <v>3434</v>
      </c>
      <c r="V39" s="3450" t="s">
        <v>3434</v>
      </c>
      <c r="W39" s="3450" t="s">
        <v>3434</v>
      </c>
      <c r="X39" s="3450">
        <v>0</v>
      </c>
      <c r="Y39" s="3450">
        <v>0</v>
      </c>
      <c r="Z39" s="3452">
        <v>44355.000497685185</v>
      </c>
      <c r="AA39" s="3452">
        <v>44375.000497685185</v>
      </c>
      <c r="AB39" s="3452">
        <v>44375.000497685185</v>
      </c>
      <c r="AC39" s="3452">
        <v>44375.000497685185</v>
      </c>
      <c r="AD39" s="3450" t="s">
        <v>3626</v>
      </c>
      <c r="AE39" s="3450" t="s">
        <v>3443</v>
      </c>
      <c r="AF39" s="3450" t="s">
        <v>3627</v>
      </c>
      <c r="AG39" s="3450" t="s">
        <v>3434</v>
      </c>
      <c r="AH39" s="3450" t="s">
        <v>3434</v>
      </c>
      <c r="AI39" s="3450">
        <v>812.94</v>
      </c>
      <c r="AJ39" s="3450">
        <v>800</v>
      </c>
      <c r="AK39" s="3450" t="s">
        <v>3628</v>
      </c>
      <c r="AL39" s="3450">
        <v>815.07</v>
      </c>
      <c r="AM39" s="3450">
        <v>19.100000000000001</v>
      </c>
      <c r="AN39" s="3450">
        <v>19.149999999999999</v>
      </c>
      <c r="AO39" s="3450">
        <v>287</v>
      </c>
      <c r="AP39" s="3450">
        <v>287</v>
      </c>
      <c r="AQ39" s="3450" t="s">
        <v>3434</v>
      </c>
      <c r="AR39" s="3450" t="s">
        <v>3434</v>
      </c>
      <c r="AS39" s="3450">
        <v>0.26</v>
      </c>
      <c r="AT39" s="3450" t="s">
        <v>3446</v>
      </c>
      <c r="AU39" s="3450" t="s">
        <v>3440</v>
      </c>
      <c r="AV39" s="3450" t="s">
        <v>3434</v>
      </c>
      <c r="AW39" s="3450" t="s">
        <v>3440</v>
      </c>
      <c r="AX39" s="3450" t="s">
        <v>3434</v>
      </c>
      <c r="AY39" s="3450" t="s">
        <v>3434</v>
      </c>
      <c r="AZ39" s="3450" t="s">
        <v>3434</v>
      </c>
      <c r="BA39" s="3451">
        <f t="shared" si="0"/>
        <v>287</v>
      </c>
    </row>
    <row r="40" spans="1:53">
      <c r="A40" s="3450" t="s">
        <v>3629</v>
      </c>
      <c r="B40" s="3450" t="s">
        <v>3430</v>
      </c>
      <c r="C40" s="3450" t="s">
        <v>3630</v>
      </c>
      <c r="D40" s="3450" t="s">
        <v>3432</v>
      </c>
      <c r="E40" s="3450" t="s">
        <v>3433</v>
      </c>
      <c r="F40" s="3450" t="s">
        <v>3434</v>
      </c>
      <c r="G40" s="3450" t="s">
        <v>3631</v>
      </c>
      <c r="H40" s="3450" t="s">
        <v>3436</v>
      </c>
      <c r="I40" s="3450">
        <v>9881.6</v>
      </c>
      <c r="J40" s="3450">
        <v>9881.6</v>
      </c>
      <c r="K40" s="3450" t="s">
        <v>3449</v>
      </c>
      <c r="L40" s="3450" t="s">
        <v>3438</v>
      </c>
      <c r="M40" s="3450" t="s">
        <v>3436</v>
      </c>
      <c r="N40" s="3450" t="s">
        <v>3439</v>
      </c>
      <c r="O40" s="3450" t="s">
        <v>3440</v>
      </c>
      <c r="P40" s="3450" t="s">
        <v>3450</v>
      </c>
      <c r="Q40" s="3450" t="s">
        <v>3563</v>
      </c>
      <c r="R40" s="3450" t="s">
        <v>3434</v>
      </c>
      <c r="S40" s="3450" t="s">
        <v>3434</v>
      </c>
      <c r="T40" s="3450" t="s">
        <v>3434</v>
      </c>
      <c r="U40" s="3450" t="s">
        <v>3434</v>
      </c>
      <c r="V40" s="3450" t="s">
        <v>3434</v>
      </c>
      <c r="W40" s="3450" t="s">
        <v>3434</v>
      </c>
      <c r="X40" s="3450">
        <v>0</v>
      </c>
      <c r="Y40" s="3450">
        <v>0</v>
      </c>
      <c r="Z40" s="3452">
        <v>44354.000497685185</v>
      </c>
      <c r="AA40" s="3452">
        <v>44375.000497685185</v>
      </c>
      <c r="AB40" s="3452">
        <v>44375.000497685185</v>
      </c>
      <c r="AC40" s="3452">
        <v>44375.000497685185</v>
      </c>
      <c r="AD40" s="3450" t="s">
        <v>3632</v>
      </c>
      <c r="AE40" s="3450" t="s">
        <v>3443</v>
      </c>
      <c r="AF40" s="3450" t="s">
        <v>3633</v>
      </c>
      <c r="AG40" s="3450" t="s">
        <v>3434</v>
      </c>
      <c r="AH40" s="3450" t="s">
        <v>3434</v>
      </c>
      <c r="AI40" s="3450">
        <v>314.08999999999997</v>
      </c>
      <c r="AJ40" s="3450">
        <v>310</v>
      </c>
      <c r="AK40" s="3450" t="s">
        <v>3628</v>
      </c>
      <c r="AL40" s="3450">
        <v>314.83</v>
      </c>
      <c r="AM40" s="3450">
        <v>21.19</v>
      </c>
      <c r="AN40" s="3450">
        <v>21.24</v>
      </c>
      <c r="AO40" s="3450">
        <v>318</v>
      </c>
      <c r="AP40" s="3450">
        <v>319</v>
      </c>
      <c r="AQ40" s="3450" t="s">
        <v>3434</v>
      </c>
      <c r="AR40" s="3450" t="s">
        <v>3434</v>
      </c>
      <c r="AS40" s="3450">
        <v>0.24</v>
      </c>
      <c r="AT40" s="3450" t="s">
        <v>3446</v>
      </c>
      <c r="AU40" s="3450" t="s">
        <v>3440</v>
      </c>
      <c r="AV40" s="3450" t="s">
        <v>3434</v>
      </c>
      <c r="AW40" s="3450" t="s">
        <v>3440</v>
      </c>
      <c r="AX40" s="3450" t="s">
        <v>3434</v>
      </c>
      <c r="AY40" s="3450" t="s">
        <v>3434</v>
      </c>
      <c r="AZ40" s="3450" t="s">
        <v>3434</v>
      </c>
      <c r="BA40" s="3451">
        <f t="shared" si="0"/>
        <v>319</v>
      </c>
    </row>
    <row r="41" spans="1:53">
      <c r="A41" s="3450" t="s">
        <v>3634</v>
      </c>
      <c r="B41" s="3450" t="s">
        <v>3430</v>
      </c>
      <c r="C41" s="3450" t="s">
        <v>3635</v>
      </c>
      <c r="D41" s="3450" t="s">
        <v>3432</v>
      </c>
      <c r="E41" s="3450" t="s">
        <v>3433</v>
      </c>
      <c r="F41" s="3450" t="s">
        <v>3434</v>
      </c>
      <c r="G41" s="3450" t="s">
        <v>3636</v>
      </c>
      <c r="H41" s="3450" t="s">
        <v>3436</v>
      </c>
      <c r="I41" s="3450">
        <v>20276.689999999999</v>
      </c>
      <c r="J41" s="3450">
        <v>20276.689999999999</v>
      </c>
      <c r="K41" s="3450" t="s">
        <v>3449</v>
      </c>
      <c r="L41" s="3450" t="s">
        <v>3438</v>
      </c>
      <c r="M41" s="3450" t="s">
        <v>3436</v>
      </c>
      <c r="N41" s="3450" t="s">
        <v>3439</v>
      </c>
      <c r="O41" s="3450" t="s">
        <v>3440</v>
      </c>
      <c r="P41" s="3450" t="s">
        <v>3450</v>
      </c>
      <c r="Q41" s="3450" t="s">
        <v>3563</v>
      </c>
      <c r="R41" s="3450" t="s">
        <v>3434</v>
      </c>
      <c r="S41" s="3450" t="s">
        <v>3434</v>
      </c>
      <c r="T41" s="3450" t="s">
        <v>3434</v>
      </c>
      <c r="U41" s="3450" t="s">
        <v>3434</v>
      </c>
      <c r="V41" s="3450" t="s">
        <v>3434</v>
      </c>
      <c r="W41" s="3450" t="s">
        <v>3434</v>
      </c>
      <c r="X41" s="3450">
        <v>0</v>
      </c>
      <c r="Y41" s="3450">
        <v>0</v>
      </c>
      <c r="Z41" s="3452">
        <v>44354.000497685185</v>
      </c>
      <c r="AA41" s="3452">
        <v>44375.000497685185</v>
      </c>
      <c r="AB41" s="3452">
        <v>44375.000497685185</v>
      </c>
      <c r="AC41" s="3452">
        <v>44375.000497685185</v>
      </c>
      <c r="AD41" s="3450" t="s">
        <v>3637</v>
      </c>
      <c r="AE41" s="3450" t="s">
        <v>3443</v>
      </c>
      <c r="AF41" s="3450" t="s">
        <v>3638</v>
      </c>
      <c r="AG41" s="3450" t="s">
        <v>3434</v>
      </c>
      <c r="AH41" s="3450" t="s">
        <v>3434</v>
      </c>
      <c r="AI41" s="3450">
        <v>728.74</v>
      </c>
      <c r="AJ41" s="3450">
        <v>720</v>
      </c>
      <c r="AK41" s="3450" t="s">
        <v>3628</v>
      </c>
      <c r="AL41" s="3450">
        <v>730.26</v>
      </c>
      <c r="AM41" s="3450">
        <v>23.96</v>
      </c>
      <c r="AN41" s="3450">
        <v>24.01</v>
      </c>
      <c r="AO41" s="3450">
        <v>359</v>
      </c>
      <c r="AP41" s="3450">
        <v>360</v>
      </c>
      <c r="AQ41" s="3450" t="s">
        <v>3434</v>
      </c>
      <c r="AR41" s="3450" t="s">
        <v>3434</v>
      </c>
      <c r="AS41" s="3450">
        <v>0.21</v>
      </c>
      <c r="AT41" s="3450" t="s">
        <v>3446</v>
      </c>
      <c r="AU41" s="3450" t="s">
        <v>3440</v>
      </c>
      <c r="AV41" s="3450" t="s">
        <v>3434</v>
      </c>
      <c r="AW41" s="3450" t="s">
        <v>3440</v>
      </c>
      <c r="AX41" s="3450" t="s">
        <v>3434</v>
      </c>
      <c r="AY41" s="3450" t="s">
        <v>3434</v>
      </c>
      <c r="AZ41" s="3450" t="s">
        <v>3434</v>
      </c>
      <c r="BA41" s="3451">
        <f t="shared" si="0"/>
        <v>360</v>
      </c>
    </row>
    <row r="42" spans="1:53">
      <c r="A42" s="3450" t="s">
        <v>3639</v>
      </c>
      <c r="B42" s="3450" t="s">
        <v>3430</v>
      </c>
      <c r="C42" s="3450" t="s">
        <v>3640</v>
      </c>
      <c r="D42" s="3450" t="s">
        <v>3432</v>
      </c>
      <c r="E42" s="3450" t="s">
        <v>3433</v>
      </c>
      <c r="F42" s="3450" t="s">
        <v>3434</v>
      </c>
      <c r="G42" s="3450" t="s">
        <v>3641</v>
      </c>
      <c r="H42" s="3450" t="s">
        <v>3436</v>
      </c>
      <c r="I42" s="3450">
        <v>8116.68</v>
      </c>
      <c r="J42" s="3450">
        <v>4058.34</v>
      </c>
      <c r="K42" s="3450" t="s">
        <v>3642</v>
      </c>
      <c r="L42" s="3450" t="s">
        <v>3438</v>
      </c>
      <c r="M42" s="3450" t="s">
        <v>3436</v>
      </c>
      <c r="N42" s="3450" t="s">
        <v>3439</v>
      </c>
      <c r="O42" s="3450" t="s">
        <v>3440</v>
      </c>
      <c r="P42" s="3450" t="s">
        <v>3643</v>
      </c>
      <c r="Q42" s="3450" t="s">
        <v>3563</v>
      </c>
      <c r="R42" s="3450" t="s">
        <v>3434</v>
      </c>
      <c r="S42" s="3450" t="s">
        <v>3434</v>
      </c>
      <c r="T42" s="3450" t="s">
        <v>3434</v>
      </c>
      <c r="U42" s="3450" t="s">
        <v>3434</v>
      </c>
      <c r="V42" s="3450" t="s">
        <v>3434</v>
      </c>
      <c r="W42" s="3450" t="s">
        <v>3434</v>
      </c>
      <c r="X42" s="3450">
        <v>0</v>
      </c>
      <c r="Y42" s="3450">
        <v>0</v>
      </c>
      <c r="Z42" s="3452">
        <v>44354.000497685185</v>
      </c>
      <c r="AA42" s="3452">
        <v>44375.000497685185</v>
      </c>
      <c r="AB42" s="3452">
        <v>44375.000497685185</v>
      </c>
      <c r="AC42" s="3452">
        <v>44375.000497685185</v>
      </c>
      <c r="AD42" s="3450" t="s">
        <v>3644</v>
      </c>
      <c r="AE42" s="3450" t="s">
        <v>3443</v>
      </c>
      <c r="AF42" s="3450" t="s">
        <v>3645</v>
      </c>
      <c r="AG42" s="3450" t="s">
        <v>3434</v>
      </c>
      <c r="AH42" s="3450" t="s">
        <v>3434</v>
      </c>
      <c r="AI42" s="3450">
        <v>291.70999999999998</v>
      </c>
      <c r="AJ42" s="3450">
        <v>290</v>
      </c>
      <c r="AK42" s="3450" t="s">
        <v>3628</v>
      </c>
      <c r="AL42" s="3450">
        <v>292.32</v>
      </c>
      <c r="AM42" s="3450">
        <v>23.96</v>
      </c>
      <c r="AN42" s="3450">
        <v>24.01</v>
      </c>
      <c r="AO42" s="3450">
        <v>719</v>
      </c>
      <c r="AP42" s="3450">
        <v>720</v>
      </c>
      <c r="AQ42" s="3450" t="s">
        <v>3434</v>
      </c>
      <c r="AR42" s="3450" t="s">
        <v>3434</v>
      </c>
      <c r="AS42" s="3450">
        <v>0.21</v>
      </c>
      <c r="AT42" s="3450" t="s">
        <v>3446</v>
      </c>
      <c r="AU42" s="3450" t="s">
        <v>3440</v>
      </c>
      <c r="AV42" s="3450" t="s">
        <v>3434</v>
      </c>
      <c r="AW42" s="3450" t="s">
        <v>3440</v>
      </c>
      <c r="AX42" s="3450" t="s">
        <v>3434</v>
      </c>
      <c r="AY42" s="3450" t="s">
        <v>3434</v>
      </c>
      <c r="AZ42" s="3450" t="s">
        <v>3434</v>
      </c>
      <c r="BA42" s="3451">
        <f t="shared" si="0"/>
        <v>360</v>
      </c>
    </row>
    <row r="43" spans="1:53">
      <c r="A43" s="3450" t="s">
        <v>3629</v>
      </c>
      <c r="B43" s="3450" t="s">
        <v>3430</v>
      </c>
      <c r="C43" s="3450" t="s">
        <v>3646</v>
      </c>
      <c r="D43" s="3450" t="s">
        <v>3432</v>
      </c>
      <c r="E43" s="3450" t="s">
        <v>3433</v>
      </c>
      <c r="F43" s="3450" t="s">
        <v>3434</v>
      </c>
      <c r="G43" s="3450" t="s">
        <v>3631</v>
      </c>
      <c r="H43" s="3450" t="s">
        <v>3436</v>
      </c>
      <c r="I43" s="3450">
        <v>13346.09</v>
      </c>
      <c r="J43" s="3450">
        <v>13346.09</v>
      </c>
      <c r="K43" s="3450" t="s">
        <v>3449</v>
      </c>
      <c r="L43" s="3450" t="s">
        <v>3438</v>
      </c>
      <c r="M43" s="3450" t="s">
        <v>3436</v>
      </c>
      <c r="N43" s="3450" t="s">
        <v>3439</v>
      </c>
      <c r="O43" s="3450" t="s">
        <v>3440</v>
      </c>
      <c r="P43" s="3450" t="s">
        <v>3450</v>
      </c>
      <c r="Q43" s="3450" t="s">
        <v>3563</v>
      </c>
      <c r="R43" s="3450" t="s">
        <v>3434</v>
      </c>
      <c r="S43" s="3450" t="s">
        <v>3434</v>
      </c>
      <c r="T43" s="3450" t="s">
        <v>3434</v>
      </c>
      <c r="U43" s="3450" t="s">
        <v>3434</v>
      </c>
      <c r="V43" s="3450" t="s">
        <v>3434</v>
      </c>
      <c r="W43" s="3450" t="s">
        <v>3434</v>
      </c>
      <c r="X43" s="3450">
        <v>0</v>
      </c>
      <c r="Y43" s="3450">
        <v>0</v>
      </c>
      <c r="Z43" s="3452">
        <v>44354.000497685185</v>
      </c>
      <c r="AA43" s="3452">
        <v>44375.000497685185</v>
      </c>
      <c r="AB43" s="3452">
        <v>44375.000497685185</v>
      </c>
      <c r="AC43" s="3452">
        <v>44375.000497685185</v>
      </c>
      <c r="AD43" s="3450" t="s">
        <v>3632</v>
      </c>
      <c r="AE43" s="3450" t="s">
        <v>3443</v>
      </c>
      <c r="AF43" s="3450" t="s">
        <v>3647</v>
      </c>
      <c r="AG43" s="3450" t="s">
        <v>3434</v>
      </c>
      <c r="AH43" s="3450" t="s">
        <v>3434</v>
      </c>
      <c r="AI43" s="3450">
        <v>424.2</v>
      </c>
      <c r="AJ43" s="3450">
        <v>420</v>
      </c>
      <c r="AK43" s="3450" t="s">
        <v>3628</v>
      </c>
      <c r="AL43" s="3450">
        <v>425.21</v>
      </c>
      <c r="AM43" s="3450">
        <v>21.19</v>
      </c>
      <c r="AN43" s="3450">
        <v>21.24</v>
      </c>
      <c r="AO43" s="3450">
        <v>318</v>
      </c>
      <c r="AP43" s="3450">
        <v>319</v>
      </c>
      <c r="AQ43" s="3450" t="s">
        <v>3434</v>
      </c>
      <c r="AR43" s="3450" t="s">
        <v>3434</v>
      </c>
      <c r="AS43" s="3450">
        <v>0.24</v>
      </c>
      <c r="AT43" s="3450" t="s">
        <v>3446</v>
      </c>
      <c r="AU43" s="3450" t="s">
        <v>3440</v>
      </c>
      <c r="AV43" s="3450" t="s">
        <v>3434</v>
      </c>
      <c r="AW43" s="3450" t="s">
        <v>3440</v>
      </c>
      <c r="AX43" s="3450" t="s">
        <v>3434</v>
      </c>
      <c r="AY43" s="3450" t="s">
        <v>3434</v>
      </c>
      <c r="AZ43" s="3450" t="s">
        <v>3434</v>
      </c>
      <c r="BA43" s="3451">
        <f t="shared" si="0"/>
        <v>319</v>
      </c>
    </row>
    <row r="44" spans="1:53">
      <c r="A44" s="3450" t="s">
        <v>3648</v>
      </c>
      <c r="B44" s="3450" t="s">
        <v>3430</v>
      </c>
      <c r="C44" s="3450" t="s">
        <v>3649</v>
      </c>
      <c r="D44" s="3450" t="s">
        <v>3432</v>
      </c>
      <c r="E44" s="3450" t="s">
        <v>3433</v>
      </c>
      <c r="F44" s="3450" t="s">
        <v>3434</v>
      </c>
      <c r="G44" s="3450" t="s">
        <v>3650</v>
      </c>
      <c r="H44" s="3450" t="s">
        <v>3436</v>
      </c>
      <c r="I44" s="3450">
        <v>64662.720000000001</v>
      </c>
      <c r="J44" s="3450">
        <v>64662.720000000001</v>
      </c>
      <c r="K44" s="3450" t="s">
        <v>3449</v>
      </c>
      <c r="L44" s="3450" t="s">
        <v>3438</v>
      </c>
      <c r="M44" s="3450" t="s">
        <v>3436</v>
      </c>
      <c r="N44" s="3450" t="s">
        <v>3439</v>
      </c>
      <c r="O44" s="3450" t="s">
        <v>3440</v>
      </c>
      <c r="P44" s="3450" t="s">
        <v>3450</v>
      </c>
      <c r="Q44" s="3450" t="s">
        <v>3434</v>
      </c>
      <c r="R44" s="3450" t="s">
        <v>3434</v>
      </c>
      <c r="S44" s="3450" t="s">
        <v>3434</v>
      </c>
      <c r="T44" s="3450" t="s">
        <v>3434</v>
      </c>
      <c r="U44" s="3450" t="s">
        <v>3434</v>
      </c>
      <c r="V44" s="3450" t="s">
        <v>3434</v>
      </c>
      <c r="W44" s="3450" t="s">
        <v>3434</v>
      </c>
      <c r="X44" s="3450">
        <v>0</v>
      </c>
      <c r="Y44" s="3450">
        <v>0</v>
      </c>
      <c r="Z44" s="3452">
        <v>44354.000497685185</v>
      </c>
      <c r="AA44" s="3452">
        <v>44375.000497685185</v>
      </c>
      <c r="AB44" s="3452">
        <v>44375.000497685185</v>
      </c>
      <c r="AC44" s="3452">
        <v>44375.000497685185</v>
      </c>
      <c r="AD44" s="3450" t="s">
        <v>3651</v>
      </c>
      <c r="AE44" s="3450" t="s">
        <v>3443</v>
      </c>
      <c r="AF44" s="3450" t="s">
        <v>3652</v>
      </c>
      <c r="AG44" s="3450" t="s">
        <v>3434</v>
      </c>
      <c r="AH44" s="3450" t="s">
        <v>3434</v>
      </c>
      <c r="AI44" s="3450">
        <v>2049.4899999999998</v>
      </c>
      <c r="AJ44" s="3450">
        <v>2000</v>
      </c>
      <c r="AK44" s="3450" t="s">
        <v>3628</v>
      </c>
      <c r="AL44" s="3450">
        <v>2054.34</v>
      </c>
      <c r="AM44" s="3450">
        <v>21.13</v>
      </c>
      <c r="AN44" s="3450">
        <v>21.18</v>
      </c>
      <c r="AO44" s="3450">
        <v>317</v>
      </c>
      <c r="AP44" s="3450">
        <v>318</v>
      </c>
      <c r="AQ44" s="3450" t="s">
        <v>3434</v>
      </c>
      <c r="AR44" s="3450" t="s">
        <v>3434</v>
      </c>
      <c r="AS44" s="3450">
        <v>0.24</v>
      </c>
      <c r="AT44" s="3450" t="s">
        <v>3446</v>
      </c>
      <c r="AU44" s="3450" t="s">
        <v>3440</v>
      </c>
      <c r="AV44" s="3450" t="s">
        <v>3434</v>
      </c>
      <c r="AW44" s="3450" t="s">
        <v>3440</v>
      </c>
      <c r="AX44" s="3450" t="s">
        <v>3434</v>
      </c>
      <c r="AY44" s="3450" t="s">
        <v>3434</v>
      </c>
      <c r="AZ44" s="3450" t="s">
        <v>3434</v>
      </c>
      <c r="BA44" s="3451">
        <f t="shared" si="0"/>
        <v>318</v>
      </c>
    </row>
    <row r="45" spans="1:53">
      <c r="A45" s="3450" t="s">
        <v>3653</v>
      </c>
      <c r="B45" s="3450" t="s">
        <v>3430</v>
      </c>
      <c r="C45" s="3450" t="s">
        <v>3654</v>
      </c>
      <c r="D45" s="3450" t="s">
        <v>3432</v>
      </c>
      <c r="E45" s="3450" t="s">
        <v>3433</v>
      </c>
      <c r="F45" s="3450" t="s">
        <v>3434</v>
      </c>
      <c r="G45" s="3450" t="s">
        <v>3655</v>
      </c>
      <c r="H45" s="3450" t="s">
        <v>3436</v>
      </c>
      <c r="I45" s="3450">
        <v>33646.269999999997</v>
      </c>
      <c r="J45" s="3450">
        <v>33646.269999999997</v>
      </c>
      <c r="K45" s="3450" t="s">
        <v>3449</v>
      </c>
      <c r="L45" s="3450" t="s">
        <v>3438</v>
      </c>
      <c r="M45" s="3450" t="s">
        <v>3436</v>
      </c>
      <c r="N45" s="3450" t="s">
        <v>3439</v>
      </c>
      <c r="O45" s="3450" t="s">
        <v>3440</v>
      </c>
      <c r="P45" s="3450" t="s">
        <v>3450</v>
      </c>
      <c r="Q45" s="3450" t="s">
        <v>3563</v>
      </c>
      <c r="R45" s="3450" t="s">
        <v>3434</v>
      </c>
      <c r="S45" s="3450" t="s">
        <v>3434</v>
      </c>
      <c r="T45" s="3450" t="s">
        <v>3434</v>
      </c>
      <c r="U45" s="3450" t="s">
        <v>3434</v>
      </c>
      <c r="V45" s="3450" t="s">
        <v>3434</v>
      </c>
      <c r="W45" s="3450" t="s">
        <v>3434</v>
      </c>
      <c r="X45" s="3450">
        <v>0</v>
      </c>
      <c r="Y45" s="3450">
        <v>0</v>
      </c>
      <c r="Z45" s="3452">
        <v>44315.000497685185</v>
      </c>
      <c r="AA45" s="3452">
        <v>44337.000497685185</v>
      </c>
      <c r="AB45" s="3452">
        <v>44337.000497685185</v>
      </c>
      <c r="AC45" s="3452">
        <v>44337.000497685185</v>
      </c>
      <c r="AD45" s="3450" t="s">
        <v>3656</v>
      </c>
      <c r="AE45" s="3450" t="s">
        <v>3443</v>
      </c>
      <c r="AF45" s="3450" t="s">
        <v>3657</v>
      </c>
      <c r="AG45" s="3450" t="s">
        <v>3434</v>
      </c>
      <c r="AH45" s="3450" t="s">
        <v>3434</v>
      </c>
      <c r="AI45" s="3450">
        <v>1209.25</v>
      </c>
      <c r="AJ45" s="3450">
        <v>1200</v>
      </c>
      <c r="AK45" s="3450" t="s">
        <v>3658</v>
      </c>
      <c r="AL45" s="3450">
        <v>1211.77</v>
      </c>
      <c r="AM45" s="3450">
        <v>23.96</v>
      </c>
      <c r="AN45" s="3450">
        <v>24.01</v>
      </c>
      <c r="AO45" s="3450">
        <v>359</v>
      </c>
      <c r="AP45" s="3450">
        <v>360</v>
      </c>
      <c r="AQ45" s="3450" t="s">
        <v>3434</v>
      </c>
      <c r="AR45" s="3450" t="s">
        <v>3434</v>
      </c>
      <c r="AS45" s="3450">
        <v>0.21</v>
      </c>
      <c r="AT45" s="3450" t="s">
        <v>3446</v>
      </c>
      <c r="AU45" s="3450" t="s">
        <v>3440</v>
      </c>
      <c r="AV45" s="3450" t="s">
        <v>3434</v>
      </c>
      <c r="AW45" s="3450" t="s">
        <v>3440</v>
      </c>
      <c r="AX45" s="3450" t="s">
        <v>3434</v>
      </c>
      <c r="AY45" s="3450" t="s">
        <v>3434</v>
      </c>
      <c r="AZ45" s="3450" t="s">
        <v>3434</v>
      </c>
      <c r="BA45" s="3451">
        <f t="shared" si="0"/>
        <v>360</v>
      </c>
    </row>
    <row r="46" spans="1:53">
      <c r="A46" s="3450" t="s">
        <v>3659</v>
      </c>
      <c r="B46" s="3450" t="s">
        <v>3430</v>
      </c>
      <c r="C46" s="3450" t="s">
        <v>3660</v>
      </c>
      <c r="D46" s="3450" t="s">
        <v>3432</v>
      </c>
      <c r="E46" s="3450" t="s">
        <v>3433</v>
      </c>
      <c r="F46" s="3450" t="s">
        <v>3434</v>
      </c>
      <c r="G46" s="3450" t="s">
        <v>3661</v>
      </c>
      <c r="H46" s="3450" t="s">
        <v>3436</v>
      </c>
      <c r="I46" s="3450">
        <v>82145.440000000002</v>
      </c>
      <c r="J46" s="3450">
        <v>73930.899999999994</v>
      </c>
      <c r="K46" s="3450" t="s">
        <v>3662</v>
      </c>
      <c r="L46" s="3450" t="s">
        <v>3438</v>
      </c>
      <c r="M46" s="3450" t="s">
        <v>3436</v>
      </c>
      <c r="N46" s="3450" t="s">
        <v>3439</v>
      </c>
      <c r="O46" s="3450" t="s">
        <v>3440</v>
      </c>
      <c r="P46" s="3450" t="s">
        <v>3450</v>
      </c>
      <c r="Q46" s="3450" t="s">
        <v>3563</v>
      </c>
      <c r="R46" s="3450" t="s">
        <v>3434</v>
      </c>
      <c r="S46" s="3450" t="s">
        <v>3434</v>
      </c>
      <c r="T46" s="3450" t="s">
        <v>3434</v>
      </c>
      <c r="U46" s="3450" t="s">
        <v>3434</v>
      </c>
      <c r="V46" s="3450" t="s">
        <v>3434</v>
      </c>
      <c r="W46" s="3450" t="s">
        <v>3434</v>
      </c>
      <c r="X46" s="3450">
        <v>0</v>
      </c>
      <c r="Y46" s="3450">
        <v>0</v>
      </c>
      <c r="Z46" s="3452">
        <v>44288.000497685185</v>
      </c>
      <c r="AA46" s="3452">
        <v>44309.000497685185</v>
      </c>
      <c r="AB46" s="3452">
        <v>44309.000497685185</v>
      </c>
      <c r="AC46" s="3452">
        <v>44309.000497685185</v>
      </c>
      <c r="AD46" s="3450" t="s">
        <v>3663</v>
      </c>
      <c r="AE46" s="3450" t="s">
        <v>3443</v>
      </c>
      <c r="AF46" s="3450" t="s">
        <v>3575</v>
      </c>
      <c r="AG46" s="3450" t="s">
        <v>3434</v>
      </c>
      <c r="AH46" s="3450" t="s">
        <v>3434</v>
      </c>
      <c r="AI46" s="3450">
        <v>2610.9899999999998</v>
      </c>
      <c r="AJ46" s="3450">
        <v>2610</v>
      </c>
      <c r="AK46" s="3450" t="s">
        <v>3664</v>
      </c>
      <c r="AL46" s="3450">
        <v>2617.15</v>
      </c>
      <c r="AM46" s="3450">
        <v>21.19</v>
      </c>
      <c r="AN46" s="3450">
        <v>21.24</v>
      </c>
      <c r="AO46" s="3450">
        <v>353</v>
      </c>
      <c r="AP46" s="3450">
        <v>354</v>
      </c>
      <c r="AQ46" s="3450" t="s">
        <v>3434</v>
      </c>
      <c r="AR46" s="3450" t="s">
        <v>3434</v>
      </c>
      <c r="AS46" s="3450">
        <v>0.24</v>
      </c>
      <c r="AT46" s="3450" t="s">
        <v>3446</v>
      </c>
      <c r="AU46" s="3450" t="s">
        <v>3440</v>
      </c>
      <c r="AV46" s="3450" t="s">
        <v>3434</v>
      </c>
      <c r="AW46" s="3450" t="s">
        <v>3440</v>
      </c>
      <c r="AX46" s="3450" t="s">
        <v>3434</v>
      </c>
      <c r="AY46" s="3450" t="s">
        <v>3434</v>
      </c>
      <c r="AZ46" s="3450" t="s">
        <v>3434</v>
      </c>
      <c r="BA46" s="3451">
        <f t="shared" si="0"/>
        <v>319</v>
      </c>
    </row>
    <row r="47" spans="1:53">
      <c r="A47" s="3450" t="s">
        <v>3665</v>
      </c>
      <c r="B47" s="3450" t="s">
        <v>3430</v>
      </c>
      <c r="C47" s="3450" t="s">
        <v>3666</v>
      </c>
      <c r="D47" s="3450" t="s">
        <v>3432</v>
      </c>
      <c r="E47" s="3450" t="s">
        <v>3433</v>
      </c>
      <c r="F47" s="3450" t="s">
        <v>3434</v>
      </c>
      <c r="G47" s="3450" t="s">
        <v>3667</v>
      </c>
      <c r="H47" s="3450" t="s">
        <v>3436</v>
      </c>
      <c r="I47" s="3450">
        <v>19517.22</v>
      </c>
      <c r="J47" s="3450">
        <v>19517.22</v>
      </c>
      <c r="K47" s="3450" t="s">
        <v>3449</v>
      </c>
      <c r="L47" s="3450" t="s">
        <v>3438</v>
      </c>
      <c r="M47" s="3450" t="s">
        <v>3436</v>
      </c>
      <c r="N47" s="3450" t="s">
        <v>3439</v>
      </c>
      <c r="O47" s="3450" t="s">
        <v>3440</v>
      </c>
      <c r="P47" s="3450" t="s">
        <v>3450</v>
      </c>
      <c r="Q47" s="3450" t="s">
        <v>3563</v>
      </c>
      <c r="R47" s="3450" t="s">
        <v>3434</v>
      </c>
      <c r="S47" s="3450" t="s">
        <v>3434</v>
      </c>
      <c r="T47" s="3450" t="s">
        <v>3434</v>
      </c>
      <c r="U47" s="3450" t="s">
        <v>3434</v>
      </c>
      <c r="V47" s="3450">
        <v>0</v>
      </c>
      <c r="W47" s="3450">
        <v>0</v>
      </c>
      <c r="X47" s="3450">
        <v>0</v>
      </c>
      <c r="Y47" s="3450">
        <v>0</v>
      </c>
      <c r="Z47" s="3452">
        <v>44274.000497685185</v>
      </c>
      <c r="AA47" s="3452">
        <v>44298.000497685185</v>
      </c>
      <c r="AB47" s="3452">
        <v>44298.000497685185</v>
      </c>
      <c r="AC47" s="3452">
        <v>44298.000497685185</v>
      </c>
      <c r="AD47" s="3450" t="s">
        <v>3668</v>
      </c>
      <c r="AE47" s="3450" t="s">
        <v>3443</v>
      </c>
      <c r="AF47" s="3450" t="s">
        <v>3537</v>
      </c>
      <c r="AG47" s="3450" t="s">
        <v>3434</v>
      </c>
      <c r="AH47" s="3450" t="s">
        <v>3434</v>
      </c>
      <c r="AI47" s="3450">
        <v>701.45</v>
      </c>
      <c r="AJ47" s="3450">
        <v>700</v>
      </c>
      <c r="AK47" s="3450" t="s">
        <v>3669</v>
      </c>
      <c r="AL47" s="3450">
        <v>702.91</v>
      </c>
      <c r="AM47" s="3450">
        <v>23.96</v>
      </c>
      <c r="AN47" s="3450">
        <v>24.01</v>
      </c>
      <c r="AO47" s="3450">
        <v>359</v>
      </c>
      <c r="AP47" s="3450">
        <v>360</v>
      </c>
      <c r="AQ47" s="3450" t="s">
        <v>3434</v>
      </c>
      <c r="AR47" s="3450" t="s">
        <v>3434</v>
      </c>
      <c r="AS47" s="3450">
        <v>0.21</v>
      </c>
      <c r="AT47" s="3450" t="s">
        <v>3446</v>
      </c>
      <c r="AU47" s="3450" t="s">
        <v>3440</v>
      </c>
      <c r="AV47" s="3450" t="s">
        <v>3434</v>
      </c>
      <c r="AW47" s="3450" t="s">
        <v>3440</v>
      </c>
      <c r="AX47" s="3450" t="s">
        <v>3434</v>
      </c>
      <c r="AY47" s="3450" t="s">
        <v>3434</v>
      </c>
      <c r="AZ47" s="3450" t="s">
        <v>3434</v>
      </c>
      <c r="BA47" s="3451">
        <f t="shared" si="0"/>
        <v>360</v>
      </c>
    </row>
    <row r="48" spans="1:53">
      <c r="A48" s="3450" t="s">
        <v>3670</v>
      </c>
      <c r="B48" s="3450" t="s">
        <v>3430</v>
      </c>
      <c r="C48" s="3450" t="s">
        <v>3671</v>
      </c>
      <c r="D48" s="3450" t="s">
        <v>3432</v>
      </c>
      <c r="E48" s="3450" t="s">
        <v>3433</v>
      </c>
      <c r="F48" s="3450" t="s">
        <v>3434</v>
      </c>
      <c r="G48" s="3450" t="s">
        <v>3672</v>
      </c>
      <c r="H48" s="3450" t="s">
        <v>3436</v>
      </c>
      <c r="I48" s="3450">
        <v>39224.400000000001</v>
      </c>
      <c r="J48" s="3450">
        <v>39224.400000000001</v>
      </c>
      <c r="K48" s="3450" t="s">
        <v>3449</v>
      </c>
      <c r="L48" s="3450" t="s">
        <v>3438</v>
      </c>
      <c r="M48" s="3450" t="s">
        <v>3436</v>
      </c>
      <c r="N48" s="3450" t="s">
        <v>3439</v>
      </c>
      <c r="O48" s="3450" t="s">
        <v>3440</v>
      </c>
      <c r="P48" s="3450" t="s">
        <v>3450</v>
      </c>
      <c r="Q48" s="3450" t="s">
        <v>3563</v>
      </c>
      <c r="R48" s="3450" t="s">
        <v>3434</v>
      </c>
      <c r="S48" s="3450" t="s">
        <v>3434</v>
      </c>
      <c r="T48" s="3450" t="s">
        <v>3434</v>
      </c>
      <c r="U48" s="3450" t="s">
        <v>3434</v>
      </c>
      <c r="V48" s="3450">
        <v>0</v>
      </c>
      <c r="W48" s="3450">
        <v>0</v>
      </c>
      <c r="X48" s="3450">
        <v>0</v>
      </c>
      <c r="Y48" s="3450">
        <v>0</v>
      </c>
      <c r="Z48" s="3452">
        <v>44274.000497685185</v>
      </c>
      <c r="AA48" s="3452">
        <v>44298.000497685185</v>
      </c>
      <c r="AB48" s="3452">
        <v>44298.000497685185</v>
      </c>
      <c r="AC48" s="3452">
        <v>44298.000497685185</v>
      </c>
      <c r="AD48" s="3450" t="s">
        <v>3668</v>
      </c>
      <c r="AE48" s="3450" t="s">
        <v>3443</v>
      </c>
      <c r="AF48" s="3450" t="s">
        <v>3501</v>
      </c>
      <c r="AG48" s="3450" t="s">
        <v>3434</v>
      </c>
      <c r="AH48" s="3450" t="s">
        <v>3434</v>
      </c>
      <c r="AI48" s="3450">
        <v>1409.72</v>
      </c>
      <c r="AJ48" s="3450">
        <v>1400</v>
      </c>
      <c r="AK48" s="3450" t="s">
        <v>3669</v>
      </c>
      <c r="AL48" s="3450">
        <v>1412.67</v>
      </c>
      <c r="AM48" s="3450">
        <v>23.96</v>
      </c>
      <c r="AN48" s="3450">
        <v>24.01</v>
      </c>
      <c r="AO48" s="3450">
        <v>359</v>
      </c>
      <c r="AP48" s="3450">
        <v>360</v>
      </c>
      <c r="AQ48" s="3450" t="s">
        <v>3434</v>
      </c>
      <c r="AR48" s="3450" t="s">
        <v>3434</v>
      </c>
      <c r="AS48" s="3450">
        <v>0.21</v>
      </c>
      <c r="AT48" s="3450" t="s">
        <v>3446</v>
      </c>
      <c r="AU48" s="3450" t="s">
        <v>3440</v>
      </c>
      <c r="AV48" s="3450" t="s">
        <v>3434</v>
      </c>
      <c r="AW48" s="3450" t="s">
        <v>3440</v>
      </c>
      <c r="AX48" s="3450" t="s">
        <v>3434</v>
      </c>
      <c r="AY48" s="3450" t="s">
        <v>3434</v>
      </c>
      <c r="AZ48" s="3450" t="s">
        <v>3434</v>
      </c>
      <c r="BA48" s="3451">
        <f t="shared" si="0"/>
        <v>360</v>
      </c>
    </row>
    <row r="49" spans="1:53">
      <c r="A49" s="3450" t="s">
        <v>3593</v>
      </c>
      <c r="B49" s="3450" t="s">
        <v>3430</v>
      </c>
      <c r="C49" s="3450" t="s">
        <v>3673</v>
      </c>
      <c r="D49" s="3450" t="s">
        <v>3432</v>
      </c>
      <c r="E49" s="3450" t="s">
        <v>3433</v>
      </c>
      <c r="F49" s="3450" t="s">
        <v>3434</v>
      </c>
      <c r="G49" s="3450" t="s">
        <v>3595</v>
      </c>
      <c r="H49" s="3450" t="s">
        <v>3436</v>
      </c>
      <c r="I49" s="3450">
        <v>6566</v>
      </c>
      <c r="J49" s="3450">
        <v>6566</v>
      </c>
      <c r="K49" s="3450" t="s">
        <v>3449</v>
      </c>
      <c r="L49" s="3450" t="s">
        <v>3438</v>
      </c>
      <c r="M49" s="3450" t="s">
        <v>3436</v>
      </c>
      <c r="N49" s="3450" t="s">
        <v>3439</v>
      </c>
      <c r="O49" s="3450" t="s">
        <v>3440</v>
      </c>
      <c r="P49" s="3450" t="s">
        <v>3450</v>
      </c>
      <c r="Q49" s="3450" t="s">
        <v>3563</v>
      </c>
      <c r="R49" s="3450" t="s">
        <v>3434</v>
      </c>
      <c r="S49" s="3450" t="s">
        <v>3434</v>
      </c>
      <c r="T49" s="3450" t="s">
        <v>3434</v>
      </c>
      <c r="U49" s="3450" t="s">
        <v>3434</v>
      </c>
      <c r="V49" s="3450">
        <v>0</v>
      </c>
      <c r="W49" s="3450">
        <v>0</v>
      </c>
      <c r="X49" s="3450">
        <v>0</v>
      </c>
      <c r="Y49" s="3450">
        <v>0</v>
      </c>
      <c r="Z49" s="3452">
        <v>44258.000497685185</v>
      </c>
      <c r="AA49" s="3452">
        <v>44278.000497685185</v>
      </c>
      <c r="AB49" s="3452">
        <v>44278.000497685185</v>
      </c>
      <c r="AC49" s="3452">
        <v>44278.000497685185</v>
      </c>
      <c r="AD49" s="3450" t="s">
        <v>3674</v>
      </c>
      <c r="AE49" s="3450" t="s">
        <v>3443</v>
      </c>
      <c r="AF49" s="3450" t="s">
        <v>3675</v>
      </c>
      <c r="AG49" s="3450" t="s">
        <v>3434</v>
      </c>
      <c r="AH49" s="3450" t="s">
        <v>3434</v>
      </c>
      <c r="AI49" s="3450">
        <v>235.98</v>
      </c>
      <c r="AJ49" s="3450">
        <v>235</v>
      </c>
      <c r="AK49" s="3450" t="s">
        <v>3676</v>
      </c>
      <c r="AL49" s="3450">
        <v>236.47</v>
      </c>
      <c r="AM49" s="3450">
        <v>23.96</v>
      </c>
      <c r="AN49" s="3450">
        <v>24.01</v>
      </c>
      <c r="AO49" s="3450">
        <v>359</v>
      </c>
      <c r="AP49" s="3450">
        <v>360</v>
      </c>
      <c r="AQ49" s="3450" t="s">
        <v>3434</v>
      </c>
      <c r="AR49" s="3450" t="s">
        <v>3434</v>
      </c>
      <c r="AS49" s="3450">
        <v>0.21</v>
      </c>
      <c r="AT49" s="3450" t="s">
        <v>3446</v>
      </c>
      <c r="AU49" s="3450" t="s">
        <v>3440</v>
      </c>
      <c r="AV49" s="3450" t="s">
        <v>3434</v>
      </c>
      <c r="AW49" s="3450" t="s">
        <v>3440</v>
      </c>
      <c r="AX49" s="3450" t="s">
        <v>3434</v>
      </c>
      <c r="AY49" s="3450" t="s">
        <v>3434</v>
      </c>
      <c r="AZ49" s="3450" t="s">
        <v>3434</v>
      </c>
      <c r="BA49" s="3451">
        <f t="shared" si="0"/>
        <v>360</v>
      </c>
    </row>
    <row r="50" spans="1:53">
      <c r="A50" s="3450" t="s">
        <v>3677</v>
      </c>
      <c r="B50" s="3450" t="s">
        <v>3430</v>
      </c>
      <c r="C50" s="3450" t="s">
        <v>3678</v>
      </c>
      <c r="D50" s="3450" t="s">
        <v>3432</v>
      </c>
      <c r="E50" s="3450" t="s">
        <v>3433</v>
      </c>
      <c r="F50" s="3450" t="s">
        <v>3434</v>
      </c>
      <c r="G50" s="3450" t="s">
        <v>3679</v>
      </c>
      <c r="H50" s="3450" t="s">
        <v>3436</v>
      </c>
      <c r="I50" s="3450">
        <v>8070.96</v>
      </c>
      <c r="J50" s="3450">
        <v>8070.96</v>
      </c>
      <c r="K50" s="3450" t="s">
        <v>3449</v>
      </c>
      <c r="L50" s="3450" t="s">
        <v>3438</v>
      </c>
      <c r="M50" s="3450" t="s">
        <v>3436</v>
      </c>
      <c r="N50" s="3450" t="s">
        <v>3439</v>
      </c>
      <c r="O50" s="3450" t="s">
        <v>3440</v>
      </c>
      <c r="P50" s="3450" t="s">
        <v>3450</v>
      </c>
      <c r="Q50" s="3450" t="s">
        <v>3563</v>
      </c>
      <c r="R50" s="3450" t="s">
        <v>3434</v>
      </c>
      <c r="S50" s="3450" t="s">
        <v>3434</v>
      </c>
      <c r="T50" s="3450" t="s">
        <v>3434</v>
      </c>
      <c r="U50" s="3450" t="s">
        <v>3434</v>
      </c>
      <c r="V50" s="3450">
        <v>0</v>
      </c>
      <c r="W50" s="3450">
        <v>0</v>
      </c>
      <c r="X50" s="3450">
        <v>0</v>
      </c>
      <c r="Y50" s="3450">
        <v>0</v>
      </c>
      <c r="Z50" s="3452">
        <v>44258.000497685185</v>
      </c>
      <c r="AA50" s="3452">
        <v>44278.000497685185</v>
      </c>
      <c r="AB50" s="3452">
        <v>44278.000497685185</v>
      </c>
      <c r="AC50" s="3452">
        <v>44278.000497685185</v>
      </c>
      <c r="AD50" s="3450" t="s">
        <v>3674</v>
      </c>
      <c r="AE50" s="3450" t="s">
        <v>3443</v>
      </c>
      <c r="AF50" s="3450" t="s">
        <v>3597</v>
      </c>
      <c r="AG50" s="3450" t="s">
        <v>3434</v>
      </c>
      <c r="AH50" s="3450" t="s">
        <v>3434</v>
      </c>
      <c r="AI50" s="3450">
        <v>290.07</v>
      </c>
      <c r="AJ50" s="3450">
        <v>290</v>
      </c>
      <c r="AK50" s="3450" t="s">
        <v>3676</v>
      </c>
      <c r="AL50" s="3450">
        <v>290.67</v>
      </c>
      <c r="AM50" s="3450">
        <v>23.96</v>
      </c>
      <c r="AN50" s="3450">
        <v>24.01</v>
      </c>
      <c r="AO50" s="3450">
        <v>359</v>
      </c>
      <c r="AP50" s="3450">
        <v>360</v>
      </c>
      <c r="AQ50" s="3450" t="s">
        <v>3434</v>
      </c>
      <c r="AR50" s="3450" t="s">
        <v>3434</v>
      </c>
      <c r="AS50" s="3450">
        <v>0.21</v>
      </c>
      <c r="AT50" s="3450" t="s">
        <v>3446</v>
      </c>
      <c r="AU50" s="3450" t="s">
        <v>3440</v>
      </c>
      <c r="AV50" s="3450" t="s">
        <v>3434</v>
      </c>
      <c r="AW50" s="3450" t="s">
        <v>3440</v>
      </c>
      <c r="AX50" s="3450" t="s">
        <v>3434</v>
      </c>
      <c r="AY50" s="3450" t="s">
        <v>3434</v>
      </c>
      <c r="AZ50" s="3450" t="s">
        <v>3434</v>
      </c>
      <c r="BA50" s="3451">
        <f t="shared" si="0"/>
        <v>360</v>
      </c>
    </row>
    <row r="51" spans="1:53">
      <c r="A51" s="3450" t="s">
        <v>3680</v>
      </c>
      <c r="B51" s="3450" t="s">
        <v>3430</v>
      </c>
      <c r="C51" s="3450" t="s">
        <v>3681</v>
      </c>
      <c r="D51" s="3450" t="s">
        <v>3432</v>
      </c>
      <c r="E51" s="3450" t="s">
        <v>3433</v>
      </c>
      <c r="F51" s="3450" t="s">
        <v>3434</v>
      </c>
      <c r="G51" s="3450" t="s">
        <v>3682</v>
      </c>
      <c r="H51" s="3450" t="s">
        <v>3436</v>
      </c>
      <c r="I51" s="3450">
        <v>357.72</v>
      </c>
      <c r="J51" s="3450">
        <v>357.72</v>
      </c>
      <c r="K51" s="3450" t="s">
        <v>3449</v>
      </c>
      <c r="L51" s="3450" t="s">
        <v>3438</v>
      </c>
      <c r="M51" s="3450" t="s">
        <v>3436</v>
      </c>
      <c r="N51" s="3450" t="s">
        <v>3439</v>
      </c>
      <c r="O51" s="3450" t="s">
        <v>3440</v>
      </c>
      <c r="P51" s="3450" t="s">
        <v>3450</v>
      </c>
      <c r="Q51" s="3450" t="s">
        <v>3563</v>
      </c>
      <c r="R51" s="3450" t="s">
        <v>3434</v>
      </c>
      <c r="S51" s="3450" t="s">
        <v>3434</v>
      </c>
      <c r="T51" s="3450" t="s">
        <v>3434</v>
      </c>
      <c r="U51" s="3450" t="s">
        <v>3434</v>
      </c>
      <c r="V51" s="3450">
        <v>0</v>
      </c>
      <c r="W51" s="3450">
        <v>0</v>
      </c>
      <c r="X51" s="3450">
        <v>0</v>
      </c>
      <c r="Y51" s="3450">
        <v>0</v>
      </c>
      <c r="Z51" s="3452">
        <v>44258.000497685185</v>
      </c>
      <c r="AA51" s="3452">
        <v>44278.000497685185</v>
      </c>
      <c r="AB51" s="3452">
        <v>44278.000497685185</v>
      </c>
      <c r="AC51" s="3452">
        <v>44278.000497685185</v>
      </c>
      <c r="AD51" s="3450" t="s">
        <v>3683</v>
      </c>
      <c r="AE51" s="3450" t="s">
        <v>3443</v>
      </c>
      <c r="AF51" s="3450" t="s">
        <v>3684</v>
      </c>
      <c r="AG51" s="3450" t="s">
        <v>3434</v>
      </c>
      <c r="AH51" s="3450" t="s">
        <v>3434</v>
      </c>
      <c r="AI51" s="3450">
        <v>12.86</v>
      </c>
      <c r="AJ51" s="3450">
        <v>12</v>
      </c>
      <c r="AK51" s="3450" t="s">
        <v>3676</v>
      </c>
      <c r="AL51" s="3450">
        <v>12.88</v>
      </c>
      <c r="AM51" s="3450">
        <v>23.97</v>
      </c>
      <c r="AN51" s="3450">
        <v>24</v>
      </c>
      <c r="AO51" s="3450">
        <v>359</v>
      </c>
      <c r="AP51" s="3450">
        <v>360</v>
      </c>
      <c r="AQ51" s="3450" t="s">
        <v>3434</v>
      </c>
      <c r="AR51" s="3450" t="s">
        <v>3434</v>
      </c>
      <c r="AS51" s="3450">
        <v>0.16</v>
      </c>
      <c r="AT51" s="3450" t="s">
        <v>3446</v>
      </c>
      <c r="AU51" s="3450" t="s">
        <v>3440</v>
      </c>
      <c r="AV51" s="3450" t="s">
        <v>3434</v>
      </c>
      <c r="AW51" s="3450" t="s">
        <v>3440</v>
      </c>
      <c r="AX51" s="3450" t="s">
        <v>3434</v>
      </c>
      <c r="AY51" s="3450" t="s">
        <v>3434</v>
      </c>
      <c r="AZ51" s="3450" t="s">
        <v>3434</v>
      </c>
      <c r="BA51" s="3451">
        <f t="shared" si="0"/>
        <v>360</v>
      </c>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41" sqref="D4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4" t="s">
        <v>925</v>
      </c>
      <c r="E3" s="854" t="s">
        <v>931</v>
      </c>
      <c r="F3" s="854" t="s">
        <v>925</v>
      </c>
      <c r="G3" s="854" t="s">
        <v>926</v>
      </c>
      <c r="H3" s="854" t="s">
        <v>925</v>
      </c>
      <c r="I3" s="854" t="s">
        <v>926</v>
      </c>
    </row>
    <row r="4" spans="1:9" ht="15">
      <c r="A4" s="1505" t="str">
        <f>项目基本情况!S2</f>
        <v>房地产</v>
      </c>
      <c r="B4" s="854">
        <f>项目基本情况!C17</f>
        <v>12794.5</v>
      </c>
      <c r="C4" s="854">
        <f>项目基本情况!C18</f>
        <v>26500</v>
      </c>
      <c r="D4" s="854">
        <f ca="1">结果表!D118</f>
        <v>997</v>
      </c>
      <c r="E4" s="854">
        <f ca="1">结果表!E118</f>
        <v>779</v>
      </c>
      <c r="F4" s="854">
        <f ca="1">结果表!F118</f>
        <v>3536</v>
      </c>
      <c r="G4" s="854">
        <f ca="1">结果表!G118</f>
        <v>2764</v>
      </c>
      <c r="H4" s="854">
        <f ca="1">结果表!H118</f>
        <v>4533</v>
      </c>
      <c r="I4" s="854">
        <f ca="1">结果表!I118</f>
        <v>3543</v>
      </c>
    </row>
    <row r="5" spans="1:9" ht="30" customHeight="1">
      <c r="A5" s="3476" t="s">
        <v>927</v>
      </c>
      <c r="B5" s="3476"/>
      <c r="C5" s="3476"/>
      <c r="D5" s="3476" t="str">
        <f ca="1">结果表!D119</f>
        <v>玖佰玖拾柒万元整</v>
      </c>
      <c r="E5" s="3476"/>
      <c r="F5" s="3476" t="str">
        <f ca="1">结果表!F119</f>
        <v>叁仟伍佰叁拾陆万元整</v>
      </c>
      <c r="G5" s="3476"/>
      <c r="H5" s="3476" t="str">
        <f ca="1">结果表!H119</f>
        <v>肆仟伍佰叁拾叁万元整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4533</v>
      </c>
      <c r="E8" s="3477"/>
      <c r="F8" s="3477"/>
      <c r="G8" s="3477"/>
      <c r="H8" s="3477"/>
      <c r="I8" s="3477"/>
    </row>
    <row r="9" spans="1:9" ht="15">
      <c r="A9" s="3476" t="s">
        <v>927</v>
      </c>
      <c r="B9" s="3476"/>
      <c r="C9" s="3476"/>
      <c r="D9" s="3476" t="str">
        <f ca="1">结果表!D123</f>
        <v>肆仟伍佰叁拾叁万元整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44988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2159</v>
      </c>
      <c r="B17" s="3500"/>
      <c r="C17" s="3500"/>
      <c r="D17" s="3500"/>
      <c r="E17" s="3500"/>
      <c r="F17" s="3500"/>
      <c r="G17" s="3500"/>
      <c r="H17" s="3500"/>
    </row>
    <row r="18" spans="1:8" ht="24" customHeight="1">
      <c r="A18" s="3501" t="s">
        <v>2160</v>
      </c>
      <c r="B18" s="3501"/>
      <c r="C18" s="3501"/>
      <c r="D18" s="2343"/>
      <c r="E18" s="3502" t="s">
        <v>2161</v>
      </c>
      <c r="F18" s="3501"/>
      <c r="G18" s="350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2023-03-03T01:32:05Z</dcterms:modified>
</cp:coreProperties>
</file>