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安贞里四区\测算\"/>
    </mc:Choice>
  </mc:AlternateContent>
  <xr:revisionPtr revIDLastSave="0" documentId="13_ncr:1_{C5E6EBD5-EDA3-49A9-A002-A0308A25D1F0}"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33" i="21" l="1"/>
  <c r="H33" i="21"/>
  <c r="F33" i="21"/>
  <c r="F104" i="21"/>
  <c r="G104" i="21"/>
  <c r="E104" i="21"/>
  <c r="D66" i="21"/>
  <c r="B65" i="21"/>
  <c r="C13" i="4"/>
  <c r="E91" i="21"/>
  <c r="D91" i="21"/>
  <c r="C91" i="21"/>
  <c r="J37" i="21"/>
  <c r="I37" i="21"/>
  <c r="G37" i="21"/>
  <c r="E37" i="21"/>
  <c r="E59" i="21"/>
  <c r="F59" i="21" s="1"/>
  <c r="H59" i="21" s="1"/>
  <c r="I59" i="21" s="1"/>
  <c r="D59" i="21"/>
  <c r="K32" i="81"/>
  <c r="K31" i="81"/>
  <c r="K30" i="81"/>
  <c r="K59" i="21" l="1"/>
  <c r="L59" i="21" s="1"/>
  <c r="J59" i="21"/>
  <c r="G59" i="21"/>
  <c r="I33" i="21"/>
  <c r="G33" i="21"/>
  <c r="E33" i="21"/>
  <c r="E15" i="21"/>
  <c r="I15" i="21" s="1"/>
  <c r="E5" i="21"/>
  <c r="K29" i="81"/>
  <c r="M20" i="1"/>
  <c r="N59" i="21" l="1"/>
  <c r="M59" i="21"/>
  <c r="G15"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N23" i="79" s="1"/>
  <c r="M26" i="79"/>
  <c r="L26" i="79"/>
  <c r="I26" i="79"/>
  <c r="AB25" i="79"/>
  <c r="AB23" i="79" s="1"/>
  <c r="AA25" i="79"/>
  <c r="AA23" i="79" s="1"/>
  <c r="AD23" i="79" s="1"/>
  <c r="Z25" i="79"/>
  <c r="N25" i="79"/>
  <c r="M25" i="79"/>
  <c r="T25" i="79" s="1"/>
  <c r="W25" i="79" s="1"/>
  <c r="L25" i="79"/>
  <c r="S23" i="79" s="1"/>
  <c r="I25" i="79"/>
  <c r="AD25" i="79" s="1"/>
  <c r="Z23" i="79"/>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Z3" i="79" s="1"/>
  <c r="Y14" i="79"/>
  <c r="O14" i="79"/>
  <c r="N14" i="79"/>
  <c r="M14" i="79"/>
  <c r="T14" i="79" s="1"/>
  <c r="W14" i="79" s="1"/>
  <c r="L14" i="79"/>
  <c r="S14" i="79" s="1"/>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O33" i="81"/>
  <c r="O30" i="81"/>
  <c r="O29" i="81"/>
  <c r="K28" i="81"/>
  <c r="O27" i="81"/>
  <c r="K27" i="81"/>
  <c r="K26" i="81"/>
  <c r="M25" i="81"/>
  <c r="K25"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F80" i="34"/>
  <c r="G80" i="34" s="1"/>
  <c r="D80" i="34"/>
  <c r="E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H29" i="34"/>
  <c r="AB29" i="34" s="1"/>
  <c r="F29" i="34"/>
  <c r="AA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8" i="72"/>
  <c r="B16" i="72"/>
  <c r="B10" i="72"/>
  <c r="B8" i="72"/>
  <c r="B6" i="72"/>
  <c r="B3" i="72"/>
  <c r="B2" i="72"/>
  <c r="E2" i="68"/>
  <c r="AO7" i="1"/>
  <c r="B8" i="76"/>
  <c r="F6" i="67"/>
  <c r="AO9" i="1"/>
  <c r="E10" i="76"/>
  <c r="F8" i="67"/>
  <c r="L47" i="67"/>
  <c r="AO13" i="1"/>
  <c r="M27" i="67"/>
  <c r="D2" i="37"/>
  <c r="M24" i="67"/>
  <c r="F37" i="67"/>
  <c r="D34" i="9"/>
  <c r="D2" i="33"/>
  <c r="AO12" i="1"/>
  <c r="D2" i="21"/>
  <c r="D2" i="36"/>
  <c r="E7" i="76"/>
  <c r="F36" i="67"/>
  <c r="AO10" i="1"/>
  <c r="M22" i="67"/>
  <c r="E2" i="69"/>
  <c r="M6" i="67"/>
  <c r="B7" i="76"/>
  <c r="B11" i="76"/>
  <c r="F9" i="67"/>
  <c r="AO8" i="1"/>
  <c r="B10" i="76"/>
  <c r="D35" i="9"/>
  <c r="C76" i="67"/>
  <c r="M28" i="67"/>
  <c r="AO11" i="1"/>
  <c r="M23" i="67"/>
  <c r="M8" i="67"/>
  <c r="F38" i="67"/>
  <c r="J15" i="67"/>
  <c r="F16" i="67"/>
  <c r="B13" i="76"/>
  <c r="D2" i="35"/>
  <c r="E9" i="76"/>
  <c r="D2" i="34"/>
  <c r="F20" i="31"/>
  <c r="M26" i="67"/>
  <c r="E12" i="76"/>
  <c r="B12" i="76"/>
  <c r="E13" i="76"/>
  <c r="M9" i="67"/>
  <c r="F7" i="67"/>
  <c r="F13" i="67"/>
  <c r="F26" i="67"/>
  <c r="F42" i="67"/>
  <c r="E8" i="76"/>
  <c r="B9" i="76"/>
  <c r="F40" i="67"/>
  <c r="E11" i="76"/>
  <c r="BA13" i="3" l="1"/>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K33" i="81"/>
  <c r="K34" i="8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G5" i="3" s="1"/>
  <c r="B3" i="3" s="1"/>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E202" i="3" s="1"/>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E266" i="3" s="1"/>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E330" i="3" s="1"/>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E456" i="3" s="1"/>
  <c r="BA458" i="3"/>
  <c r="AZ458" i="3" s="1"/>
  <c r="BL459" i="3"/>
  <c r="G460" i="3"/>
  <c r="BA462" i="3"/>
  <c r="AZ462" i="3" s="1"/>
  <c r="BL463" i="3"/>
  <c r="G464" i="3"/>
  <c r="BA466" i="3"/>
  <c r="AZ466" i="3" s="1"/>
  <c r="BL467" i="3"/>
  <c r="AZ467" i="3" s="1"/>
  <c r="G468" i="3"/>
  <c r="BA470" i="3"/>
  <c r="AZ470" i="3" s="1"/>
  <c r="BL471" i="3"/>
  <c r="G472" i="3"/>
  <c r="BA474" i="3"/>
  <c r="AZ474" i="3" s="1"/>
  <c r="BL475" i="3"/>
  <c r="G476" i="3"/>
  <c r="E476" i="3" s="1"/>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E520" i="3" s="1"/>
  <c r="BA522" i="3"/>
  <c r="AZ522" i="3" s="1"/>
  <c r="BL523" i="3"/>
  <c r="G524" i="3"/>
  <c r="BA526" i="3"/>
  <c r="AZ526" i="3" s="1"/>
  <c r="BL527" i="3"/>
  <c r="G528" i="3"/>
  <c r="BA530" i="3"/>
  <c r="AZ530" i="3" s="1"/>
  <c r="BL531" i="3"/>
  <c r="AZ531" i="3" s="1"/>
  <c r="G532" i="3"/>
  <c r="BA534" i="3"/>
  <c r="AZ534" i="3" s="1"/>
  <c r="BL535" i="3"/>
  <c r="G536" i="3"/>
  <c r="BA538" i="3"/>
  <c r="AZ538" i="3" s="1"/>
  <c r="BL539" i="3"/>
  <c r="G540" i="3"/>
  <c r="E540" i="3" s="1"/>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E584" i="3" s="1"/>
  <c r="BA586" i="3"/>
  <c r="AZ586" i="3" s="1"/>
  <c r="BL587" i="3"/>
  <c r="P27" i="6"/>
  <c r="K7" i="1"/>
  <c r="M7" i="1" s="1"/>
  <c r="B24" i="1"/>
  <c r="F34" i="11" s="1"/>
  <c r="D7" i="74"/>
  <c r="R14" i="77"/>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O35" i="81"/>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Q9" i="1"/>
  <c r="T9"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H37" i="21"/>
  <c r="U37" i="21" s="1"/>
  <c r="W37" i="21"/>
  <c r="F37" i="21"/>
  <c r="F127" i="21"/>
  <c r="J44" i="21" s="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F34"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AA37"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7" i="73"/>
  <c r="F7" i="73"/>
  <c r="M29" i="67"/>
  <c r="L48" i="67"/>
  <c r="F43" i="67"/>
  <c r="D5" i="73"/>
  <c r="F6" i="73"/>
  <c r="D3" i="73"/>
  <c r="P6" i="3" l="1"/>
  <c r="E19" i="3"/>
  <c r="E39" i="3"/>
  <c r="E59" i="3"/>
  <c r="E83" i="3"/>
  <c r="E103" i="3"/>
  <c r="E123" i="3"/>
  <c r="E147" i="3"/>
  <c r="E166" i="3"/>
  <c r="E186" i="3"/>
  <c r="E210" i="3"/>
  <c r="E230" i="3"/>
  <c r="E250" i="3"/>
  <c r="E274" i="3"/>
  <c r="E294" i="3"/>
  <c r="E314" i="3"/>
  <c r="E338" i="3"/>
  <c r="E358" i="3"/>
  <c r="E398" i="3"/>
  <c r="E196" i="3"/>
  <c r="E228" i="3"/>
  <c r="E260" i="3"/>
  <c r="E292" i="3"/>
  <c r="E324" i="3"/>
  <c r="E356" i="3"/>
  <c r="E388" i="3"/>
  <c r="E363" i="3"/>
  <c r="E383" i="3"/>
  <c r="E403" i="3"/>
  <c r="E427" i="3"/>
  <c r="E439" i="3"/>
  <c r="E471" i="3"/>
  <c r="E503" i="3"/>
  <c r="E535" i="3"/>
  <c r="E567" i="3"/>
  <c r="E440" i="3"/>
  <c r="E460" i="3"/>
  <c r="E480" i="3"/>
  <c r="E504" i="3"/>
  <c r="E524" i="3"/>
  <c r="E544" i="3"/>
  <c r="E568" i="3"/>
  <c r="E23" i="3"/>
  <c r="E43" i="3"/>
  <c r="E67"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56" i="40"/>
  <c r="E60" i="39"/>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J18" i="67" s="1"/>
  <c r="F59" i="67"/>
  <c r="J19" i="67"/>
  <c r="C31" i="67"/>
  <c r="F9" i="15"/>
  <c r="D6" i="73"/>
  <c r="M22" i="15"/>
  <c r="M23" i="15"/>
  <c r="M26" i="15"/>
  <c r="F7" i="15"/>
  <c r="M28" i="15"/>
  <c r="F40" i="15"/>
  <c r="M8" i="15"/>
  <c r="C76" i="15"/>
  <c r="F36" i="15"/>
  <c r="M24" i="15"/>
  <c r="F5" i="73"/>
  <c r="F37" i="15"/>
  <c r="F35" i="15"/>
  <c r="F4" i="73"/>
  <c r="C16" i="67"/>
  <c r="M9" i="15"/>
  <c r="F42" i="15"/>
  <c r="F3" i="73"/>
  <c r="L47" i="15"/>
  <c r="F8" i="15"/>
  <c r="F26" i="15"/>
  <c r="F41" i="15"/>
  <c r="F6" i="15"/>
  <c r="M6" i="15"/>
  <c r="M27" i="15"/>
  <c r="G1" i="73"/>
  <c r="M29" i="15"/>
  <c r="F38" i="15"/>
  <c r="F16" i="15"/>
  <c r="C14" i="15"/>
  <c r="F13" i="15"/>
  <c r="L48" i="15"/>
  <c r="D4" i="73"/>
  <c r="F43" i="15"/>
  <c r="M21" i="15"/>
  <c r="J15" i="15"/>
  <c r="D9" i="69" l="1"/>
  <c r="D9" i="11"/>
  <c r="C9" i="11" s="1"/>
  <c r="W26" i="21"/>
  <c r="H79" i="43"/>
  <c r="D9" i="68"/>
  <c r="C9" i="68" s="1"/>
  <c r="E32" i="77"/>
  <c r="H77" i="43"/>
  <c r="AC6" i="3"/>
  <c r="AZ5" i="3"/>
  <c r="E3" i="6" s="1"/>
  <c r="H73" i="43"/>
  <c r="H75" i="43"/>
  <c r="H74" i="43"/>
  <c r="H76" i="43"/>
  <c r="B40" i="1"/>
  <c r="F22" i="11" s="1"/>
  <c r="C23" i="11" s="1"/>
  <c r="AY6" i="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6" i="6"/>
  <c r="E31" i="6"/>
  <c r="C9" i="69"/>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AY587" i="3"/>
  <c r="AY579" i="3"/>
  <c r="AY571" i="3"/>
  <c r="AY563" i="3"/>
  <c r="AY555" i="3"/>
  <c r="AY547" i="3"/>
  <c r="AY539" i="3"/>
  <c r="AY531" i="3"/>
  <c r="AY523" i="3"/>
  <c r="AY515" i="3"/>
  <c r="AY511" i="3"/>
  <c r="AY507" i="3"/>
  <c r="AY503" i="3"/>
  <c r="AY499" i="3"/>
  <c r="AY495" i="3"/>
  <c r="AY491" i="3"/>
  <c r="AY487" i="3"/>
  <c r="AY483" i="3"/>
  <c r="AY479" i="3"/>
  <c r="AY475" i="3"/>
  <c r="AY471" i="3"/>
  <c r="AY467" i="3"/>
  <c r="AY463" i="3"/>
  <c r="AY459" i="3"/>
  <c r="AY455" i="3"/>
  <c r="AY451" i="3"/>
  <c r="AY447" i="3"/>
  <c r="AY443" i="3"/>
  <c r="AY439" i="3"/>
  <c r="AY435" i="3"/>
  <c r="AY43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429" i="3"/>
  <c r="AY425" i="3"/>
  <c r="AY421" i="3"/>
  <c r="AY417" i="3"/>
  <c r="AY413" i="3"/>
  <c r="AY409" i="3"/>
  <c r="AY405" i="3"/>
  <c r="AY401" i="3"/>
  <c r="AY397" i="3"/>
  <c r="AY393" i="3"/>
  <c r="AY389" i="3"/>
  <c r="AY385" i="3"/>
  <c r="AY381" i="3"/>
  <c r="AY377" i="3"/>
  <c r="AY373" i="3"/>
  <c r="AY369" i="3"/>
  <c r="AY365" i="3"/>
  <c r="AY361"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7" i="15"/>
  <c r="C44" i="11" l="1"/>
  <c r="D41" i="11" s="1"/>
  <c r="H7" i="35"/>
  <c r="AY585" i="3"/>
  <c r="AY577" i="3"/>
  <c r="AY569" i="3"/>
  <c r="AY561" i="3"/>
  <c r="AY553" i="3"/>
  <c r="AY545" i="3"/>
  <c r="AY537" i="3"/>
  <c r="AY529" i="3"/>
  <c r="AY521" i="3"/>
  <c r="AY513" i="3"/>
  <c r="AY505" i="3"/>
  <c r="AY497" i="3"/>
  <c r="AY489" i="3"/>
  <c r="AY481" i="3"/>
  <c r="AY473" i="3"/>
  <c r="AY465" i="3"/>
  <c r="AY457" i="3"/>
  <c r="AY449" i="3"/>
  <c r="AY441" i="3"/>
  <c r="AY433" i="3"/>
  <c r="AY582" i="3"/>
  <c r="AY574" i="3"/>
  <c r="AY566" i="3"/>
  <c r="AY558" i="3"/>
  <c r="AY550" i="3"/>
  <c r="AY542" i="3"/>
  <c r="AY534" i="3"/>
  <c r="AY526" i="3"/>
  <c r="AY518" i="3"/>
  <c r="AY510" i="3"/>
  <c r="AY502" i="3"/>
  <c r="AY494" i="3"/>
  <c r="AY486" i="3"/>
  <c r="AY478" i="3"/>
  <c r="AY470" i="3"/>
  <c r="AY462" i="3"/>
  <c r="AY454" i="3"/>
  <c r="AY446" i="3"/>
  <c r="AY438" i="3"/>
  <c r="AY430" i="3"/>
  <c r="AY422" i="3"/>
  <c r="AY414" i="3"/>
  <c r="AY406" i="3"/>
  <c r="AY398" i="3"/>
  <c r="AY390" i="3"/>
  <c r="AY382" i="3"/>
  <c r="AY374" i="3"/>
  <c r="AY366" i="3"/>
  <c r="AY358" i="3"/>
  <c r="AY351" i="3"/>
  <c r="AY343" i="3"/>
  <c r="AY335" i="3"/>
  <c r="AY327" i="3"/>
  <c r="AY319" i="3"/>
  <c r="AY311" i="3"/>
  <c r="AY303" i="3"/>
  <c r="AY295" i="3"/>
  <c r="AY287" i="3"/>
  <c r="AY279" i="3"/>
  <c r="AY271" i="3"/>
  <c r="AY263" i="3"/>
  <c r="AY255" i="3"/>
  <c r="AY247" i="3"/>
  <c r="AY239" i="3"/>
  <c r="AY231" i="3"/>
  <c r="AY223" i="3"/>
  <c r="AY215" i="3"/>
  <c r="AY207" i="3"/>
  <c r="AY199" i="3"/>
  <c r="AY191" i="3"/>
  <c r="AY183" i="3"/>
  <c r="AY175" i="3"/>
  <c r="AY167" i="3"/>
  <c r="AY423" i="3"/>
  <c r="AY415" i="3"/>
  <c r="AY407" i="3"/>
  <c r="AY399" i="3"/>
  <c r="AY391" i="3"/>
  <c r="AY383" i="3"/>
  <c r="AY375" i="3"/>
  <c r="AY367" i="3"/>
  <c r="AY359" i="3"/>
  <c r="AY583" i="3"/>
  <c r="AY575" i="3"/>
  <c r="AY567" i="3"/>
  <c r="AY559" i="3"/>
  <c r="AY551" i="3"/>
  <c r="AY543" i="3"/>
  <c r="AY535" i="3"/>
  <c r="AY527" i="3"/>
  <c r="AY519" i="3"/>
  <c r="D3" i="6"/>
  <c r="AY581" i="3"/>
  <c r="AY573" i="3"/>
  <c r="AY565" i="3"/>
  <c r="AY557" i="3"/>
  <c r="AY549" i="3"/>
  <c r="AY541" i="3"/>
  <c r="AY533" i="3"/>
  <c r="AY525" i="3"/>
  <c r="AY517" i="3"/>
  <c r="AY509" i="3"/>
  <c r="AY501" i="3"/>
  <c r="AY493" i="3"/>
  <c r="AY485" i="3"/>
  <c r="AY477" i="3"/>
  <c r="AY469" i="3"/>
  <c r="AY461" i="3"/>
  <c r="AY453" i="3"/>
  <c r="AY445" i="3"/>
  <c r="AY437"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427" i="3"/>
  <c r="AY419" i="3"/>
  <c r="AY411" i="3"/>
  <c r="AY403" i="3"/>
  <c r="AY395" i="3"/>
  <c r="AY387" i="3"/>
  <c r="AY379" i="3"/>
  <c r="AY371" i="3"/>
  <c r="AY363" i="3"/>
  <c r="D37" i="11"/>
  <c r="C37" i="11" s="1"/>
  <c r="D19" i="11"/>
  <c r="C19" i="11" s="1"/>
  <c r="C20" i="11" s="1"/>
  <c r="C25" i="11" s="1"/>
  <c r="D3" i="33"/>
  <c r="B3" i="33" s="1"/>
  <c r="D3" i="37"/>
  <c r="B3" i="37" s="1"/>
  <c r="D14" i="12"/>
  <c r="C14" i="12" s="1"/>
  <c r="C16" i="12" s="1"/>
  <c r="D3" i="34"/>
  <c r="B3" i="34" s="1"/>
  <c r="C17" i="4"/>
  <c r="B4" i="52" s="1"/>
  <c r="B43" i="72" s="1"/>
  <c r="E6" i="3"/>
  <c r="F22" i="69"/>
  <c r="C24" i="69" s="1"/>
  <c r="C26" i="11"/>
  <c r="D22" i="11" s="1"/>
  <c r="L36" i="43"/>
  <c r="Q36" i="43" s="1"/>
  <c r="J7" i="34"/>
  <c r="F24" i="67"/>
  <c r="C24" i="67" s="1"/>
  <c r="F25" i="12"/>
  <c r="C26" i="12" s="1"/>
  <c r="D25" i="12" s="1"/>
  <c r="F24" i="15"/>
  <c r="C24" i="15" s="1"/>
  <c r="F22" i="68"/>
  <c r="C26" i="68" s="1"/>
  <c r="D22" i="68" s="1"/>
  <c r="M11" i="15"/>
  <c r="J10" i="15" s="1"/>
  <c r="J5" i="15" s="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7" i="12"/>
  <c r="C17" i="12" s="1"/>
  <c r="D10" i="11"/>
  <c r="C10" i="11" s="1"/>
  <c r="D10" i="69"/>
  <c r="D10" i="68"/>
  <c r="D20" i="12"/>
  <c r="C20" i="12" s="1"/>
  <c r="T40" i="71"/>
  <c r="D40" i="71"/>
  <c r="T32" i="71"/>
  <c r="D32" i="71"/>
  <c r="C29" i="11"/>
  <c r="D27" i="11" s="1"/>
  <c r="C47" i="11"/>
  <c r="D45" i="11" s="1"/>
  <c r="K27" i="6"/>
  <c r="S6" i="1"/>
  <c r="J19" i="15"/>
  <c r="J18" i="15"/>
  <c r="H7" i="21"/>
  <c r="U7" i="2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C17" i="67"/>
  <c r="AE6" i="1"/>
  <c r="C14" i="67"/>
  <c r="C24" i="11" l="1"/>
  <c r="C22" i="11" s="1"/>
  <c r="F41" i="69"/>
  <c r="C44" i="69"/>
  <c r="D41" i="69" s="1"/>
  <c r="C26" i="69"/>
  <c r="D22" i="69" s="1"/>
  <c r="O36" i="43"/>
  <c r="M36" i="43"/>
  <c r="N36" i="43"/>
  <c r="L37" i="43"/>
  <c r="Q37" i="43" s="1"/>
  <c r="P36" i="43"/>
  <c r="C23" i="68"/>
  <c r="C44" i="68"/>
  <c r="D41" i="68" s="1"/>
  <c r="F41" i="68"/>
  <c r="C59" i="15"/>
  <c r="M19" i="6"/>
  <c r="C18" i="12"/>
  <c r="C21" i="12" s="1"/>
  <c r="C22" i="12" s="1"/>
  <c r="C23" i="15"/>
  <c r="D30" i="6"/>
  <c r="AB7" i="21"/>
  <c r="T48" i="21" s="1"/>
  <c r="G48" i="21" s="1"/>
  <c r="G52" i="21" s="1"/>
  <c r="H52" i="21" s="1"/>
  <c r="C10" i="67"/>
  <c r="C5" i="67" s="1"/>
  <c r="C38" i="67" s="1"/>
  <c r="C10" i="15"/>
  <c r="C5" i="15" s="1"/>
  <c r="C38" i="15" s="1"/>
  <c r="C26" i="15"/>
  <c r="J26" i="15"/>
  <c r="J29" i="15" s="1"/>
  <c r="J24" i="15"/>
  <c r="C18" i="67"/>
  <c r="C15" i="67"/>
  <c r="C35" i="69"/>
  <c r="C38" i="69"/>
  <c r="D16" i="6"/>
  <c r="M27" i="6"/>
  <c r="I19" i="6"/>
  <c r="C10" i="69"/>
  <c r="C8" i="69" s="1"/>
  <c r="D19" i="69"/>
  <c r="D37" i="69" s="1"/>
  <c r="C37" i="69" s="1"/>
  <c r="Z59" i="21"/>
  <c r="AA59" i="21"/>
  <c r="AB59" i="21" s="1"/>
  <c r="M16" i="1"/>
  <c r="C4" i="52"/>
  <c r="B45" i="72" s="1"/>
  <c r="A7" i="51"/>
  <c r="B7" i="72" s="1"/>
  <c r="A10" i="51"/>
  <c r="B9" i="72" s="1"/>
  <c r="D27" i="6"/>
  <c r="R20" i="6"/>
  <c r="R21" i="6"/>
  <c r="R22" i="6"/>
  <c r="R23" i="6"/>
  <c r="R24"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N37" i="43" l="1"/>
  <c r="C31" i="11"/>
  <c r="D31" i="6"/>
  <c r="I6" i="6" s="1"/>
  <c r="P37" i="43"/>
  <c r="O37" i="43"/>
  <c r="M37" i="43"/>
  <c r="C30" i="43"/>
  <c r="B2" i="43" s="1"/>
  <c r="C31" i="43"/>
  <c r="C29" i="15"/>
  <c r="Q49" i="15" s="1"/>
  <c r="C19" i="67"/>
  <c r="C20" i="67" s="1"/>
  <c r="C23" i="67" s="1"/>
  <c r="C33" i="69"/>
  <c r="C39" i="69" s="1"/>
  <c r="C43" i="69" s="1"/>
  <c r="C27" i="12"/>
  <c r="C25" i="12" s="1"/>
  <c r="C30" i="12"/>
  <c r="C28" i="12" s="1"/>
  <c r="C19" i="68"/>
  <c r="D37" i="68"/>
  <c r="C37" i="68" s="1"/>
  <c r="I5" i="6"/>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J14" i="15" l="1"/>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B3" i="76" l="1"/>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D20" i="9"/>
  <c r="F35" i="67"/>
  <c r="D19" i="9"/>
  <c r="Q68" i="15" l="1"/>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AO6" i="1"/>
  <c r="C20" i="9"/>
  <c r="G20" i="9" l="1"/>
  <c r="G19" i="9" s="1"/>
  <c r="D30" i="9" s="1"/>
  <c r="C103" i="9"/>
  <c r="B6" i="70"/>
  <c r="B2" i="70" s="1"/>
  <c r="B3" i="70" s="1"/>
  <c r="C21" i="9"/>
  <c r="C102" i="9"/>
  <c r="D22" i="9"/>
  <c r="T12" i="71"/>
  <c r="D12" i="71"/>
  <c r="U12" i="71" s="1"/>
  <c r="C11" i="71"/>
  <c r="M65" i="40"/>
  <c r="N63" i="40"/>
  <c r="M69" i="39"/>
  <c r="N67" i="39"/>
  <c r="I19" i="9" l="1"/>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31" i="72"/>
  <c r="D15" i="53"/>
  <c r="B52" i="72"/>
  <c r="G4" i="52"/>
  <c r="M55" i="9"/>
  <c r="D59" i="9"/>
  <c r="E81" i="9"/>
  <c r="E80" i="9"/>
  <c r="C80" i="9"/>
  <c r="B47" i="72"/>
  <c r="D4" i="52"/>
  <c r="D54" i="9"/>
  <c r="C64" i="9"/>
  <c r="C63" i="9"/>
  <c r="C67" i="9"/>
  <c r="C68" i="9"/>
  <c r="M54" i="9"/>
  <c r="C97" i="9"/>
  <c r="D58" i="9"/>
  <c r="D56" i="9"/>
  <c r="H5" i="52"/>
  <c r="H119" i="9"/>
  <c r="B49" i="72"/>
  <c r="D5" i="52"/>
  <c r="D118" i="9"/>
  <c r="D119" i="9"/>
  <c r="C86" i="9"/>
  <c r="C93" i="9"/>
  <c r="B21" i="72"/>
  <c r="D7" i="53"/>
  <c r="C72" i="9"/>
  <c r="C79" i="9"/>
  <c r="C81" i="9"/>
  <c r="B32" i="72"/>
  <c r="D14" i="53"/>
  <c r="B51" i="72"/>
  <c r="F4" i="52"/>
  <c r="N58" i="9"/>
  <c r="P57" i="9"/>
  <c r="H108" i="9"/>
  <c r="C6" i="74"/>
  <c r="D52" i="9"/>
  <c r="D53" i="9"/>
  <c r="C104" i="9"/>
  <c r="H4" i="52"/>
  <c r="C85" i="9"/>
  <c r="C95" i="9"/>
  <c r="C96" i="9"/>
  <c r="E96" i="9"/>
  <c r="E97" i="9"/>
  <c r="I4" i="52"/>
  <c r="C105" i="9"/>
  <c r="M48" i="9"/>
  <c r="H102" i="9"/>
  <c r="C5" i="74"/>
  <c r="D8" i="52"/>
  <c r="N60" i="9"/>
  <c r="D55" i="9"/>
  <c r="M53" i="9"/>
  <c r="N57" i="9"/>
  <c r="N59" i="9"/>
  <c r="N61" i="9"/>
  <c r="G118" i="9"/>
  <c r="F118" i="9"/>
  <c r="F119" i="9"/>
  <c r="F5" i="52"/>
  <c r="B53" i="72"/>
  <c r="E118" i="9"/>
  <c r="E4" i="52"/>
  <c r="B48" i="72"/>
  <c r="D122" i="9"/>
  <c r="D123" i="9"/>
  <c r="D9" i="52"/>
  <c r="B20" i="72"/>
  <c r="D5" i="53"/>
  <c r="D6" i="53"/>
  <c r="B22" i="72"/>
  <c r="H107" i="9"/>
  <c r="D13" i="53"/>
  <c r="B30" i="72"/>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<sst xmlns="http://schemas.openxmlformats.org/spreadsheetml/2006/main" count="7963" uniqueCount="3487">
  <si>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</si>
  <si>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</si>
  <si>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</si>
  <si>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</si>
  <si>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</si>
  <si>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</si>
  <si>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</si>
  <si>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</si>
  <si>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</si>
  <si>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</si>
  <si>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</si>
  <si>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</si>
  <si>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</si>
  <si>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</si>
  <si>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</si>
  <si>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</si>
  <si>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</si>
  <si>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</si>
  <si>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</si>
  <si>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</si>
  <si>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</si>
  <si>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</si>
  <si>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</si>
  <si>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</si>
  <si>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</si>
  <si>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</si>
  <si>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</si>
  <si>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</si>
  <si>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</si>
  <si>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</si>
  <si>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</si>
  <si>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</si>
  <si>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</si>
  <si>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</si>
  <si>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</si>
  <si>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</si>
  <si>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</si>
  <si>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</si>
  <si>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</si>
  <si>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</si>
  <si>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</si>
  <si>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</si>
  <si>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</si>
  <si>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</si>
  <si>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</si>
  <si>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</si>
  <si>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</si>
  <si>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</si>
  <si>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</si>
  <si>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</si>
  <si>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</si>
  <si>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</si>
  <si>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</si>
  <si>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</si>
  <si>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</si>
  <si>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</si>
  <si>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</si>
  <si>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</si>
  <si>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</si>
  <si>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</si>
  <si>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</si>
  <si>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</si>
  <si>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</si>
  <si>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</si>
  <si>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</si>
  <si>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</si>
  <si>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</si>
  <si>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</si>
  <si>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</si>
  <si>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</si>
  <si>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</si>
  <si>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</si>
  <si>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</si>
  <si>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</si>
  <si>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</si>
  <si>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</si>
  <si>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</si>
  <si>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</si>
  <si>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</si>
  <si>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</si>
  <si>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</si>
  <si>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</si>
  <si>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</si>
  <si>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</si>
  <si>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</si>
  <si>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</si>
  <si>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</si>
  <si>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</si>
  <si>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</si>
  <si>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</si>
  <si>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</si>
  <si>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</si>
  <si>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</si>
  <si>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</si>
  <si>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</si>
  <si>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</si>
  <si>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</si>
  <si>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</si>
  <si>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</si>
  <si>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</si>
  <si>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</si>
  <si>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</si>
  <si>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</si>
  <si>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</si>
  <si>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</si>
  <si>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</si>
  <si>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</si>
  <si>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</si>
  <si>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</si>
  <si>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</si>
  <si>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</si>
  <si>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</si>
  <si>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</si>
  <si>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</si>
  <si>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</si>
  <si>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</si>
  <si>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</si>
  <si>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</si>
  <si>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</si>
  <si>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</si>
  <si>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</si>
  <si>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</si>
  <si>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</si>
  <si>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</si>
  <si>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</si>
  <si>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</si>
  <si>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</si>
  <si>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</si>
  <si>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</si>
  <si>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</si>
  <si>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</si>
  <si>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</si>
  <si>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</si>
  <si>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</si>
  <si>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</si>
  <si>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</si>
  <si>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</si>
  <si>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</si>
  <si>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</si>
  <si>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</si>
  <si>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</si>
  <si>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</si>
  <si>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</si>
  <si>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</si>
  <si>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</si>
  <si>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</si>
  <si>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</si>
  <si>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</si>
  <si>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</si>
  <si>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</si>
  <si>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</si>
  <si>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</si>
  <si>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</si>
  <si>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</si>
  <si>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</si>
  <si>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</si>
  <si>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</si>
  <si>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</si>
  <si>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</si>
  <si>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</si>
  <si>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</si>
  <si>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</si>
  <si>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</si>
  <si>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</si>
  <si>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</si>
  <si>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</si>
  <si>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</si>
  <si>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</si>
  <si>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</si>
  <si>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</si>
  <si>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</si>
  <si>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</si>
  <si>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</si>
  <si>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</si>
  <si>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</si>
  <si>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</si>
  <si>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</si>
  <si>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</si>
  <si>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</si>
  <si>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</si>
  <si>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</si>
  <si>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</si>
  <si>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</si>
  <si>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</si>
  <si>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</si>
  <si>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</si>
  <si>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</si>
  <si>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</si>
  <si>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</si>
  <si>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</si>
  <si>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</si>
  <si>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</si>
  <si>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</si>
  <si>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</si>
  <si>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</si>
  <si>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</si>
  <si>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</si>
  <si>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</si>
  <si>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</si>
  <si>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</si>
  <si>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</si>
  <si>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</si>
  <si>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</si>
  <si>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</si>
  <si>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</si>
  <si>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</si>
  <si>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</si>
  <si>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</si>
  <si>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</si>
  <si>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</si>
  <si>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</si>
  <si>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</si>
  <si>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</si>
  <si>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</si>
  <si>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</si>
  <si>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</si>
  <si>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</si>
  <si>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</si>
  <si>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</si>
  <si>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</si>
  <si>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</si>
  <si>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</si>
  <si>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</si>
  <si>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</si>
  <si>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</si>
  <si>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</si>
  <si>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</si>
  <si>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</si>
  <si>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</si>
  <si>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</si>
  <si>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</si>
  <si>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</si>
  <si>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</si>
  <si>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</si>
  <si>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</si>
  <si>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</si>
  <si>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</si>
  <si>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</si>
  <si>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</si>
  <si>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</si>
  <si>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</si>
  <si>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</si>
  <si>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</si>
  <si>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</si>
  <si>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</si>
  <si>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</si>
  <si>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</si>
  <si>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</si>
  <si>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</si>
  <si>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</si>
  <si>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</si>
  <si>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</si>
  <si>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</si>
  <si>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</si>
  <si>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</si>
  <si>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</si>
  <si>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</si>
  <si>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</si>
  <si>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</si>
  <si>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</si>
  <si>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</si>
  <si>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</si>
  <si>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</si>
  <si>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</si>
  <si>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</si>
  <si>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</si>
  <si>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</si>
  <si>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</si>
  <si>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</si>
  <si>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</si>
  <si>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</si>
  <si>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</si>
  <si>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</si>
  <si>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</si>
  <si>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</si>
  <si>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</si>
  <si>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</si>
  <si>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</si>
  <si>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</si>
  <si>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</si>
  <si>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</si>
  <si>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</si>
  <si>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</si>
  <si>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</si>
  <si>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</si>
  <si>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</si>
  <si>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</si>
  <si>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</si>
  <si>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</si>
  <si>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</si>
  <si>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</si>
  <si>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</si>
  <si>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</si>
  <si>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</si>
  <si>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</si>
  <si>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</si>
  <si>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</si>
  <si>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</si>
  <si>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</si>
  <si>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</si>
  <si>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</si>
  <si>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</si>
  <si>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</si>
  <si>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</si>
  <si>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</si>
  <si>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</si>
  <si>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</si>
  <si>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</si>
  <si>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</si>
  <si>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</si>
  <si>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</si>
  <si>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</si>
  <si>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</si>
  <si>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</si>
  <si>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</si>
  <si>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</si>
  <si>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</si>
  <si>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</si>
  <si>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</si>
  <si>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</si>
  <si>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</si>
  <si>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</si>
  <si>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</si>
  <si>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</si>
  <si>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</si>
  <si>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</si>
  <si>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</si>
  <si>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</si>
  <si>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</si>
  <si>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</si>
  <si>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</si>
  <si>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</si>
  <si>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</si>
  <si>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</si>
  <si>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</si>
  <si>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</si>
  <si>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</si>
  <si>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</si>
  <si>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</si>
  <si>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</si>
  <si>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</si>
  <si>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</si>
  <si>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</si>
  <si>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</si>
  <si>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</si>
  <si>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</si>
  <si>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</si>
  <si>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</si>
  <si>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</si>
  <si>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</si>
  <si>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</si>
  <si>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</si>
  <si>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</si>
  <si>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</si>
  <si>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</si>
  <si>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</si>
  <si>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</si>
  <si>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</si>
  <si>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</si>
  <si>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</si>
  <si>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</si>
  <si>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</si>
  <si>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</si>
  <si>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</si>
  <si>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</si>
  <si>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</si>
  <si>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</si>
  <si>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</si>
  <si>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</si>
  <si>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</si>
  <si>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</si>
  <si>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</si>
  <si>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</si>
  <si>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</si>
  <si>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</si>
  <si>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</si>
  <si>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</si>
  <si>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</si>
  <si>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</si>
  <si>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</si>
  <si>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</si>
  <si>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</si>
  <si>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</si>
  <si>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</si>
  <si>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</si>
  <si>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</si>
  <si>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</si>
  <si>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</si>
  <si>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</si>
  <si>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</si>
  <si>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</si>
  <si>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</si>
  <si>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</si>
  <si>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</si>
  <si>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</si>
  <si>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</si>
  <si>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</si>
  <si>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</si>
  <si>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</si>
  <si>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</si>
  <si>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</si>
  <si>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</si>
  <si>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</si>
  <si>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</si>
  <si>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</si>
  <si>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</si>
  <si>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</si>
  <si>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</si>
  <si>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</si>
  <si>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</si>
  <si>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</si>
  <si>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</si>
  <si>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</si>
  <si>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</si>
  <si>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</si>
  <si>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</si>
  <si>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</si>
  <si>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</si>
  <si>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</si>
  <si>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</si>
  <si>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</si>
  <si>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</si>
  <si>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</si>
  <si>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</si>
  <si>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</si>
  <si>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</si>
  <si>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</si>
  <si>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</si>
  <si>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</si>
  <si>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</si>
  <si>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</si>
  <si>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</si>
  <si>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</si>
  <si>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</si>
  <si>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</si>
  <si>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</si>
  <si>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</si>
  <si>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</si>
  <si>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</si>
  <si>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</si>
  <si>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</si>
  <si>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</si>
  <si>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</si>
  <si>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</si>
  <si>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</si>
  <si>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</si>
  <si>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</si>
  <si>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</si>
  <si>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</si>
  <si>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</si>
  <si>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</si>
  <si>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</si>
  <si>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</si>
  <si>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</si>
  <si>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</si>
  <si>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</si>
  <si>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</si>
  <si>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</si>
  <si>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</si>
  <si>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</si>
  <si>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</si>
  <si>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</si>
  <si>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</si>
  <si>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</si>
  <si>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</si>
  <si>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</si>
  <si>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</si>
  <si>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</si>
  <si>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</si>
  <si>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</si>
  <si>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</si>
  <si>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</si>
  <si>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</si>
  <si>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</si>
  <si>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</si>
  <si>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</si>
  <si>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</si>
  <si>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</si>
  <si>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</si>
  <si>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</si>
  <si>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</si>
  <si>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</si>
  <si>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</si>
  <si>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</si>
  <si>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</si>
  <si>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</si>
  <si>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</si>
  <si>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</si>
  <si>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</si>
  <si>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</si>
  <si>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</si>
  <si>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</si>
  <si>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</si>
  <si>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</si>
  <si>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</si>
  <si>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</si>
  <si>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</si>
  <si>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</si>
  <si>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</si>
  <si>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</si>
  <si>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</si>
  <si>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</si>
  <si>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</si>
  <si>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</si>
  <si>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</si>
  <si>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</si>
  <si>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</si>
  <si>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</si>
  <si>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</si>
  <si>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</si>
  <si>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</si>
  <si>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</si>
  <si>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</si>
  <si>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</si>
  <si>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</si>
  <si>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</si>
  <si>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</si>
  <si>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</si>
  <si>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</si>
  <si>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</si>
  <si>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</si>
  <si>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</si>
  <si>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</si>
  <si>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</si>
  <si>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</si>
  <si>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</si>
  <si>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</si>
  <si>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</si>
  <si>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</si>
  <si>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</si>
  <si>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</si>
  <si>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</si>
  <si>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</si>
  <si>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</si>
  <si>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</si>
  <si>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</si>
  <si>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</si>
  <si>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</si>
  <si>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</si>
  <si>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</si>
  <si>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</si>
  <si>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</si>
  <si>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</si>
  <si>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</si>
  <si>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</si>
  <si>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</si>
  <si>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</si>
  <si>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</si>
  <si>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</si>
  <si>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</si>
  <si>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</si>
  <si>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</si>
  <si>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</si>
  <si>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</si>
  <si>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</si>
  <si>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</si>
  <si>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</si>
  <si>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</si>
  <si>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</si>
  <si>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</si>
  <si>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</si>
  <si>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</si>
  <si>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</si>
  <si>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</si>
  <si>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</si>
  <si>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</si>
  <si>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</si>
  <si>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</si>
  <si>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</si>
  <si>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</si>
  <si>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</si>
  <si>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</si>
  <si>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</si>
  <si>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</si>
  <si>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</si>
  <si>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</si>
  <si>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</si>
  <si>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</si>
  <si>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</si>
  <si>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</si>
  <si>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</si>
  <si>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</si>
  <si>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</si>
  <si>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</si>
  <si>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</si>
  <si>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</si>
  <si>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</si>
  <si>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</si>
  <si>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</si>
  <si>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</si>
  <si>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</si>
  <si>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</si>
  <si>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</si>
  <si>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</si>
  <si>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</si>
  <si>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</si>
  <si>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</si>
  <si>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</si>
  <si>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</si>
  <si>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</si>
  <si>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</si>
  <si>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</si>
  <si>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</si>
  <si>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</si>
  <si>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</si>
  <si>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</si>
  <si>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</si>
  <si>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</si>
  <si>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</si>
  <si>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</si>
  <si>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</si>
  <si>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</si>
  <si>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</si>
  <si>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</si>
  <si>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</si>
  <si>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</si>
  <si>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</si>
  <si>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</si>
  <si>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</si>
  <si>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</si>
  <si>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</si>
  <si>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</si>
  <si>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</si>
  <si>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</si>
  <si>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</si>
  <si>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</si>
  <si>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</si>
  <si>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</si>
  <si>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</si>
  <si>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</si>
  <si>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</si>
  <si>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</si>
  <si>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</si>
  <si>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</si>
  <si>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</si>
  <si>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</si>
  <si>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</si>
  <si>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</si>
  <si>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</si>
  <si>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</si>
  <si>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</si>
  <si>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</si>
  <si>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</si>
  <si>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</si>
  <si>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</si>
  <si>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</si>
  <si>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</si>
  <si>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</si>
  <si>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</si>
  <si>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</si>
  <si>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</si>
  <si>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</si>
  <si>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</si>
  <si>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</si>
  <si>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</si>
  <si>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</si>
  <si>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</si>
  <si>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</si>
  <si>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</si>
  <si>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</si>
  <si>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</si>
  <si>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</si>
  <si>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</si>
  <si>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</si>
  <si>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</si>
  <si>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</si>
  <si>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</si>
  <si>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</si>
  <si>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</si>
  <si>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</si>
  <si>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</si>
  <si>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</si>
  <si>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</si>
  <si>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</si>
  <si>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</si>
  <si>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</si>
  <si>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</si>
  <si>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</si>
  <si>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</si>
  <si>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</si>
  <si>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</si>
  <si>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</si>
  <si>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</si>
  <si>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</si>
  <si>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</si>
  <si>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</si>
  <si>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</si>
  <si>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</si>
  <si>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</si>
  <si>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</si>
  <si>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</si>
  <si>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</si>
  <si>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</si>
  <si>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</si>
  <si>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</si>
  <si>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</si>
  <si>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</si>
  <si>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</si>
  <si>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</si>
  <si>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</si>
  <si>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</si>
  <si>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</si>
  <si>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</si>
  <si>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</si>
  <si>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</si>
  <si>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</si>
  <si>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</si>
  <si>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</si>
  <si>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</si>
  <si>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</si>
  <si>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</si>
  <si>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</si>
  <si>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</si>
  <si>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</si>
  <si>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</si>
  <si>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</si>
  <si>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</si>
  <si>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</si>
  <si>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</si>
  <si>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</si>
  <si>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</si>
  <si>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</si>
  <si>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</si>
  <si>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</si>
  <si>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</si>
  <si>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</si>
  <si>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</si>
  <si>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</si>
  <si>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</si>
  <si>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</si>
  <si>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</si>
  <si>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</si>
  <si>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</si>
  <si>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</si>
  <si>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</si>
  <si>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</si>
  <si>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</si>
  <si>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</si>
  <si>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</si>
  <si>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</si>
  <si>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</si>
  <si>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</si>
  <si>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</si>
  <si>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</si>
  <si>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</si>
  <si>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</si>
  <si>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</si>
  <si>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</si>
  <si>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</si>
  <si>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</si>
  <si>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</si>
  <si>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</si>
  <si>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</si>
  <si>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</si>
  <si>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</si>
  <si>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</si>
  <si>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</si>
  <si>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</si>
  <si>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</si>
  <si>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</si>
  <si>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</si>
  <si>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</si>
  <si>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</si>
  <si>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</si>
  <si>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</si>
  <si>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</si>
  <si>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</si>
  <si>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</si>
  <si>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</si>
  <si>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</si>
  <si>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</si>
  <si>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</si>
  <si>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</si>
  <si>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</si>
  <si>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</si>
  <si>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</si>
  <si>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</si>
  <si>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</si>
  <si>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</si>
  <si>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</si>
  <si>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</si>
  <si>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</si>
  <si>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</si>
  <si>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</si>
  <si>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</si>
  <si>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</si>
  <si>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</si>
  <si>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</si>
  <si>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</si>
  <si>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</si>
  <si>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</si>
  <si>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</si>
  <si>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</si>
  <si>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</si>
  <si>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</si>
  <si>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</si>
  <si>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</si>
  <si>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</si>
  <si>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</si>
  <si>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</si>
  <si>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</si>
  <si>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</si>
  <si>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</si>
  <si>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</si>
  <si>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</si>
  <si>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</si>
  <si>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</si>
  <si>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</si>
  <si>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</si>
  <si>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</si>
  <si>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</si>
  <si>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</si>
  <si>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</si>
  <si>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</si>
  <si>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</si>
  <si>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</si>
  <si>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</si>
  <si>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</si>
  <si>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</si>
  <si>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</si>
  <si>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</si>
  <si>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</si>
  <si>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</si>
  <si>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</si>
  <si>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</si>
  <si>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</si>
  <si>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</si>
  <si>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</si>
  <si>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</si>
  <si>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</si>
  <si>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</si>
  <si>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</si>
  <si>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</si>
  <si>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</si>
  <si>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</si>
  <si>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</si>
  <si>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</si>
  <si>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</si>
  <si>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</si>
  <si>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</si>
  <si>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</si>
  <si>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</si>
  <si>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</si>
  <si>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</si>
  <si>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</si>
  <si>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</si>
  <si>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</si>
  <si>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</si>
  <si>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</si>
  <si>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</si>
  <si>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</si>
  <si>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</si>
  <si>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</si>
  <si>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</si>
  <si>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</si>
  <si>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</si>
  <si>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</si>
  <si>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</si>
  <si>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</si>
  <si>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</si>
  <si>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</si>
  <si>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</si>
  <si>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</si>
  <si>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</si>
  <si>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</si>
  <si>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</si>
  <si>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</si>
  <si>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</si>
  <si>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</si>
  <si>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</si>
  <si>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</si>
  <si>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</si>
  <si>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</si>
  <si>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</si>
  <si>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</si>
  <si>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</si>
  <si>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</si>
  <si>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</si>
  <si>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</si>
  <si>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</si>
  <si>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</si>
  <si>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</si>
  <si>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</si>
  <si>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</si>
  <si>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</si>
  <si>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</si>
  <si>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</si>
  <si>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</si>
  <si>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</si>
  <si>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</si>
  <si>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</si>
  <si>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</si>
  <si>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</si>
  <si>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</si>
  <si>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</si>
  <si>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</si>
  <si>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</si>
  <si>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</si>
  <si>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</si>
  <si>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</si>
  <si>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</si>
  <si>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</si>
  <si>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</si>
  <si>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</si>
  <si>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</si>
  <si>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</si>
  <si>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</si>
  <si>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</si>
  <si>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</si>
  <si>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</si>
  <si>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</si>
  <si>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</si>
  <si>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</si>
  <si>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</si>
  <si>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</si>
  <si>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</si>
  <si>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</si>
  <si>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</si>
  <si>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</si>
  <si>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</si>
  <si>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</si>
  <si>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</si>
  <si>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</si>
  <si>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</si>
  <si>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</si>
  <si>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</si>
  <si>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</si>
  <si>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</si>
  <si>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</si>
  <si>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</si>
  <si>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</si>
  <si>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</si>
  <si>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</si>
  <si>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</si>
  <si>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</si>
  <si>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</si>
  <si>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</si>
  <si>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</si>
  <si>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</si>
  <si>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</si>
  <si>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</si>
  <si>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</si>
  <si>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</si>
  <si>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</si>
  <si>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</si>
  <si>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</si>
  <si>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</si>
  <si>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</si>
  <si>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</si>
  <si>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</si>
  <si>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</si>
  <si>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</si>
  <si>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</si>
  <si>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</si>
  <si>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</si>
  <si>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</si>
  <si>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</si>
  <si>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</si>
  <si>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</si>
  <si>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</si>
  <si>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</si>
  <si>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</si>
  <si>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</si>
  <si>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</si>
  <si>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</si>
  <si>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</si>
  <si>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</si>
  <si>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</si>
  <si>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</si>
  <si>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</si>
  <si>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</si>
  <si>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</si>
  <si>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</si>
  <si>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</si>
  <si>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</si>
  <si>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</si>
  <si>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</si>
  <si>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</si>
  <si>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</si>
  <si>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</si>
  <si>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</si>
  <si>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</si>
  <si>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</si>
  <si>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</si>
  <si>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</si>
  <si>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</si>
  <si>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</si>
  <si>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</si>
  <si>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</si>
  <si>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</si>
  <si>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</si>
  <si>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</si>
  <si>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</si>
  <si>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</si>
  <si>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</si>
  <si>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</si>
  <si>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</si>
  <si>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</si>
  <si>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</si>
  <si>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</si>
  <si>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</si>
  <si>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</si>
  <si>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</si>
  <si>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</si>
  <si>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</si>
  <si>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</si>
  <si>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</si>
  <si>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</si>
  <si>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</si>
  <si>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</si>
  <si>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</si>
  <si>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</si>
  <si>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</si>
  <si>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</si>
  <si>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</si>
  <si>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</si>
  <si>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</si>
  <si>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</si>
  <si>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</si>
  <si>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</si>
  <si>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</si>
  <si>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</si>
  <si>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</si>
  <si>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</si>
  <si>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</si>
  <si>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</si>
  <si>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</si>
  <si>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</si>
  <si>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</si>
  <si>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</si>
  <si>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</si>
  <si>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</si>
  <si>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</si>
  <si>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</si>
  <si>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</si>
  <si>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</si>
  <si>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</si>
  <si>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</si>
  <si>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</si>
  <si>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</si>
  <si>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</si>
  <si>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</si>
  <si>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</si>
  <si>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</si>
  <si>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</si>
  <si>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</si>
  <si>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</si>
  <si>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</si>
  <si>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</si>
  <si>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</si>
  <si>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</si>
  <si>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</si>
  <si>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</si>
  <si>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</si>
  <si>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</si>
  <si>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</si>
  <si>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</si>
  <si>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</si>
  <si>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</si>
  <si>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</si>
  <si>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</si>
  <si>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</si>
  <si>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</si>
  <si>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</si>
  <si>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</si>
  <si>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</si>
  <si>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</si>
  <si>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</si>
  <si>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</si>
  <si>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</si>
  <si>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</si>
  <si>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</si>
  <si>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</si>
  <si>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</si>
  <si>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</si>
  <si>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</si>
  <si>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</si>
  <si>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</si>
  <si>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</si>
  <si>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</si>
  <si>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</si>
  <si>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</si>
  <si>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</si>
  <si>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</si>
  <si>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</si>
  <si>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</si>
  <si>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</si>
  <si>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</si>
  <si>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</si>
  <si>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</si>
  <si>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</si>
  <si>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</si>
  <si>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</si>
  <si>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</si>
  <si>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</si>
  <si>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</si>
  <si>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</si>
  <si>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</si>
  <si>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</si>
  <si>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</si>
  <si>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</si>
  <si>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</si>
  <si>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</si>
  <si>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</si>
  <si>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</si>
  <si>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</si>
  <si>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</si>
  <si>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</si>
  <si>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</si>
  <si>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</si>
  <si>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</si>
  <si>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</si>
  <si>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</si>
  <si>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</si>
  <si>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</si>
  <si>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</si>
  <si>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</si>
  <si>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</si>
  <si>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</si>
  <si>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</si>
  <si>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</si>
  <si>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</si>
  <si>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</si>
  <si>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</si>
  <si>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</si>
  <si>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</si>
  <si>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</si>
  <si>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</si>
  <si>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</si>
  <si>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</si>
  <si>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</si>
  <si>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</si>
  <si>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</si>
  <si>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</si>
  <si>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</si>
  <si>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</si>
  <si>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</si>
  <si>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</si>
  <si>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</si>
  <si>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</si>
  <si>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</si>
  <si>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</si>
  <si>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</si>
  <si>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</si>
  <si>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</si>
  <si>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</si>
  <si>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</si>
  <si>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</si>
  <si>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</si>
  <si>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</si>
  <si>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</si>
  <si>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</si>
  <si>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</si>
  <si>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</si>
  <si>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</si>
  <si>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</si>
  <si>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</si>
  <si>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</si>
  <si>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</si>
  <si>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</si>
  <si>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</si>
  <si>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</si>
  <si>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</si>
  <si>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</si>
  <si>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</si>
  <si>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</si>
  <si>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</si>
  <si>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</si>
  <si>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</si>
  <si>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</si>
  <si>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</si>
  <si>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</si>
  <si>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</si>
  <si>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</si>
  <si>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</si>
  <si>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</si>
  <si>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</si>
  <si>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</si>
  <si>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</si>
  <si>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</si>
  <si>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</si>
  <si>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</si>
  <si>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</si>
  <si>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</si>
  <si>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</si>
  <si>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</si>
  <si>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</si>
  <si>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</si>
  <si>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</si>
  <si>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</si>
  <si>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</si>
  <si>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</si>
  <si>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</si>
  <si>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</si>
  <si>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</si>
  <si>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</si>
  <si>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</si>
  <si>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</si>
  <si>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</si>
  <si>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</si>
  <si>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</si>
  <si>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</si>
  <si>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</si>
  <si>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</si>
  <si>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</si>
  <si>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</si>
  <si>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</si>
  <si>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</si>
  <si>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</si>
  <si>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</si>
  <si>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</si>
  <si>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</si>
  <si>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</si>
  <si>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</si>
  <si>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</si>
  <si>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</si>
  <si>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</si>
  <si>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</si>
  <si>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</si>
  <si>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</si>
  <si>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</si>
  <si>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</si>
  <si>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</si>
  <si>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</si>
  <si>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</si>
  <si>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</si>
  <si>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</si>
  <si>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</si>
  <si>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</si>
  <si>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</si>
  <si>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</si>
  <si>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</si>
  <si>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</si>
  <si>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</si>
  <si>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</si>
  <si>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</si>
  <si>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</si>
  <si>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</si>
  <si>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</si>
  <si>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</si>
  <si>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</si>
  <si>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</si>
  <si>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</si>
  <si>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</si>
  <si>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</si>
  <si>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</si>
  <si>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</si>
  <si>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</si>
  <si>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</si>
  <si>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</si>
  <si>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</si>
  <si>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</si>
  <si>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</si>
  <si>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</si>
  <si>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</si>
  <si>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</si>
  <si>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</si>
  <si>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</si>
  <si>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</si>
  <si>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</si>
  <si>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</si>
  <si>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</si>
  <si>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</si>
  <si>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</si>
  <si>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</si>
  <si>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</si>
  <si>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</si>
  <si>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</si>
  <si>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</si>
  <si>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</si>
  <si>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</si>
  <si>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</si>
  <si>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</si>
  <si>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</si>
  <si>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</si>
  <si>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</si>
  <si>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</si>
  <si>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</si>
  <si>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</si>
  <si>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</si>
  <si>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</si>
  <si>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</si>
  <si>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</si>
  <si>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</si>
  <si>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</si>
  <si>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</si>
  <si>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</si>
  <si>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</si>
  <si>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</si>
  <si>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</si>
  <si>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</si>
  <si>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</si>
  <si>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</si>
  <si>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</si>
  <si>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</si>
  <si>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</si>
  <si>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</si>
  <si>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</si>
  <si>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</si>
  <si>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</si>
  <si>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</si>
  <si>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</si>
  <si>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</si>
  <si>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</si>
  <si>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</si>
  <si>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</si>
  <si>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</si>
  <si>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</si>
  <si>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</si>
  <si>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</si>
  <si>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</si>
  <si>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</si>
  <si>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</si>
  <si>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</si>
  <si>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</si>
  <si>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</si>
  <si>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</si>
  <si>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</si>
  <si>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</si>
  <si>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</si>
  <si>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</si>
  <si>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</si>
  <si>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</si>
  <si>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</si>
  <si>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</si>
  <si>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</si>
  <si>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</si>
  <si>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</si>
  <si>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</si>
  <si>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</si>
  <si>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</si>
  <si>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</si>
  <si>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</si>
  <si>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</si>
  <si>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</si>
  <si>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</si>
  <si>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</si>
  <si>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</si>
  <si>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</si>
  <si>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</si>
  <si>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</si>
  <si>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</si>
  <si>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</si>
  <si>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</si>
  <si>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</si>
  <si>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</si>
  <si>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</si>
  <si>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</si>
  <si>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</si>
  <si>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</si>
  <si>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</si>
  <si>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</si>
  <si>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</si>
  <si>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</si>
  <si>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</si>
  <si>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</si>
  <si>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</si>
  <si>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</si>
  <si>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</si>
  <si>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</si>
  <si>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</si>
  <si>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</si>
  <si>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</si>
  <si>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</si>
  <si>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</si>
  <si>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</si>
  <si>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</si>
  <si>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</si>
  <si>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</si>
  <si>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</si>
  <si>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</si>
  <si>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</si>
  <si>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</si>
  <si>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</si>
  <si>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</si>
  <si>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</si>
  <si>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</si>
  <si>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</si>
  <si>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</si>
  <si>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</si>
  <si>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</si>
  <si>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</si>
  <si>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</si>
  <si>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</si>
  <si>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</si>
  <si>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</si>
  <si>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</si>
  <si>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</si>
  <si>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</si>
  <si>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</si>
  <si>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</si>
  <si>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</si>
  <si>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</si>
  <si>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</si>
  <si>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</si>
  <si>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</si>
  <si>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</si>
  <si>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</si>
  <si>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</si>
  <si>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</si>
  <si>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</si>
  <si>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</si>
  <si>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</si>
  <si>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</si>
  <si>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</si>
  <si>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</si>
  <si>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</si>
  <si>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</si>
  <si>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</si>
  <si>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</si>
  <si>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</si>
  <si>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</si>
  <si>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</si>
  <si>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</si>
  <si>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</si>
  <si>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</si>
  <si>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</si>
  <si>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</si>
  <si>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</si>
  <si>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</si>
  <si>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</si>
  <si>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</si>
  <si>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</si>
  <si>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</si>
  <si>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</si>
  <si>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</si>
  <si>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</si>
  <si>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</si>
  <si>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</si>
  <si>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</si>
  <si>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</si>
  <si>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</si>
  <si>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</si>
  <si>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</si>
  <si>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</si>
  <si>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</si>
  <si>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</si>
  <si>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</si>
  <si>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</si>
  <si>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</si>
  <si>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</si>
  <si>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</si>
  <si>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</si>
  <si>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</si>
  <si>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</si>
  <si>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</si>
  <si>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</si>
  <si>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</si>
  <si>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</si>
  <si>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</si>
  <si>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</si>
  <si>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</si>
  <si>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</si>
  <si>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</si>
  <si>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</si>
  <si>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</si>
  <si>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</si>
  <si>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</si>
  <si>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</si>
  <si>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</si>
  <si>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</si>
  <si>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</si>
  <si>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</si>
  <si>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</si>
  <si>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</si>
  <si>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</si>
  <si>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</si>
  <si>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</si>
  <si>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</si>
  <si>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</si>
  <si>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</si>
  <si>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</si>
  <si>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</si>
  <si>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</si>
  <si>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</si>
  <si>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</si>
  <si>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</si>
  <si>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</si>
  <si>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</si>
  <si>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</si>
  <si>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</si>
  <si>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</si>
  <si>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</si>
  <si>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</si>
  <si>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</si>
  <si>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</si>
  <si>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</si>
  <si>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</si>
  <si>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</si>
  <si>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</si>
  <si>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</si>
  <si>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</si>
  <si>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</si>
  <si>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</si>
  <si>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</si>
  <si>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</si>
  <si>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</si>
  <si>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</si>
  <si>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</si>
  <si>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</si>
  <si>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</si>
  <si>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</si>
  <si>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</si>
  <si>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</si>
  <si>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</si>
  <si>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</si>
  <si>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</si>
  <si>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</si>
  <si>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</si>
  <si>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</si>
  <si>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</si>
  <si>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</si>
  <si>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</si>
  <si>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</si>
  <si>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</si>
  <si>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</si>
  <si>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</si>
  <si>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</si>
  <si>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</si>
  <si>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</si>
  <si>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</si>
  <si>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</si>
  <si>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</si>
  <si>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</si>
  <si>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</si>
  <si>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</si>
  <si>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</si>
  <si>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</si>
  <si>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</si>
  <si>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</si>
  <si>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</si>
  <si>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</si>
  <si>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</si>
  <si>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</si>
  <si>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</si>
  <si>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</si>
  <si>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</si>
  <si>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</si>
  <si>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</si>
  <si>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</si>
  <si>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</si>
  <si>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</si>
  <si>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</si>
  <si>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</si>
  <si>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</si>
  <si>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</si>
  <si>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</si>
  <si>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</si>
  <si>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</si>
  <si>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</si>
  <si>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</si>
  <si>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</si>
  <si>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</si>
  <si>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</si>
  <si>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</si>
  <si>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</si>
  <si>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</si>
  <si>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</si>
  <si>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</si>
  <si>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</si>
  <si>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</si>
  <si>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</si>
  <si>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</si>
  <si>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</si>
  <si>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</si>
  <si>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</si>
  <si>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</si>
  <si>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</si>
  <si>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</si>
  <si>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</si>
  <si>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</si>
  <si>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</si>
  <si>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</si>
  <si>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</si>
  <si>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</si>
  <si>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</si>
  <si>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</si>
  <si>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</si>
  <si>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</si>
  <si>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</si>
  <si>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</si>
  <si>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</si>
  <si>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</si>
  <si>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</si>
  <si>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</si>
  <si>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</si>
  <si>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</si>
  <si>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</si>
  <si>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</si>
  <si>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</si>
  <si>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</si>
  <si>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</si>
  <si>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</si>
  <si>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</si>
  <si>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</si>
  <si>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</si>
  <si>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</si>
  <si>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</si>
  <si>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</si>
  <si>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</si>
  <si>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</si>
  <si>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</si>
  <si>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</si>
  <si>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</si>
  <si>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</si>
  <si>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</si>
  <si>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</si>
  <si>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</si>
  <si>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</si>
  <si>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</si>
  <si>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</si>
  <si>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</si>
  <si>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</si>
  <si>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</si>
  <si>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</si>
  <si>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</si>
  <si>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</si>
  <si>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</si>
  <si>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</si>
  <si>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</si>
  <si>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</si>
  <si>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</si>
  <si>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</si>
  <si>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</si>
  <si>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</si>
  <si>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</si>
  <si>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</si>
  <si>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</si>
  <si>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</si>
  <si>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</si>
  <si>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</si>
  <si>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</si>
  <si>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</si>
  <si>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</si>
  <si>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</si>
  <si>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</si>
  <si>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</si>
  <si>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</si>
  <si>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</si>
  <si>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</si>
  <si>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</si>
  <si>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</si>
  <si>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</si>
  <si>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</si>
  <si>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</si>
  <si>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</si>
  <si>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</si>
  <si>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</si>
  <si>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</si>
  <si>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</si>
  <si>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</si>
  <si>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</si>
  <si>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</si>
  <si>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</si>
  <si>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</si>
  <si>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</si>
  <si>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</si>
  <si>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</si>
  <si>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</si>
  <si>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</si>
  <si>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</si>
  <si>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</si>
  <si>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</si>
  <si>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</si>
  <si>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</si>
  <si>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</si>
  <si>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</si>
  <si>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</si>
  <si>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</si>
  <si>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</si>
  <si>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</si>
  <si>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</si>
  <si>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</si>
  <si>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</si>
  <si>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</si>
  <si>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</si>
  <si>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</si>
  <si>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</si>
  <si>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</si>
  <si>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</si>
  <si>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</si>
  <si>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</si>
  <si>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</si>
  <si>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</si>
  <si>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</si>
  <si>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</si>
  <si>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</si>
  <si>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</si>
  <si>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</si>
  <si>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</si>
  <si>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</si>
  <si>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</si>
  <si>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</si>
  <si>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</si>
  <si>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</si>
  <si>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</si>
  <si>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</si>
  <si>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</si>
  <si>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</si>
  <si>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</si>
  <si>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</si>
  <si>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</si>
  <si>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</si>
  <si>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</si>
  <si>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</si>
  <si>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</si>
  <si>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</si>
  <si>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</si>
  <si>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</si>
  <si>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</si>
  <si>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</si>
  <si>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</si>
  <si>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</si>
  <si>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</si>
  <si>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</si>
  <si>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</si>
  <si>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</si>
  <si>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</si>
  <si>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</si>
  <si>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</si>
  <si>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</si>
  <si>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</si>
  <si>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</si>
  <si>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</si>
  <si>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</si>
  <si>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</si>
  <si>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</si>
  <si>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</si>
  <si>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</si>
  <si>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</si>
  <si>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</si>
  <si>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</si>
  <si>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</si>
  <si>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</si>
  <si>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</si>
  <si>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</si>
  <si>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</si>
  <si>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</si>
  <si>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</si>
  <si>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</si>
  <si>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</si>
  <si>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</si>
  <si>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</si>
  <si>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</si>
  <si>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</si>
  <si>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</si>
  <si>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</si>
  <si>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</si>
  <si>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</si>
  <si>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</si>
  <si>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</si>
  <si>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</si>
  <si>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</si>
  <si>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</si>
  <si>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</si>
  <si>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</si>
  <si>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</si>
  <si>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</si>
  <si>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</si>
  <si>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</si>
  <si>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</si>
  <si>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</si>
  <si>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</si>
  <si>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</si>
  <si>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</si>
  <si>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</si>
  <si>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</si>
  <si>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</si>
  <si>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</si>
  <si>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</si>
  <si>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</si>
  <si>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</si>
  <si>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</si>
  <si>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</si>
  <si>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</si>
  <si>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</si>
  <si>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</si>
  <si>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</si>
  <si>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</si>
  <si>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</si>
  <si>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</si>
  <si>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</si>
  <si>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</si>
  <si>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</si>
  <si>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</si>
  <si>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</si>
  <si>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</si>
  <si>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</si>
  <si>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</si>
  <si>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</si>
  <si>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</si>
  <si>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</si>
  <si>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</si>
  <si>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</si>
  <si>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</si>
  <si>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</si>
  <si>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</si>
  <si>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</si>
  <si>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</si>
  <si>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</si>
  <si>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</si>
  <si>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</si>
  <si>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</si>
  <si>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</si>
  <si>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</si>
  <si>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</si>
  <si>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</si>
  <si>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</si>
  <si>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</si>
  <si>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</si>
  <si>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</si>
  <si>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</si>
  <si>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</si>
  <si>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</si>
  <si>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</si>
  <si>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</si>
  <si>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</si>
  <si>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</si>
  <si>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</si>
  <si>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</si>
  <si>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</si>
  <si>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</si>
  <si>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</si>
  <si>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</si>
  <si>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</si>
  <si>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</si>
  <si>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</si>
  <si>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</si>
  <si>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</si>
  <si>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</si>
  <si>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</si>
  <si>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</si>
  <si>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</si>
  <si>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</si>
  <si>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</si>
  <si>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</si>
  <si>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</si>
  <si>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</si>
  <si>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</si>
  <si>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</si>
  <si>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</si>
  <si>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</si>
  <si>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</si>
  <si>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</si>
  <si>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</si>
  <si>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</si>
  <si>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</si>
  <si>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</si>
  <si>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</si>
  <si>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</si>
  <si>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</si>
  <si>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</si>
  <si>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</si>
  <si>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</si>
  <si>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</si>
  <si>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</si>
  <si>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</si>
  <si>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</si>
  <si>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</si>
  <si>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</si>
  <si>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</si>
  <si>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</si>
  <si>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</si>
  <si>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</si>
  <si>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</si>
  <si>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</si>
  <si>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</si>
  <si>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</si>
  <si>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</si>
  <si>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</si>
  <si>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</si>
  <si>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</si>
  <si>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</si>
  <si>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</si>
  <si>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</si>
  <si>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</si>
  <si>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</si>
  <si>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</si>
  <si>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</si>
  <si>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</si>
  <si>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</si>
  <si>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</si>
  <si>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</si>
  <si>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</si>
  <si>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</si>
  <si>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</si>
  <si>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</si>
  <si>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</si>
  <si>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</si>
  <si>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</si>
  <si>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</si>
  <si>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</si>
  <si>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</si>
  <si>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</si>
  <si>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</si>
  <si>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</si>
  <si>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</si>
  <si>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</si>
  <si>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</si>
  <si>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</si>
  <si>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</si>
  <si>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</si>
  <si>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</si>
  <si>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</si>
  <si>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</si>
  <si>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</si>
  <si>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</si>
  <si>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</si>
  <si>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</si>
  <si>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</si>
  <si>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</si>
  <si>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</si>
  <si>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</si>
  <si>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</si>
  <si>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</si>
  <si>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</si>
  <si>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</si>
  <si>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</si>
  <si>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</si>
  <si>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</si>
  <si>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</si>
  <si>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</si>
  <si>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</si>
  <si>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</si>
  <si>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</si>
  <si>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</si>
  <si>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</si>
  <si>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</si>
  <si>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</si>
  <si>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</si>
  <si>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</si>
  <si>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</si>
  <si>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</si>
  <si>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</si>
  <si>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</si>
  <si>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</si>
  <si>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</si>
  <si>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</si>
  <si>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</si>
  <si>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</si>
  <si>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</si>
  <si>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</si>
  <si>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</si>
  <si>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</si>
  <si>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</si>
  <si>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</si>
  <si>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</si>
  <si>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</si>
  <si>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</si>
  <si>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</si>
  <si>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</si>
  <si>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</si>
  <si>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</si>
  <si>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</si>
  <si>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</si>
  <si>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</si>
  <si>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</si>
  <si>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</si>
  <si>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</si>
  <si>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</si>
  <si>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</si>
  <si>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</si>
  <si>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</si>
  <si>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</si>
  <si>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</si>
  <si>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</si>
  <si>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</si>
  <si>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</si>
  <si>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</si>
  <si>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</si>
  <si>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</si>
  <si>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</si>
  <si>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</si>
  <si>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</si>
  <si>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</si>
  <si>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</si>
  <si>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</si>
  <si>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</si>
  <si>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</si>
  <si>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</si>
  <si>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</si>
  <si>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</si>
  <si>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</si>
  <si>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</si>
  <si>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</si>
  <si>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</si>
  <si>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</si>
  <si>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</si>
  <si>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</si>
  <si>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</si>
  <si>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</si>
  <si>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</si>
  <si>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</si>
  <si>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</si>
  <si>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</si>
  <si>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</si>
  <si>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</si>
  <si>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</si>
  <si>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</si>
  <si>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</si>
  <si>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</si>
  <si>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</si>
  <si>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</si>
  <si>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</si>
  <si>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</si>
  <si>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</si>
  <si>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</si>
  <si>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</si>
  <si>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</si>
  <si>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</si>
  <si>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</si>
  <si>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</si>
  <si>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</si>
  <si>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</si>
  <si>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</si>
  <si>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</si>
  <si>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</si>
  <si>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</si>
  <si>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</si>
  <si>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</si>
  <si>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</si>
  <si>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</si>
  <si>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</si>
  <si>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</si>
  <si>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</si>
  <si>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</si>
  <si>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</si>
  <si>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</si>
  <si>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</si>
  <si>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</si>
  <si>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</si>
  <si>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</si>
  <si>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</si>
  <si>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</si>
  <si>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</si>
  <si>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</si>
  <si>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</si>
  <si>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</si>
  <si>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</si>
  <si>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</si>
  <si>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</si>
  <si>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</si>
  <si>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</si>
  <si>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</si>
  <si>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</si>
  <si>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</si>
  <si>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</si>
  <si>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</si>
  <si>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</si>
  <si>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</si>
  <si>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</si>
  <si>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</si>
  <si>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</si>
  <si>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</si>
  <si>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</si>
  <si>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</si>
  <si>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</si>
  <si>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</si>
  <si>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</si>
  <si>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</si>
  <si>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</si>
  <si>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</si>
  <si>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</si>
  <si>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</si>
  <si>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</si>
  <si>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</si>
  <si>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</si>
  <si>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</si>
  <si>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</si>
  <si>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</si>
  <si>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</si>
  <si>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</si>
  <si>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</si>
  <si>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</si>
  <si>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</si>
  <si>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</si>
  <si>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</si>
  <si>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</si>
  <si>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</si>
  <si>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</si>
  <si>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</si>
  <si>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</si>
  <si>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</si>
  <si>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</si>
  <si>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</si>
  <si>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</si>
  <si>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</si>
  <si>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</si>
  <si>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</si>
  <si>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</si>
  <si>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</si>
  <si>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</si>
  <si>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</si>
  <si>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</si>
  <si>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</si>
  <si>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</si>
  <si>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</si>
  <si>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</si>
  <si>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</si>
  <si>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</si>
  <si>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</si>
  <si>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</si>
  <si>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</si>
  <si>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</si>
  <si>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</si>
  <si>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</si>
  <si>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</si>
  <si>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</si>
  <si>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</si>
  <si>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</si>
  <si>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</si>
  <si>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</si>
  <si>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</si>
  <si>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</si>
  <si>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</si>
  <si>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</si>
  <si>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</si>
  <si>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</si>
  <si>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</si>
  <si>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</si>
  <si>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</si>
  <si>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</si>
  <si>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</si>
  <si>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</si>
  <si>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</si>
  <si>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</si>
  <si>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</si>
  <si>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</si>
  <si>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</si>
  <si>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</si>
  <si>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</si>
  <si>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</si>
  <si>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</si>
  <si>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</si>
  <si>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</si>
  <si>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</si>
  <si>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</si>
  <si>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</si>
  <si>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</si>
  <si>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</si>
  <si>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</si>
  <si>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</si>
  <si>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</si>
  <si>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</si>
  <si>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</si>
  <si>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</si>
  <si>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</si>
  <si>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</si>
  <si>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</si>
  <si>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</si>
  <si>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</si>
  <si>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</si>
  <si>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</si>
  <si>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</si>
  <si>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</si>
  <si>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</si>
  <si>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</si>
  <si>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</si>
  <si>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</si>
  <si>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</si>
  <si>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</si>
  <si>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</si>
  <si>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</si>
  <si>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</si>
  <si>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</si>
  <si>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</si>
  <si>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</si>
  <si>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</si>
  <si>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</si>
  <si>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</si>
  <si>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</si>
  <si>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</si>
  <si>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</si>
  <si>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</si>
  <si>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</si>
  <si>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</si>
  <si>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</si>
  <si>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</si>
  <si>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</si>
  <si>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</si>
  <si>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</si>
  <si>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</si>
  <si>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</si>
  <si>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</si>
  <si>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</si>
  <si>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</si>
  <si>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</si>
  <si>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</si>
  <si>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</si>
  <si>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</si>
  <si>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</si>
  <si>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</si>
  <si>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</si>
  <si>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</si>
  <si>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</si>
  <si>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</si>
  <si>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</si>
  <si>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</si>
  <si>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</si>
  <si>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</si>
  <si>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</si>
  <si>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</si>
  <si>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</si>
  <si>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</si>
  <si>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</si>
  <si>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</si>
  <si>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</si>
  <si>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</si>
  <si>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</si>
  <si>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</si>
  <si>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</si>
  <si>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</si>
  <si>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</si>
  <si>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</si>
  <si>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</si>
  <si>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</si>
  <si>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</si>
  <si>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</si>
  <si>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</si>
  <si>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</si>
  <si>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</si>
  <si>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</si>
  <si>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</si>
  <si>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</si>
  <si>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</si>
  <si>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</si>
  <si>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</si>
  <si>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</si>
  <si>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</si>
  <si>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</si>
  <si>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</si>
  <si>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</si>
  <si>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</si>
  <si>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</si>
  <si>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</si>
  <si>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</si>
  <si>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</si>
  <si>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</si>
  <si>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</si>
  <si>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</si>
  <si>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</si>
  <si>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</si>
  <si>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</si>
  <si>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</si>
  <si>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</si>
  <si>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</si>
  <si>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</si>
  <si>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</si>
  <si>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</si>
  <si>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</si>
  <si>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</si>
  <si>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</si>
  <si>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</si>
  <si>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</si>
  <si>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</si>
  <si>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</si>
  <si>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</si>
  <si>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</si>
  <si>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</si>
  <si>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</si>
  <si>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</si>
  <si>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</si>
  <si>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</si>
  <si>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</si>
  <si>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</si>
  <si>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</si>
  <si>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</si>
  <si>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</si>
  <si>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</si>
  <si>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</si>
  <si>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</si>
  <si>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</si>
  <si>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</si>
  <si>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</si>
  <si>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</si>
  <si>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</si>
  <si>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</si>
  <si>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</si>
  <si>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</si>
  <si>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</si>
  <si>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</si>
  <si>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</si>
  <si>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</si>
  <si>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</si>
  <si>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</si>
  <si>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</si>
  <si>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</si>
  <si>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</si>
  <si>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</si>
  <si>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</si>
  <si>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</si>
  <si>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</si>
  <si>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</si>
  <si>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</si>
  <si>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</si>
  <si>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</si>
  <si>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</si>
  <si>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</si>
  <si>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</si>
  <si>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</si>
  <si>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</si>
  <si>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</si>
  <si>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</si>
  <si>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</si>
  <si>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</si>
  <si>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</si>
  <si>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</si>
  <si>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</si>
  <si>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</si>
  <si>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</si>
  <si>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</si>
  <si>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</si>
  <si>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</si>
  <si>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</si>
  <si>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</si>
  <si>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</si>
  <si>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</si>
  <si>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</si>
  <si>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</si>
  <si>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</si>
  <si>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</si>
  <si>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</si>
  <si>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</si>
  <si>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</si>
  <si>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</si>
  <si>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</si>
  <si>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</si>
  <si>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</si>
  <si>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</si>
  <si>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</si>
  <si>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</si>
  <si>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</si>
  <si>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</si>
  <si>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</si>
  <si>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</si>
  <si>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</si>
  <si>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</si>
  <si>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</si>
  <si>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</si>
  <si>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</si>
  <si>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</si>
  <si>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</si>
  <si>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</si>
  <si>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</si>
  <si>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</si>
  <si>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</si>
  <si>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</si>
  <si>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</si>
  <si>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</si>
  <si>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</si>
  <si>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</si>
  <si>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</si>
  <si>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</si>
  <si>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</si>
  <si>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</si>
  <si>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</si>
  <si>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</si>
  <si>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</si>
  <si>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</si>
  <si>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</si>
  <si>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</si>
  <si>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</si>
  <si>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</si>
  <si>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</si>
  <si>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</si>
  <si>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</si>
  <si>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</si>
  <si>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</si>
  <si>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</si>
  <si>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</si>
  <si>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</si>
  <si>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</si>
  <si>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</si>
  <si>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</si>
  <si>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</si>
  <si>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</si>
  <si>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</si>
  <si>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</si>
  <si>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</si>
  <si>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</si>
  <si>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</si>
  <si>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</si>
  <si>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</si>
  <si>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</si>
  <si>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</si>
  <si>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</si>
  <si>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</si>
  <si>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</si>
  <si>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</si>
  <si>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</si>
  <si>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</si>
  <si>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</si>
  <si>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</si>
  <si>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</si>
  <si>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</si>
  <si>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</si>
  <si>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</si>
  <si>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</si>
  <si>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</si>
  <si>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</si>
  <si>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</si>
  <si>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</si>
  <si>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</si>
  <si>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</si>
  <si>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</si>
  <si>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</si>
  <si>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</si>
  <si>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</si>
  <si>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</si>
  <si>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</si>
  <si>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</si>
  <si>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</si>
  <si>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</si>
  <si>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</si>
  <si>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</si>
  <si>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</si>
  <si>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</si>
  <si>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</si>
  <si>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</si>
  <si>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</si>
  <si>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</si>
  <si>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</si>
  <si>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</si>
  <si>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</si>
  <si>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</si>
  <si>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</si>
  <si>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</si>
  <si>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</si>
  <si>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</si>
  <si>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</si>
  <si>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</si>
  <si>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</si>
  <si>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</si>
  <si>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</si>
  <si>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</si>
  <si>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</si>
  <si>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</si>
  <si>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</si>
  <si>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</si>
  <si>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</si>
  <si>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</si>
  <si>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</si>
  <si>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</si>
  <si>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</si>
  <si>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</si>
  <si>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</si>
  <si>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</si>
  <si>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</si>
  <si>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</si>
  <si>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</si>
  <si>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</si>
  <si>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</si>
  <si>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</si>
  <si>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</si>
  <si>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</si>
  <si>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</si>
  <si>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</si>
  <si>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</si>
  <si>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</si>
  <si>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</si>
  <si>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</si>
  <si>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</si>
  <si>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</si>
  <si>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</si>
  <si>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</si>
  <si>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</si>
  <si>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</si>
  <si>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</si>
  <si>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</si>
  <si>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</si>
  <si>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</si>
  <si>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</si>
  <si>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</si>
  <si>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</si>
  <si>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</si>
  <si>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</si>
  <si>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</si>
  <si>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</si>
  <si>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</si>
  <si>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</si>
  <si>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</si>
  <si>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</si>
  <si>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</si>
  <si>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</si>
  <si>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</si>
  <si>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</si>
  <si>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</si>
  <si>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</si>
  <si>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</si>
  <si>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</si>
  <si>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</si>
  <si>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</si>
  <si>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</si>
  <si>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</si>
  <si>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</si>
  <si>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</si>
  <si>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</si>
  <si>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</si>
  <si>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</si>
  <si>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</si>
  <si>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</si>
  <si>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</si>
  <si>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</si>
  <si>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</si>
  <si>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</si>
  <si>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</si>
  <si>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</si>
  <si>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</si>
  <si>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</si>
  <si>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</si>
  <si>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</si>
  <si>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</si>
  <si>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</si>
  <si>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</si>
  <si>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</si>
  <si>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</si>
  <si>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</si>
  <si>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</si>
  <si>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</si>
  <si>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</si>
  <si>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</si>
  <si>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</si>
  <si>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</si>
  <si>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</si>
  <si>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</si>
  <si>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</si>
  <si>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</si>
  <si>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</si>
  <si>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</si>
  <si>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</si>
  <si>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</si>
  <si>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</si>
  <si>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</si>
  <si>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</si>
  <si>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</si>
  <si>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</si>
  <si>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</si>
  <si>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</si>
  <si>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</si>
  <si>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</si>
  <si>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</si>
  <si>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</si>
  <si>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</si>
  <si>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</si>
  <si>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</si>
  <si>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</si>
  <si>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</si>
  <si>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</si>
  <si>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</si>
  <si>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</si>
  <si>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</si>
  <si>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</si>
  <si>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</si>
  <si>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</si>
  <si>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</si>
  <si>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</si>
  <si>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</si>
  <si>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</si>
  <si>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</si>
  <si>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</si>
  <si>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</si>
  <si>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</si>
  <si>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</si>
  <si>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</si>
  <si>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</si>
  <si>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</si>
  <si>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</si>
  <si>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</si>
  <si>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</si>
  <si>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</si>
  <si>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</si>
  <si>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</si>
  <si>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</si>
  <si>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</si>
  <si>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</si>
  <si>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</si>
  <si>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</si>
  <si>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</si>
  <si>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</si>
  <si>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</si>
  <si>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</si>
  <si>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</si>
  <si>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</si>
  <si>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</si>
  <si>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</si>
  <si>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</si>
  <si>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</si>
  <si>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</si>
  <si>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</si>
  <si>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</si>
  <si>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</si>
  <si>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</si>
  <si>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</si>
  <si>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</si>
  <si>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</si>
  <si>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</si>
  <si>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</si>
  <si>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</si>
  <si>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</si>
  <si>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</si>
  <si>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</si>
  <si>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</si>
  <si>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</si>
  <si>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</si>
  <si>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</si>
  <si>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</si>
  <si>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</si>
  <si>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</si>
  <si>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</si>
  <si>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</si>
  <si>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</si>
  <si>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</si>
  <si>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</si>
  <si>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</si>
  <si>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</si>
  <si>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</si>
  <si>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</si>
  <si>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</si>
  <si>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</si>
  <si>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</si>
  <si>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</si>
  <si>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</si>
  <si>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</si>
  <si>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</si>
  <si>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</si>
  <si>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</si>
  <si>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</si>
  <si>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</si>
  <si>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</si>
  <si>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</si>
  <si>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</si>
  <si>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</si>
  <si>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</si>
  <si>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</si>
  <si>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</si>
  <si>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</si>
  <si>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</si>
  <si>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</si>
  <si>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</si>
  <si>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</si>
  <si>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</si>
  <si>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</si>
  <si>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</si>
  <si>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</si>
  <si>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</si>
  <si>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</si>
  <si>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</si>
  <si>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</si>
  <si>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</si>
  <si>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</si>
  <si>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</si>
  <si>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</si>
  <si>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</si>
  <si>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</si>
  <si>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</si>
  <si>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</si>
  <si>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</si>
  <si>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</si>
  <si>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</si>
  <si>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</si>
  <si>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</si>
  <si>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</si>
  <si>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</si>
  <si>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</si>
  <si>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</si>
  <si>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</si>
  <si>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</si>
  <si>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</si>
  <si>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</si>
  <si>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</si>
  <si>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</si>
  <si>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</si>
  <si>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</si>
  <si>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</si>
  <si>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</si>
  <si>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</si>
  <si>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</si>
  <si>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</si>
  <si>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</si>
  <si>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</si>
  <si>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</si>
  <si>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</si>
  <si>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</si>
  <si>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</si>
  <si>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</si>
  <si>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</si>
  <si>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</si>
  <si>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</si>
  <si>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</si>
  <si>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</si>
  <si>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</si>
  <si>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</si>
  <si>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</si>
  <si>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</si>
  <si>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</si>
  <si>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</si>
  <si>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</si>
  <si>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</si>
  <si>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</si>
  <si>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</si>
  <si>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</si>
  <si>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</si>
  <si>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</si>
  <si>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</si>
  <si>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</si>
  <si>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</si>
  <si>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</si>
  <si>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</si>
  <si>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</si>
  <si>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</si>
  <si>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</si>
  <si>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</si>
  <si>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</si>
  <si>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</si>
  <si>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</si>
  <si>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</si>
  <si>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</si>
  <si>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</si>
  <si>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</si>
  <si>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</si>
  <si>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</si>
  <si>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</si>
  <si>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</si>
  <si>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</si>
  <si>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</si>
  <si>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</si>
  <si>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</si>
  <si>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</si>
  <si>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</si>
  <si>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</si>
  <si>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</si>
  <si>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</si>
  <si>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</si>
  <si>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</si>
  <si>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</si>
  <si>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</si>
  <si>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</si>
  <si>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</si>
  <si>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</si>
  <si>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</si>
  <si>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</si>
  <si>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</si>
  <si>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</si>
  <si>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</si>
  <si>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</si>
  <si>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</si>
  <si>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</si>
  <si>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</si>
  <si>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</si>
  <si>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</si>
  <si>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</si>
  <si>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</si>
  <si>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</si>
  <si>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</si>
  <si>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</si>
  <si>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</si>
  <si>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</si>
  <si>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</si>
  <si>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</si>
  <si>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</si>
  <si>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</si>
  <si>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</si>
  <si>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</si>
  <si>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</si>
  <si>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</si>
  <si>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</si>
  <si>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</si>
  <si>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</si>
  <si>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</si>
  <si>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</si>
  <si>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</si>
  <si>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</si>
  <si>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</si>
  <si>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</si>
  <si>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</si>
  <si>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</si>
  <si>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</si>
  <si>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</si>
  <si>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</si>
  <si>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</si>
  <si>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</si>
  <si>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</si>
  <si>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</si>
  <si>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</si>
  <si>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</si>
  <si>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</si>
  <si>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</si>
  <si>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</si>
  <si>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</si>
  <si>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</si>
  <si>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</si>
  <si>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</si>
  <si>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</si>
  <si>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</si>
  <si>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</si>
  <si>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</si>
  <si>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</si>
  <si>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</si>
  <si>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</si>
  <si>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</si>
  <si>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</si>
  <si>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</si>
  <si>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</si>
  <si>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</si>
  <si>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</si>
  <si>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</si>
  <si>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</si>
  <si>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</si>
  <si>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</si>
  <si>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</si>
  <si>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</si>
  <si>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</si>
  <si>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</si>
  <si>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</si>
  <si>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</si>
  <si>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</si>
  <si>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</si>
  <si>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</si>
  <si>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</si>
  <si>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</si>
  <si>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</si>
  <si>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</si>
  <si>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</si>
  <si>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</si>
  <si>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</si>
  <si>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</si>
  <si>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</si>
  <si>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</si>
  <si>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</si>
  <si>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</si>
  <si>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</si>
  <si>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</si>
  <si>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</si>
  <si>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</si>
  <si>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</si>
  <si>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</si>
  <si>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</si>
  <si>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</si>
  <si>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</si>
  <si>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</si>
  <si>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</si>
  <si>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</si>
  <si>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</si>
  <si>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</si>
  <si>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</si>
  <si>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</si>
  <si>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</si>
  <si>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</si>
  <si>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</si>
  <si>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</si>
  <si>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</si>
  <si>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</si>
  <si>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</si>
  <si>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</si>
  <si>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</si>
  <si>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</si>
  <si>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</si>
  <si>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</si>
  <si>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</si>
  <si>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</si>
  <si>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</si>
  <si>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</si>
  <si>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</si>
  <si>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</si>
  <si>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</si>
  <si>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</si>
  <si>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</si>
  <si>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</si>
  <si>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</si>
  <si>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</si>
  <si>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</si>
  <si>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</si>
  <si>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</si>
  <si>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</si>
  <si>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</si>
  <si>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</si>
  <si>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</si>
  <si>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</si>
  <si>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</si>
  <si>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</si>
  <si>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</si>
  <si>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</si>
  <si>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</si>
  <si>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</si>
  <si>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</si>
  <si>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</si>
  <si>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</si>
  <si>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</si>
  <si>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</si>
  <si>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</si>
  <si>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</si>
  <si>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</si>
  <si>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</si>
  <si>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</si>
  <si>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</si>
  <si>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</si>
  <si>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</si>
  <si>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</si>
  <si>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</si>
  <si>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</si>
  <si>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</si>
  <si>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</si>
  <si>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</si>
  <si>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</si>
  <si>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</si>
  <si>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</si>
  <si>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</si>
  <si>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</si>
  <si>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</si>
  <si>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</si>
  <si>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</si>
  <si>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</si>
  <si>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</si>
  <si>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</si>
  <si>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</si>
  <si>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</si>
  <si>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</si>
  <si>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</si>
  <si>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</si>
  <si>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</si>
  <si>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</si>
  <si>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</si>
  <si>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</si>
  <si>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</si>
  <si>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</si>
  <si>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</si>
  <si>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</si>
  <si>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</si>
  <si>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</si>
  <si>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</si>
  <si>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</si>
  <si>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</si>
  <si>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</si>
  <si>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</si>
  <si>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</si>
  <si>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</si>
  <si>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</si>
  <si>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</si>
  <si>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</si>
  <si>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</si>
  <si>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</si>
  <si>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</si>
  <si>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</si>
  <si>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</si>
  <si>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</si>
  <si>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</si>
  <si>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</si>
  <si>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</si>
  <si>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</si>
  <si>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</si>
  <si>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</si>
  <si>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</si>
  <si>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</si>
  <si>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</si>
  <si>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</si>
  <si>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</si>
  <si>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</si>
  <si>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</si>
  <si>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</si>
  <si>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</si>
  <si>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</si>
  <si>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</si>
  <si>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</si>
  <si>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</si>
  <si>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</si>
  <si>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</si>
  <si>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</si>
  <si>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</si>
  <si>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</si>
  <si>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</si>
  <si>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</si>
  <si>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</si>
  <si>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</si>
  <si>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</si>
  <si>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</si>
  <si>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</si>
  <si>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</si>
  <si>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</si>
  <si>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</si>
  <si>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</si>
  <si>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</si>
  <si>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</si>
  <si>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</si>
  <si>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</si>
  <si>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</si>
  <si>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</si>
  <si>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</si>
  <si>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</si>
  <si>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</si>
  <si>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</si>
  <si>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</si>
  <si>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</si>
  <si>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</si>
  <si>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</si>
  <si>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</si>
  <si>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</si>
  <si>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</si>
  <si>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</si>
  <si>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</si>
  <si>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</si>
  <si>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</si>
  <si>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</si>
  <si>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</si>
  <si>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</si>
  <si>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</si>
  <si>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</si>
  <si>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</si>
  <si>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</si>
  <si>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</si>
  <si>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</si>
  <si>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</si>
  <si>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</si>
  <si>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</si>
  <si>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</si>
  <si>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</si>
  <si>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</si>
  <si>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</si>
  <si>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</si>
  <si>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</si>
  <si>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</si>
  <si>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</si>
  <si>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</si>
  <si>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</si>
  <si>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</si>
  <si>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</si>
  <si>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</si>
  <si>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</si>
  <si>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</si>
  <si>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</si>
  <si>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</si>
  <si>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</si>
  <si>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</si>
  <si>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</si>
  <si>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</si>
  <si>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</si>
  <si>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</si>
  <si>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</si>
  <si>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</si>
  <si>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</si>
  <si>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</si>
  <si>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</si>
  <si>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</si>
  <si>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</si>
  <si>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</si>
  <si>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</si>
  <si>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</si>
  <si>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</si>
  <si>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</si>
  <si>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</si>
  <si>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</si>
  <si>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</si>
  <si>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</si>
  <si>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</si>
  <si>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</si>
  <si>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</si>
  <si>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</si>
  <si>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</si>
  <si>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</si>
  <si>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</si>
  <si>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</si>
  <si>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</si>
  <si>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</si>
  <si>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</si>
  <si>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</si>
  <si>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</si>
  <si>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</si>
  <si>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</si>
  <si>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</si>
  <si>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</si>
  <si>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</si>
  <si>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</si>
  <si>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</si>
  <si>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</si>
  <si>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</si>
  <si>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</si>
  <si>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</si>
  <si>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</si>
  <si>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</si>
  <si>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</si>
  <si>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</si>
  <si>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</si>
  <si>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</si>
  <si>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</si>
  <si>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</si>
  <si>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</si>
  <si>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</si>
  <si>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</si>
  <si>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</si>
  <si>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</si>
  <si>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</si>
  <si>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</si>
  <si>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</si>
  <si>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</si>
  <si>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</si>
  <si>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</si>
  <si>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</si>
  <si>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</si>
  <si>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</si>
  <si>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</si>
  <si>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</si>
  <si>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</si>
  <si>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</si>
  <si>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</si>
  <si>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</si>
  <si>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</si>
  <si>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</si>
  <si>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</si>
  <si>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</si>
  <si>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</si>
  <si>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</si>
  <si>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</si>
  <si>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</si>
  <si>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</si>
  <si>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</si>
  <si>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</si>
  <si>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</si>
  <si>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</si>
  <si>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</si>
  <si>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</si>
  <si>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</si>
  <si>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</si>
  <si>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</si>
  <si>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</si>
  <si>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</si>
  <si>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</si>
  <si>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</si>
  <si>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</si>
  <si>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</si>
  <si>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</si>
  <si>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</si>
  <si>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</si>
  <si>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</si>
  <si>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</si>
  <si>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</si>
  <si>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</si>
  <si>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</si>
  <si>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</si>
  <si>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</si>
  <si>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</si>
  <si>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</si>
  <si>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</si>
  <si>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</si>
  <si>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</si>
  <si>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</si>
  <si>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</si>
  <si>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</si>
  <si>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</si>
  <si>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</si>
  <si>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</si>
  <si>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</si>
  <si>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</si>
  <si>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</si>
  <si>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</si>
  <si>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</si>
  <si>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</si>
  <si>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</si>
  <si>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</si>
  <si>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</si>
  <si>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</si>
  <si>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</si>
  <si>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</si>
  <si>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</si>
  <si>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</si>
  <si>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</si>
  <si>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</si>
  <si>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</si>
  <si>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</si>
  <si>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</si>
  <si>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</si>
  <si>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</si>
  <si>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</si>
  <si>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</si>
  <si>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</si>
  <si>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</si>
  <si>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</si>
  <si>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</si>
  <si>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</si>
  <si>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</si>
  <si>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</si>
  <si>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</si>
  <si>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</si>
  <si>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</si>
  <si>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</si>
  <si>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</si>
  <si>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</si>
  <si>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</si>
  <si>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</si>
  <si>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</si>
  <si>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</si>
  <si>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</si>
  <si>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</si>
  <si>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</si>
  <si>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</si>
  <si>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</si>
  <si>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</si>
  <si>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</si>
  <si>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</si>
  <si>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</si>
  <si>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</si>
  <si>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</si>
  <si>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</si>
  <si>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</si>
  <si>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</si>
  <si>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</si>
  <si>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</si>
  <si>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</si>
  <si>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</si>
  <si>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</si>
  <si>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</si>
  <si>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</si>
  <si>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</si>
  <si>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</si>
  <si>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</si>
  <si>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</si>
  <si>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</si>
  <si>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</si>
  <si>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</si>
  <si>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</si>
  <si>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</si>
  <si>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</si>
  <si>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</si>
  <si>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</si>
  <si>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</si>
  <si>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</si>
  <si>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</si>
  <si>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</si>
  <si>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</si>
  <si>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</si>
  <si>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</si>
  <si>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</si>
  <si>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</si>
  <si>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</si>
  <si>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</si>
  <si>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</si>
  <si>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</si>
  <si>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</si>
  <si>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</si>
  <si>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</si>
  <si>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</si>
  <si>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</si>
  <si>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</si>
  <si>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</si>
  <si>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</si>
  <si>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</si>
  <si>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</si>
  <si>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</si>
  <si>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</si>
  <si>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</si>
  <si>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</si>
  <si>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</si>
  <si>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</si>
  <si>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</si>
  <si>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</si>
  <si>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</si>
  <si>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</si>
  <si>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</si>
  <si>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</si>
  <si>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</si>
  <si>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</si>
  <si>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</si>
  <si>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</si>
  <si>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</si>
  <si>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</si>
  <si>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</si>
  <si>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</si>
  <si>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</si>
  <si>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</si>
  <si>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</si>
  <si>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</si>
  <si>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</si>
  <si>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</si>
  <si>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</si>
  <si>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</si>
  <si>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</si>
  <si>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</si>
  <si>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</si>
  <si>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</si>
  <si>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</si>
  <si>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</si>
  <si>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</si>
  <si>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</si>
  <si>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</si>
  <si>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</si>
  <si>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</si>
  <si>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</si>
  <si>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</si>
  <si>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</si>
  <si>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</si>
  <si>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</si>
  <si>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</si>
  <si>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</si>
  <si>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</si>
  <si>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</si>
  <si>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</si>
  <si>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</si>
  <si>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</si>
  <si>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</si>
  <si>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</si>
  <si>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</si>
  <si>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</si>
  <si>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</si>
  <si>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</si>
  <si>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</si>
  <si>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</si>
  <si>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</si>
  <si>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</si>
  <si>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</si>
  <si>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</si>
  <si>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</si>
  <si>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</si>
  <si>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</si>
  <si>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</si>
  <si>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</si>
  <si>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</si>
  <si>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</si>
  <si>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</si>
  <si>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</si>
  <si>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</si>
  <si>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</si>
  <si>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</si>
  <si>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</si>
  <si>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</si>
  <si>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</si>
  <si>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</si>
  <si>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</si>
  <si>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</si>
  <si>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</si>
  <si>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</si>
  <si>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</si>
  <si>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</si>
  <si>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</si>
  <si>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</si>
  <si>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</si>
  <si>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</si>
  <si>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</si>
  <si>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</si>
  <si>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</si>
  <si>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</si>
  <si>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</si>
  <si>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</si>
  <si>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</si>
  <si>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</si>
  <si>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</si>
  <si>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</si>
  <si>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</si>
  <si>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</si>
  <si>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</si>
  <si>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</si>
  <si>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</si>
  <si>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</si>
  <si>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</si>
  <si>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</si>
  <si>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</si>
  <si>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</si>
  <si>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</si>
  <si>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</si>
  <si>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</si>
  <si>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</si>
  <si>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</si>
  <si>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</si>
  <si>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</si>
  <si>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</si>
  <si>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</si>
  <si>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</si>
  <si>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</si>
  <si>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</si>
  <si>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</si>
  <si>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</si>
  <si>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</si>
  <si>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</si>
  <si>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</si>
  <si>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</si>
  <si>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</si>
  <si>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</si>
  <si>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</si>
  <si>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</si>
  <si>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</si>
  <si>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</si>
  <si>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</si>
  <si>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</si>
  <si>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</si>
  <si>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</si>
  <si>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</si>
  <si>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</si>
  <si>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</si>
  <si>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</si>
  <si>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</si>
  <si>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</si>
  <si>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</si>
  <si>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</si>
  <si>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</si>
  <si>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</si>
  <si>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</si>
  <si>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</si>
  <si>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</si>
  <si>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</si>
  <si>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</si>
  <si>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</si>
  <si>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</si>
  <si>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</si>
  <si>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</si>
  <si>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</si>
  <si>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</si>
  <si>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</si>
  <si>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</si>
  <si>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</si>
  <si>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</si>
  <si>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</si>
  <si>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</si>
  <si>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</si>
  <si>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</si>
  <si>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</si>
  <si>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</si>
  <si>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</si>
  <si>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</si>
  <si>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</si>
  <si>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</si>
  <si>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</si>
  <si>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</si>
  <si>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</si>
  <si>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</si>
  <si>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</si>
  <si>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</si>
  <si>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</si>
  <si>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</si>
  <si>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普通装修</t>
    <phoneticPr fontId="134" type="noConversion"/>
  </si>
  <si>
    <t>来源</t>
    <phoneticPr fontId="134" type="noConversion"/>
  </si>
  <si>
    <t>零贷库</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</si>
  <si>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</si>
  <si>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</si>
  <si>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</si>
  <si>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</si>
  <si>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</si>
  <si>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</si>
  <si>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</si>
  <si>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</si>
  <si>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</si>
  <si>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</si>
  <si>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</si>
  <si>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</si>
  <si>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</si>
  <si>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</si>
  <si>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</si>
  <si>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</si>
  <si>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</si>
  <si>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</si>
  <si>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</si>
  <si>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</si>
  <si>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</si>
  <si>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</si>
  <si>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</si>
  <si>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</si>
  <si>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</si>
  <si>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</si>
  <si>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</si>
  <si>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</si>
  <si>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</si>
  <si>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</si>
  <si>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3室1厅1卫1厨</t>
    <phoneticPr fontId="13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</si>
  <si>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</si>
  <si>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</si>
  <si>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</si>
  <si>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</si>
  <si>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</si>
  <si>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</si>
  <si>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安贞里四区3号楼6层3</t>
    <phoneticPr fontId="134" type="noConversion"/>
  </si>
  <si>
    <t>安贞里四区3号楼6层2</t>
    <phoneticPr fontId="134" type="noConversion"/>
  </si>
  <si>
    <t>安贞里四区</t>
  </si>
  <si>
    <t>安贞里四区5号楼16层1</t>
    <phoneticPr fontId="134" type="noConversion"/>
  </si>
  <si>
    <t>东北</t>
  </si>
  <si>
    <t>2室1厅1卫1厨</t>
    <phoneticPr fontId="134" type="noConversion"/>
  </si>
  <si>
    <t>南</t>
  </si>
  <si>
    <t>东南</t>
  </si>
  <si>
    <t>周边有300路、302路、328路、361路等多条公交线路及地铁8号线与10号线换乘站北土城站，综合评价交通便捷度较好</t>
    <phoneticPr fontId="40" type="noConversion"/>
  </si>
  <si>
    <t>自然环境：柳荫公园、土城沟水系等自然水系景观；
人文环境：西黄寺、元大都城垣遗址公园等人文场所；
综合评价环境状况较好。</t>
    <phoneticPr fontId="40" type="noConversion"/>
  </si>
  <si>
    <t>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t>
    <phoneticPr fontId="40" type="noConversion"/>
  </si>
  <si>
    <t>11/18</t>
    <phoneticPr fontId="24" type="noConversion"/>
  </si>
  <si>
    <t>6/18</t>
    <phoneticPr fontId="24" type="noConversion"/>
  </si>
  <si>
    <t>16/18</t>
    <phoneticPr fontId="24" type="noConversion"/>
  </si>
  <si>
    <t>塔楼</t>
  </si>
  <si>
    <t>房屋性质</t>
    <phoneticPr fontId="3" type="noConversion"/>
  </si>
  <si>
    <t>商品房</t>
  </si>
  <si>
    <t>商品房</t>
    <phoneticPr fontId="24" type="noConversion"/>
  </si>
  <si>
    <t>成本价出售住宅</t>
    <phoneticPr fontId="24" type="noConversion"/>
  </si>
  <si>
    <t>商品房</t>
    <phoneticPr fontId="24" type="noConversion"/>
  </si>
  <si>
    <t>成本价出售住宅</t>
    <phoneticPr fontId="24" type="noConversion"/>
  </si>
  <si>
    <t>周边有胜古誉园、安华里、安华西里、安贞西里等住宅小区，居住社区成熟度较好。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</si>
</sst>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176" fontId="44" fillId="9" borderId="24" xfId="1" applyNumberFormat="1" applyFont="1" applyFill="1" applyBorder="1" applyAlignment="1" applyProtection="1">
      <alignment horizontal="center" vertical="center"/>
      <protection locked="0"/>
    </xf>
    <xf numFmtId="176" fontId="128" fillId="9" borderId="23" xfId="0" applyNumberFormat="1" applyFont="1" applyFill="1" applyBorder="1" applyAlignment="1" applyProtection="1">
      <alignment horizontal="center" vertical="center" wrapText="1"/>
      <protection locked="0"/>
    </xf>
    <xf numFmtId="176" fontId="128" fillId="0" borderId="3" xfId="0" applyNumberFormat="1"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37</xdr:row>
      <xdr:rowOff>19050</xdr:rowOff>
    </xdr:from>
    <xdr:to>
      <xdr:col>13</xdr:col>
      <xdr:colOff>428625</xdr:colOff>
      <xdr:row>55</xdr:row>
      <xdr:rowOff>123825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9867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xdr:row>
      <xdr:rowOff>80634</xdr:rowOff>
    </xdr:from>
    <xdr:to>
      <xdr:col>11</xdr:col>
      <xdr:colOff>884582</xdr:colOff>
      <xdr:row>13</xdr:row>
      <xdr:rowOff>85446</xdr:rowOff>
    </xdr:to>
    <xdr:pic>
      <xdr:nvPicPr>
        <xdr:cNvPr id="11" name="图片 10">
          <a:extLst>
            <a:ext uri="{FF2B5EF4-FFF2-40B4-BE49-F238E27FC236}">
              <a16:creationId xmlns:a16="http://schemas.microsoft.com/office/drawing/2014/main" id="{4276BAFD-2444-77E3-B472-0012D1A01A37}"/>
            </a:ext>
          </a:extLst>
        </xdr:cNvPr>
        <xdr:cNvPicPr>
          <a:picLocks noChangeAspect="1"/>
        </xdr:cNvPicPr>
      </xdr:nvPicPr>
      <xdr:blipFill>
        <a:blip xmlns:r="http://schemas.openxmlformats.org/officeDocument/2006/relationships" r:embed="rId2"/>
        <a:stretch>
          <a:fillRect/>
        </a:stretch>
      </xdr:blipFill>
      <xdr:spPr>
        <a:xfrm>
          <a:off x="4191000" y="1518909"/>
          <a:ext cx="7075832" cy="1585962"/>
        </a:xfrm>
        <a:prstGeom prst="rect">
          <a:avLst/>
        </a:prstGeom>
      </xdr:spPr>
    </xdr:pic>
    <xdr:clientData/>
  </xdr:twoCellAnchor>
  <xdr:twoCellAnchor editAs="oneCell">
    <xdr:from>
      <xdr:col>12</xdr:col>
      <xdr:colOff>19050</xdr:colOff>
      <xdr:row>6</xdr:row>
      <xdr:rowOff>114300</xdr:rowOff>
    </xdr:from>
    <xdr:to>
      <xdr:col>16</xdr:col>
      <xdr:colOff>9525</xdr:colOff>
      <xdr:row>13</xdr:row>
      <xdr:rowOff>68226</xdr:rowOff>
    </xdr:to>
    <xdr:pic>
      <xdr:nvPicPr>
        <xdr:cNvPr id="12" name="图片 11">
          <a:extLst>
            <a:ext uri="{FF2B5EF4-FFF2-40B4-BE49-F238E27FC236}">
              <a16:creationId xmlns:a16="http://schemas.microsoft.com/office/drawing/2014/main" id="{CE69DA36-818C-8492-004D-ACEC0094CCED}"/>
            </a:ext>
          </a:extLst>
        </xdr:cNvPr>
        <xdr:cNvPicPr>
          <a:picLocks noChangeAspect="1"/>
        </xdr:cNvPicPr>
      </xdr:nvPicPr>
      <xdr:blipFill>
        <a:blip xmlns:r="http://schemas.openxmlformats.org/officeDocument/2006/relationships" r:embed="rId3"/>
        <a:stretch>
          <a:fillRect/>
        </a:stretch>
      </xdr:blipFill>
      <xdr:spPr>
        <a:xfrm>
          <a:off x="11287125" y="1552575"/>
          <a:ext cx="2571750" cy="1535076"/>
        </a:xfrm>
        <a:prstGeom prst="rect">
          <a:avLst/>
        </a:prstGeom>
      </xdr:spPr>
    </xdr:pic>
    <xdr:clientData/>
  </xdr:twoCellAnchor>
  <xdr:twoCellAnchor editAs="oneCell">
    <xdr:from>
      <xdr:col>2</xdr:col>
      <xdr:colOff>866775</xdr:colOff>
      <xdr:row>13</xdr:row>
      <xdr:rowOff>90273</xdr:rowOff>
    </xdr:from>
    <xdr:to>
      <xdr:col>12</xdr:col>
      <xdr:colOff>9525</xdr:colOff>
      <xdr:row>17</xdr:row>
      <xdr:rowOff>234137</xdr:rowOff>
    </xdr:to>
    <xdr:pic>
      <xdr:nvPicPr>
        <xdr:cNvPr id="13" name="图片 12">
          <a:extLst>
            <a:ext uri="{FF2B5EF4-FFF2-40B4-BE49-F238E27FC236}">
              <a16:creationId xmlns:a16="http://schemas.microsoft.com/office/drawing/2014/main" id="{F6E68957-A2A9-51FC-0701-F00FA52763B4}"/>
            </a:ext>
          </a:extLst>
        </xdr:cNvPr>
        <xdr:cNvPicPr>
          <a:picLocks noChangeAspect="1"/>
        </xdr:cNvPicPr>
      </xdr:nvPicPr>
      <xdr:blipFill>
        <a:blip xmlns:r="http://schemas.openxmlformats.org/officeDocument/2006/relationships" r:embed="rId4"/>
        <a:stretch>
          <a:fillRect/>
        </a:stretch>
      </xdr:blipFill>
      <xdr:spPr>
        <a:xfrm>
          <a:off x="4162425" y="3109698"/>
          <a:ext cx="7115175" cy="1401164"/>
        </a:xfrm>
        <a:prstGeom prst="rect">
          <a:avLst/>
        </a:prstGeom>
      </xdr:spPr>
    </xdr:pic>
    <xdr:clientData/>
  </xdr:twoCellAnchor>
  <xdr:twoCellAnchor editAs="oneCell">
    <xdr:from>
      <xdr:col>12</xdr:col>
      <xdr:colOff>19050</xdr:colOff>
      <xdr:row>13</xdr:row>
      <xdr:rowOff>123825</xdr:rowOff>
    </xdr:from>
    <xdr:to>
      <xdr:col>16</xdr:col>
      <xdr:colOff>19878</xdr:colOff>
      <xdr:row>17</xdr:row>
      <xdr:rowOff>95250</xdr:rowOff>
    </xdr:to>
    <xdr:pic>
      <xdr:nvPicPr>
        <xdr:cNvPr id="14" name="图片 13">
          <a:extLst>
            <a:ext uri="{FF2B5EF4-FFF2-40B4-BE49-F238E27FC236}">
              <a16:creationId xmlns:a16="http://schemas.microsoft.com/office/drawing/2014/main" id="{3771D986-847F-5692-8E02-D9563549C194}"/>
            </a:ext>
          </a:extLst>
        </xdr:cNvPr>
        <xdr:cNvPicPr>
          <a:picLocks noChangeAspect="1"/>
        </xdr:cNvPicPr>
      </xdr:nvPicPr>
      <xdr:blipFill>
        <a:blip xmlns:r="http://schemas.openxmlformats.org/officeDocument/2006/relationships" r:embed="rId5"/>
        <a:stretch>
          <a:fillRect/>
        </a:stretch>
      </xdr:blipFill>
      <xdr:spPr>
        <a:xfrm>
          <a:off x="11287125" y="3143250"/>
          <a:ext cx="2582103" cy="1228725"/>
        </a:xfrm>
        <a:prstGeom prst="rect">
          <a:avLst/>
        </a:prstGeom>
      </xdr:spPr>
    </xdr:pic>
    <xdr:clientData/>
  </xdr:twoCellAnchor>
  <xdr:twoCellAnchor editAs="oneCell">
    <xdr:from>
      <xdr:col>2</xdr:col>
      <xdr:colOff>904875</xdr:colOff>
      <xdr:row>17</xdr:row>
      <xdr:rowOff>238125</xdr:rowOff>
    </xdr:from>
    <xdr:to>
      <xdr:col>12</xdr:col>
      <xdr:colOff>8170</xdr:colOff>
      <xdr:row>19</xdr:row>
      <xdr:rowOff>276225</xdr:rowOff>
    </xdr:to>
    <xdr:pic>
      <xdr:nvPicPr>
        <xdr:cNvPr id="15" name="图片 14">
          <a:extLst>
            <a:ext uri="{FF2B5EF4-FFF2-40B4-BE49-F238E27FC236}">
              <a16:creationId xmlns:a16="http://schemas.microsoft.com/office/drawing/2014/main" id="{974E6E7F-3205-AE27-1661-CDA99FB5642F}"/>
            </a:ext>
          </a:extLst>
        </xdr:cNvPr>
        <xdr:cNvPicPr>
          <a:picLocks noChangeAspect="1"/>
        </xdr:cNvPicPr>
      </xdr:nvPicPr>
      <xdr:blipFill>
        <a:blip xmlns:r="http://schemas.openxmlformats.org/officeDocument/2006/relationships" r:embed="rId6"/>
        <a:stretch>
          <a:fillRect/>
        </a:stretch>
      </xdr:blipFill>
      <xdr:spPr>
        <a:xfrm>
          <a:off x="4200525" y="4514850"/>
          <a:ext cx="7075720" cy="666750"/>
        </a:xfrm>
        <a:prstGeom prst="rect">
          <a:avLst/>
        </a:prstGeom>
      </xdr:spPr>
    </xdr:pic>
    <xdr:clientData/>
  </xdr:twoCellAnchor>
  <xdr:twoCellAnchor editAs="oneCell">
    <xdr:from>
      <xdr:col>12</xdr:col>
      <xdr:colOff>9526</xdr:colOff>
      <xdr:row>17</xdr:row>
      <xdr:rowOff>180975</xdr:rowOff>
    </xdr:from>
    <xdr:to>
      <xdr:col>16</xdr:col>
      <xdr:colOff>323851</xdr:colOff>
      <xdr:row>19</xdr:row>
      <xdr:rowOff>247650</xdr:rowOff>
    </xdr:to>
    <xdr:pic>
      <xdr:nvPicPr>
        <xdr:cNvPr id="16" name="图片 15">
          <a:extLst>
            <a:ext uri="{FF2B5EF4-FFF2-40B4-BE49-F238E27FC236}">
              <a16:creationId xmlns:a16="http://schemas.microsoft.com/office/drawing/2014/main" id="{90BBAF11-3064-4DA9-C4B6-6775315A1137}"/>
            </a:ext>
          </a:extLst>
        </xdr:cNvPr>
        <xdr:cNvPicPr>
          <a:picLocks noChangeAspect="1"/>
        </xdr:cNvPicPr>
      </xdr:nvPicPr>
      <xdr:blipFill>
        <a:blip xmlns:r="http://schemas.openxmlformats.org/officeDocument/2006/relationships" r:embed="rId7"/>
        <a:stretch>
          <a:fillRect/>
        </a:stretch>
      </xdr:blipFill>
      <xdr:spPr>
        <a:xfrm>
          <a:off x="11277601" y="4457700"/>
          <a:ext cx="2895600" cy="695325"/>
        </a:xfrm>
        <a:prstGeom prst="rect">
          <a:avLst/>
        </a:prstGeom>
      </xdr:spPr>
    </xdr:pic>
    <xdr:clientData/>
  </xdr:twoCellAnchor>
  <xdr:twoCellAnchor editAs="oneCell">
    <xdr:from>
      <xdr:col>16</xdr:col>
      <xdr:colOff>523874</xdr:colOff>
      <xdr:row>0</xdr:row>
      <xdr:rowOff>0</xdr:rowOff>
    </xdr:from>
    <xdr:to>
      <xdr:col>23</xdr:col>
      <xdr:colOff>155103</xdr:colOff>
      <xdr:row>10</xdr:row>
      <xdr:rowOff>77354</xdr:rowOff>
    </xdr:to>
    <xdr:pic>
      <xdr:nvPicPr>
        <xdr:cNvPr id="18" name="图片 17">
          <a:extLst>
            <a:ext uri="{FF2B5EF4-FFF2-40B4-BE49-F238E27FC236}">
              <a16:creationId xmlns:a16="http://schemas.microsoft.com/office/drawing/2014/main" id="{D4669147-C6B8-44F4-DF39-BF313A545E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373224" y="0"/>
          <a:ext cx="5193829" cy="2582429"/>
        </a:xfrm>
        <a:prstGeom prst="rect">
          <a:avLst/>
        </a:prstGeom>
      </xdr:spPr>
    </xdr:pic>
    <xdr:clientData/>
  </xdr:twoCellAnchor>
  <xdr:twoCellAnchor editAs="oneCell">
    <xdr:from>
      <xdr:col>0</xdr:col>
      <xdr:colOff>0</xdr:colOff>
      <xdr:row>5</xdr:row>
      <xdr:rowOff>74950</xdr:rowOff>
    </xdr:from>
    <xdr:to>
      <xdr:col>2</xdr:col>
      <xdr:colOff>723283</xdr:colOff>
      <xdr:row>23</xdr:row>
      <xdr:rowOff>113543</xdr:rowOff>
    </xdr:to>
    <xdr:pic>
      <xdr:nvPicPr>
        <xdr:cNvPr id="21" name="图片 20">
          <a:extLst>
            <a:ext uri="{FF2B5EF4-FFF2-40B4-BE49-F238E27FC236}">
              <a16:creationId xmlns:a16="http://schemas.microsoft.com/office/drawing/2014/main" id="{37CC4756-FA23-A0E6-F571-80B413F176BF}"/>
            </a:ext>
          </a:extLst>
        </xdr:cNvPr>
        <xdr:cNvPicPr>
          <a:picLocks noChangeAspect="1"/>
        </xdr:cNvPicPr>
      </xdr:nvPicPr>
      <xdr:blipFill>
        <a:blip xmlns:r="http://schemas.openxmlformats.org/officeDocument/2006/relationships" r:embed="rId9"/>
        <a:stretch>
          <a:fillRect/>
        </a:stretch>
      </xdr:blipFill>
      <xdr:spPr>
        <a:xfrm>
          <a:off x="0" y="1341775"/>
          <a:ext cx="4018933" cy="4934443"/>
        </a:xfrm>
        <a:prstGeom prst="rect">
          <a:avLst/>
        </a:prstGeom>
      </xdr:spPr>
    </xdr:pic>
    <xdr:clientData/>
  </xdr:twoCellAnchor>
  <xdr:twoCellAnchor editAs="oneCell">
    <xdr:from>
      <xdr:col>0</xdr:col>
      <xdr:colOff>0</xdr:colOff>
      <xdr:row>24</xdr:row>
      <xdr:rowOff>0</xdr:rowOff>
    </xdr:from>
    <xdr:to>
      <xdr:col>4</xdr:col>
      <xdr:colOff>215727</xdr:colOff>
      <xdr:row>41</xdr:row>
      <xdr:rowOff>123825</xdr:rowOff>
    </xdr:to>
    <xdr:pic>
      <xdr:nvPicPr>
        <xdr:cNvPr id="22" name="图片 21">
          <a:extLst>
            <a:ext uri="{FF2B5EF4-FFF2-40B4-BE49-F238E27FC236}">
              <a16:creationId xmlns:a16="http://schemas.microsoft.com/office/drawing/2014/main" id="{3AAF2DC7-9422-3E92-D757-27A452DAC1D2}"/>
            </a:ext>
          </a:extLst>
        </xdr:cNvPr>
        <xdr:cNvPicPr>
          <a:picLocks noChangeAspect="1"/>
        </xdr:cNvPicPr>
      </xdr:nvPicPr>
      <xdr:blipFill>
        <a:blip xmlns:r="http://schemas.openxmlformats.org/officeDocument/2006/relationships" r:embed="rId10"/>
        <a:stretch>
          <a:fillRect/>
        </a:stretch>
      </xdr:blipFill>
      <xdr:spPr>
        <a:xfrm>
          <a:off x="0" y="6477000"/>
          <a:ext cx="5292552" cy="4181475"/>
        </a:xfrm>
        <a:prstGeom prst="rect">
          <a:avLst/>
        </a:prstGeom>
      </xdr:spPr>
    </xdr:pic>
    <xdr:clientData/>
  </xdr:twoCellAnchor>
  <xdr:twoCellAnchor editAs="oneCell">
    <xdr:from>
      <xdr:col>1</xdr:col>
      <xdr:colOff>1371600</xdr:colOff>
      <xdr:row>27</xdr:row>
      <xdr:rowOff>76200</xdr:rowOff>
    </xdr:from>
    <xdr:to>
      <xdr:col>7</xdr:col>
      <xdr:colOff>28481</xdr:colOff>
      <xdr:row>49</xdr:row>
      <xdr:rowOff>8684</xdr:rowOff>
    </xdr:to>
    <xdr:pic>
      <xdr:nvPicPr>
        <xdr:cNvPr id="23" name="图片 22">
          <a:extLst>
            <a:ext uri="{FF2B5EF4-FFF2-40B4-BE49-F238E27FC236}">
              <a16:creationId xmlns:a16="http://schemas.microsoft.com/office/drawing/2014/main" id="{F83F5F7B-E7A7-5532-84E2-52A34B25F5B4}"/>
            </a:ext>
          </a:extLst>
        </xdr:cNvPr>
        <xdr:cNvPicPr>
          <a:picLocks noChangeAspect="1"/>
        </xdr:cNvPicPr>
      </xdr:nvPicPr>
      <xdr:blipFill>
        <a:blip xmlns:r="http://schemas.openxmlformats.org/officeDocument/2006/relationships" r:embed="rId11"/>
        <a:stretch>
          <a:fillRect/>
        </a:stretch>
      </xdr:blipFill>
      <xdr:spPr>
        <a:xfrm>
          <a:off x="2057400" y="7496175"/>
          <a:ext cx="5457731" cy="4418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估价对象为北京市房地产，为所有。根据《国有土地使用证》[]，估价对象（分摊）出让国有建设用地使用权面积为0平方米，建筑面积为45.34平方米。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估价对象为北京市房地产,属开发建设的，该项目尚在开发建设中。根据《国有土地使用证》[]，估价对象（分摊）出让国有建设用地使用权面积为0平方米，规划建筑面积为45.34平方米。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2023年12月28日（评估专业人员实地查勘之日）</v>
      </c>
    </row>
    <row r="13" spans="1:2">
      <c r="A13" s="1117" t="s">
        <v>529</v>
      </c>
      <c r="B13" s="1118"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45.34</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5" t="s">
        <v>385</v>
      </c>
      <c r="C54" s="1443" t="s">
        <v>583</v>
      </c>
    </row>
    <row r="55" spans="1:4">
      <c r="A55" s="3230"/>
      <c r="B55" s="1445" t="s">
        <v>386</v>
      </c>
      <c r="C55" s="1443" t="s">
        <v>584</v>
      </c>
    </row>
    <row r="56" spans="1:4">
      <c r="A56" s="3230"/>
      <c r="B56" s="1445" t="s">
        <v>387</v>
      </c>
      <c r="C56" s="1443" t="s">
        <v>588</v>
      </c>
    </row>
    <row r="57" spans="1:4">
      <c r="A57" s="323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231" t="s">
        <v>2578</v>
      </c>
      <c r="J2" s="3231"/>
      <c r="K2" s="3231"/>
      <c r="L2" s="3231"/>
      <c r="M2" s="3231"/>
      <c r="N2" s="3231"/>
      <c r="O2" s="3231"/>
      <c r="P2" s="3231"/>
      <c r="Q2" s="3231"/>
      <c r="R2" s="3231"/>
    </row>
    <row r="3" spans="1:18">
      <c r="A3" s="2757" t="s">
        <v>2499</v>
      </c>
      <c r="B3" s="2758">
        <f>项目基本情况!D3</f>
        <v>45288</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2.97</v>
      </c>
      <c r="D5" s="2762">
        <f>IF(ISERROR(ROUND(POWER(1+E5,A5-C5)*(POWER(1+E5,C5)-1)/(POWER(1+E5,A5)-1),3)),0,ROUND(POWER(1+E5,A5-C5)*(POWER(1+E5,C5)-1)/(POWER(1+E5,A5)-1),4))</f>
        <v>0.1389</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12.98</v>
      </c>
      <c r="D6" s="2762">
        <f>IF(ISERROR(ROUND(POWER(1+E6,A6-C6)*(POWER(1+E6,C6)-1)/(POWER(1+E6,A6)-1),3)),0,ROUND(POWER(1+E6,A6-C6)*(POWER(1+E6,C6)-1)/(POWER(1+E6,A6)-1),4))</f>
        <v>0.46429999999999999</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33</v>
      </c>
      <c r="D7" s="2762">
        <f>IF(ISERROR(ROUND(POWER(1+E7,A7-C7)*(POWER(1+E7,C7)-1)/(POWER(1+E7,A7)-1),3)),0,ROUND(POWER(1+E7,A7-C7)*(POWER(1+E7,C7)-1)/(POWER(1+E7,A7)-1),4))</f>
        <v>0.77569999999999995</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ROUND(POWER(1+D23,B23-C23)*(POWER(1+D23,C23)-1)/(POWER(1+D23,B23)-1),3)</f>
        <v>0.84599999999999997</v>
      </c>
      <c r="F23" s="2775">
        <f>F22</f>
        <v>0.7</v>
      </c>
      <c r="G23" s="2773">
        <f>ROUND(100*(1-(1-E23)*F23),1)</f>
        <v>89.2</v>
      </c>
      <c r="I23" s="2794">
        <v>15</v>
      </c>
      <c r="J23" s="2794">
        <v>74.099999999999994</v>
      </c>
      <c r="K23" s="2794">
        <f t="shared" ref="K23:K30" si="0">J23-J22</f>
        <v>8.6999999999999886</v>
      </c>
      <c r="L23" s="2794" t="s">
        <v>2565</v>
      </c>
      <c r="M23" s="2794" t="s">
        <v>2566</v>
      </c>
    </row>
    <row r="24" spans="1:13">
      <c r="A24" s="2771" t="s">
        <v>2526</v>
      </c>
      <c r="B24" s="2774">
        <v>70</v>
      </c>
      <c r="C24" s="2774">
        <v>50</v>
      </c>
      <c r="D24" s="2775">
        <v>0.04</v>
      </c>
      <c r="E24" s="2772">
        <f>ROUND(POWER(1+D24,B24-C24)*(POWER(1+D24,C24)-1)/(POWER(1+D24,B24)-1),3)</f>
        <v>0.91800000000000004</v>
      </c>
      <c r="F24" s="2775">
        <f>F23</f>
        <v>0.7</v>
      </c>
      <c r="G24" s="2773">
        <f>ROUND(100*(1-(1-E24)*F24),1)</f>
        <v>94.3</v>
      </c>
      <c r="I24" s="2794">
        <v>20</v>
      </c>
      <c r="J24" s="2794">
        <v>81</v>
      </c>
      <c r="K24" s="2794">
        <f t="shared" si="0"/>
        <v>6.9000000000000057</v>
      </c>
      <c r="L24" s="2794" t="s">
        <v>2564</v>
      </c>
      <c r="M24" s="2794">
        <v>10</v>
      </c>
    </row>
    <row r="25" spans="1:13">
      <c r="A25" s="2771" t="s">
        <v>2527</v>
      </c>
      <c r="B25" s="2774">
        <v>70</v>
      </c>
      <c r="C25" s="2774">
        <v>60</v>
      </c>
      <c r="D25" s="2775">
        <v>0.04</v>
      </c>
      <c r="E25" s="2772">
        <f>ROUND(POWER(1+D25,B25-C25)*(POWER(1+D25,C25)-1)/(POWER(1+D25,B25)-1),3)</f>
        <v>0.96699999999999997</v>
      </c>
      <c r="F25" s="2775">
        <f>F24</f>
        <v>0.7</v>
      </c>
      <c r="G25" s="2773">
        <f>ROUND(100*(1-(1-E25)*F25),1)</f>
        <v>97.7</v>
      </c>
      <c r="I25" s="2794">
        <v>25</v>
      </c>
      <c r="J25" s="2794">
        <v>86.3</v>
      </c>
      <c r="K25" s="2794">
        <f t="shared" si="0"/>
        <v>5.2999999999999972</v>
      </c>
      <c r="L25" s="2794" t="s">
        <v>2568</v>
      </c>
      <c r="M25" s="2794">
        <v>8</v>
      </c>
    </row>
    <row r="26" spans="1:13">
      <c r="A26" s="2776"/>
      <c r="B26" s="2777"/>
      <c r="C26" s="2777"/>
      <c r="D26" s="2777"/>
      <c r="E26" s="2777"/>
      <c r="F26" s="2777"/>
      <c r="G26" s="2778"/>
      <c r="I26" s="2794">
        <v>30</v>
      </c>
      <c r="J26" s="2794">
        <v>90.5</v>
      </c>
      <c r="K26" s="2794">
        <f t="shared" si="0"/>
        <v>4.2000000000000028</v>
      </c>
      <c r="L26" s="2794" t="s">
        <v>2569</v>
      </c>
      <c r="M26" s="2794">
        <v>5</v>
      </c>
    </row>
    <row r="27" spans="1:13">
      <c r="A27" s="2776" t="s">
        <v>2528</v>
      </c>
      <c r="B27" s="2777"/>
      <c r="C27" s="2777"/>
      <c r="D27" s="2777"/>
      <c r="E27" s="2777"/>
      <c r="F27" s="2777"/>
      <c r="G27" s="2778"/>
      <c r="I27" s="2794">
        <v>35</v>
      </c>
      <c r="J27" s="2794">
        <v>93.8</v>
      </c>
      <c r="K27" s="2794">
        <f t="shared" si="0"/>
        <v>3.2999999999999972</v>
      </c>
      <c r="L27" s="2794" t="s">
        <v>2570</v>
      </c>
      <c r="M27" s="2794">
        <v>3</v>
      </c>
    </row>
    <row r="28" spans="1:13">
      <c r="A28" s="2776" t="s">
        <v>2529</v>
      </c>
      <c r="B28" s="2777"/>
      <c r="C28" s="2777"/>
      <c r="D28" s="2777"/>
      <c r="E28" s="2777"/>
      <c r="F28" s="2777"/>
      <c r="G28" s="2778"/>
      <c r="I28" s="2794">
        <v>40</v>
      </c>
      <c r="J28" s="2794">
        <v>96.4</v>
      </c>
      <c r="K28" s="2794">
        <f t="shared" si="0"/>
        <v>2.6000000000000085</v>
      </c>
      <c r="L28" s="2794" t="s">
        <v>2571</v>
      </c>
      <c r="M28" s="2794">
        <v>2</v>
      </c>
    </row>
    <row r="29" spans="1:13">
      <c r="A29" s="2776" t="s">
        <v>2530</v>
      </c>
      <c r="B29" s="2777"/>
      <c r="C29" s="2777"/>
      <c r="D29" s="2777"/>
      <c r="E29" s="2777"/>
      <c r="F29" s="2777"/>
      <c r="G29" s="2778"/>
      <c r="I29" s="2794">
        <v>45</v>
      </c>
      <c r="J29" s="2794">
        <v>98.4</v>
      </c>
      <c r="K29" s="2794">
        <f t="shared" si="0"/>
        <v>2</v>
      </c>
    </row>
    <row r="30" spans="1:13">
      <c r="A30" s="2776" t="s">
        <v>2531</v>
      </c>
      <c r="B30" s="2777"/>
      <c r="C30" s="2777"/>
      <c r="D30" s="2777"/>
      <c r="E30" s="2777"/>
      <c r="F30" s="2777"/>
      <c r="G30" s="2778"/>
      <c r="I30" s="2794">
        <v>50</v>
      </c>
      <c r="J30" s="2794">
        <v>100</v>
      </c>
      <c r="K30" s="2794">
        <f t="shared" si="0"/>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1">J36-J35</f>
        <v>9.2999999999999972</v>
      </c>
      <c r="L36" s="2794" t="s">
        <v>2565</v>
      </c>
      <c r="M36" s="2794" t="s">
        <v>2566</v>
      </c>
    </row>
    <row r="37" spans="1:13">
      <c r="A37" s="2776" t="s">
        <v>2538</v>
      </c>
      <c r="B37" s="2777"/>
      <c r="C37" s="2777"/>
      <c r="D37" s="2777"/>
      <c r="E37" s="2777"/>
      <c r="F37" s="2777"/>
      <c r="G37" s="2778"/>
      <c r="I37" s="2794">
        <v>20</v>
      </c>
      <c r="J37" s="2794">
        <v>83.6</v>
      </c>
      <c r="K37" s="2794">
        <f t="shared" si="1"/>
        <v>7.2999999999999972</v>
      </c>
      <c r="L37" s="2794" t="s">
        <v>2564</v>
      </c>
      <c r="M37" s="2794">
        <v>10</v>
      </c>
    </row>
    <row r="38" spans="1:13">
      <c r="A38" s="2776" t="s">
        <v>2539</v>
      </c>
      <c r="B38" s="2777"/>
      <c r="C38" s="2777"/>
      <c r="D38" s="2777"/>
      <c r="E38" s="2777"/>
      <c r="F38" s="2777"/>
      <c r="G38" s="2778"/>
      <c r="I38" s="2794">
        <v>25</v>
      </c>
      <c r="J38" s="2794">
        <v>89.3</v>
      </c>
      <c r="K38" s="2794">
        <f t="shared" si="1"/>
        <v>5.7000000000000028</v>
      </c>
      <c r="L38" s="2794" t="s">
        <v>2568</v>
      </c>
      <c r="M38" s="2794">
        <v>8</v>
      </c>
    </row>
    <row r="39" spans="1:13">
      <c r="A39" s="2776"/>
      <c r="B39" s="2777"/>
      <c r="C39" s="2777"/>
      <c r="D39" s="2777"/>
      <c r="E39" s="2777"/>
      <c r="F39" s="2777"/>
      <c r="G39" s="2778"/>
      <c r="I39" s="2794">
        <v>30</v>
      </c>
      <c r="J39" s="2794">
        <v>93.8</v>
      </c>
      <c r="K39" s="2794">
        <f t="shared" si="1"/>
        <v>4.5</v>
      </c>
      <c r="L39" s="2794" t="s">
        <v>2569</v>
      </c>
      <c r="M39" s="2794">
        <v>6</v>
      </c>
    </row>
    <row r="40" spans="1:13">
      <c r="A40" s="2779" t="s">
        <v>2540</v>
      </c>
      <c r="B40" s="2780"/>
      <c r="C40" s="2780"/>
      <c r="D40" s="2780"/>
      <c r="E40" s="2780"/>
      <c r="F40" s="2780"/>
      <c r="G40" s="2781"/>
      <c r="I40" s="2794">
        <v>35</v>
      </c>
      <c r="J40" s="2794">
        <v>97.2</v>
      </c>
      <c r="K40" s="2794">
        <f t="shared" si="1"/>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1"/>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J46-J45</f>
        <v>5.0999999999999943</v>
      </c>
    </row>
    <row r="47" spans="1:13">
      <c r="I47" s="2794">
        <v>60</v>
      </c>
      <c r="J47" s="2794">
        <v>97.7</v>
      </c>
      <c r="K47" s="2794">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2" t="str">
        <f>IF(B10="北京市","北京市",C10)&amp;F10&amp;IF(结果表!G1="在建","出让国有建设用地使用权及在建建筑物",IF(结果表!G1="土地","出让国有建设用地使用权",))&amp;B9&amp;"预评估"</f>
        <v>北京市预评估</v>
      </c>
      <c r="C1" s="3233"/>
      <c r="D1" s="3233"/>
      <c r="E1" s="3233"/>
      <c r="F1" s="3233"/>
      <c r="G1" s="3233"/>
      <c r="H1" s="3233"/>
      <c r="I1" s="3234"/>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45288</v>
      </c>
      <c r="C3" s="2181" t="s">
        <v>2168</v>
      </c>
      <c r="D3" s="2180">
        <f>B3</f>
        <v>45288</v>
      </c>
      <c r="E3" s="3149">
        <v>43444</v>
      </c>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3149">
        <v>40658</v>
      </c>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3149">
        <f>I6-1.5*365+70*365</f>
        <v>65660.5</v>
      </c>
      <c r="J7" s="2240"/>
      <c r="K7" s="2396"/>
      <c r="L7" s="2393"/>
      <c r="M7" s="2393"/>
      <c r="N7" s="2240"/>
      <c r="O7" s="1668"/>
      <c r="P7" s="2240"/>
      <c r="Q7" s="2240"/>
      <c r="R7" s="2240"/>
    </row>
    <row r="8" spans="1:30">
      <c r="A8" s="2194" t="s">
        <v>2173</v>
      </c>
      <c r="B8" s="2195"/>
      <c r="C8" s="2196"/>
      <c r="D8" s="3235" t="s">
        <v>2174</v>
      </c>
      <c r="E8" s="2197"/>
      <c r="F8" s="2198"/>
      <c r="G8" s="2436"/>
      <c r="H8" s="2436"/>
      <c r="I8" s="2436">
        <f>(I7-B3)/365</f>
        <v>55.815068493150683</v>
      </c>
      <c r="J8" s="2240"/>
      <c r="K8" s="2394"/>
      <c r="L8" s="2393"/>
      <c r="M8" s="2393"/>
      <c r="N8" s="2240"/>
      <c r="O8" s="1668"/>
      <c r="P8" s="2240"/>
      <c r="Q8" s="2240"/>
      <c r="R8" s="2240"/>
    </row>
    <row r="9" spans="1:30" ht="13.5" thickBot="1">
      <c r="A9" s="2199" t="s">
        <v>2175</v>
      </c>
      <c r="B9" s="2200"/>
      <c r="C9" s="2201"/>
      <c r="D9" s="3236"/>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6"/>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5" t="s">
        <v>2574</v>
      </c>
      <c r="J12" s="2797"/>
      <c r="K12" s="2393"/>
      <c r="L12" s="2393"/>
      <c r="M12" s="2240"/>
      <c r="N12" s="1668"/>
      <c r="O12" s="2240"/>
      <c r="P12" s="2240"/>
      <c r="Q12" s="2240"/>
      <c r="AD12" s="1616"/>
    </row>
    <row r="13" spans="1:30">
      <c r="A13" s="3116" t="s">
        <v>3332</v>
      </c>
      <c r="B13" s="2213" t="s">
        <v>2187</v>
      </c>
      <c r="C13" s="802">
        <f>E3+365*70</f>
        <v>68994</v>
      </c>
      <c r="D13" s="802"/>
      <c r="E13" s="802"/>
      <c r="F13" s="802"/>
      <c r="G13" s="802"/>
      <c r="H13" s="802"/>
      <c r="I13" s="802"/>
      <c r="J13" s="2797"/>
      <c r="K13" s="2393"/>
      <c r="L13" s="2393"/>
      <c r="M13" s="2240"/>
      <c r="N13" s="1668"/>
      <c r="O13" s="2240"/>
      <c r="P13" s="2240"/>
      <c r="Q13" s="2240"/>
      <c r="AD13" s="1616"/>
    </row>
    <row r="14" spans="1:30">
      <c r="A14" s="1017"/>
      <c r="B14" s="2213" t="s">
        <v>2188</v>
      </c>
      <c r="C14" s="2214">
        <v>70</v>
      </c>
      <c r="D14" s="2214"/>
      <c r="E14" s="2214"/>
      <c r="F14" s="2214"/>
      <c r="G14" s="2214"/>
      <c r="H14" s="2214"/>
      <c r="I14" s="2214"/>
      <c r="J14" s="2798"/>
      <c r="K14" s="2393"/>
      <c r="L14" s="2393"/>
      <c r="M14" s="2240"/>
      <c r="N14" s="1668"/>
      <c r="O14" s="2240"/>
      <c r="P14" s="2240"/>
      <c r="Q14" s="2240"/>
      <c r="AD14" s="1616"/>
    </row>
    <row r="15" spans="1:30">
      <c r="A15" s="311"/>
      <c r="B15" s="2215" t="s">
        <v>2189</v>
      </c>
      <c r="C15" s="2216">
        <f>IF(A13="出让",IF(C13="","",ROUNDDOWN(MIN((C13-$D$3)/365,C14),2)),C14)</f>
        <v>64.94</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8"/>
      <c r="L15" s="1668"/>
      <c r="M15" s="2240"/>
      <c r="N15" s="1668"/>
      <c r="O15" s="2240"/>
      <c r="P15" s="2240"/>
      <c r="Q15" s="2240"/>
      <c r="AD15" s="1616"/>
    </row>
    <row r="16" spans="1:30">
      <c r="A16" s="2206" t="s">
        <v>2190</v>
      </c>
      <c r="B16" s="3242"/>
      <c r="C16" s="3243"/>
      <c r="D16" s="3244"/>
      <c r="E16" s="2217" t="s">
        <v>2191</v>
      </c>
      <c r="F16" s="3245"/>
      <c r="G16" s="3246"/>
      <c r="H16" s="3246"/>
      <c r="I16" s="3247"/>
      <c r="J16" s="2240"/>
      <c r="K16" s="2397"/>
      <c r="L16" s="1668"/>
      <c r="M16" s="1668"/>
      <c r="N16" s="2240"/>
      <c r="O16" s="1668"/>
      <c r="P16" s="2240"/>
      <c r="Q16" s="2240"/>
      <c r="R16" s="2240"/>
    </row>
    <row r="17" spans="1:28">
      <c r="A17" s="304" t="s">
        <v>2192</v>
      </c>
      <c r="B17" s="293" t="s">
        <v>2193</v>
      </c>
      <c r="C17" s="8">
        <f>'数据-汇总表'!E3</f>
        <v>45.34</v>
      </c>
      <c r="D17" s="1254" t="s">
        <v>2194</v>
      </c>
      <c r="E17" s="3248" t="s">
        <v>2195</v>
      </c>
      <c r="F17" s="3249"/>
      <c r="G17" s="3249"/>
      <c r="H17" s="3249"/>
      <c r="I17" s="3250"/>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1" t="s">
        <v>2199</v>
      </c>
      <c r="F18" s="3252"/>
      <c r="G18" s="3252"/>
      <c r="H18" s="3252"/>
      <c r="I18" s="3253"/>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8" t="s">
        <v>2203</v>
      </c>
      <c r="C20" s="3239"/>
      <c r="D20" s="3240" t="s">
        <v>2204</v>
      </c>
      <c r="E20" s="3241"/>
      <c r="F20" s="2424" t="s">
        <v>1056</v>
      </c>
      <c r="G20" s="2436"/>
      <c r="H20" s="2436"/>
      <c r="I20" s="2436"/>
      <c r="J20" s="2240"/>
      <c r="K20" s="3237"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5"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5"/>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5"/>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6"/>
      <c r="B30" s="293" t="s">
        <v>2215</v>
      </c>
      <c r="C30" s="3257"/>
      <c r="D30" s="3258"/>
      <c r="E30" s="2436"/>
      <c r="F30" s="2436"/>
      <c r="G30" s="2436"/>
      <c r="H30" s="2436"/>
      <c r="I30" s="2436"/>
      <c r="J30" s="2240"/>
      <c r="K30" s="2396"/>
      <c r="L30" s="2393"/>
      <c r="M30" s="2393"/>
      <c r="N30" s="2240"/>
      <c r="O30" s="1668"/>
      <c r="P30" s="2240"/>
      <c r="Q30" s="2240"/>
      <c r="R30" s="2240"/>
      <c r="S30" s="2240"/>
      <c r="T30" s="2240"/>
      <c r="U30" s="2240"/>
      <c r="V30" s="2240"/>
    </row>
    <row r="31" spans="1:28">
      <c r="A31" s="3259"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0"/>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0"/>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4" t="s">
        <v>2225</v>
      </c>
      <c r="T34" s="314" t="str">
        <f>NUMBERSTRING(7-K34,1)&amp;"通"</f>
        <v>七通</v>
      </c>
      <c r="U34" s="2240"/>
      <c r="V34" s="2240"/>
    </row>
    <row r="35" spans="1:30">
      <c r="A35" s="2231"/>
      <c r="B35" s="3254" t="s">
        <v>2226</v>
      </c>
      <c r="C35" s="3254"/>
      <c r="D35" s="3254"/>
      <c r="E35" s="3254"/>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4"/>
      <c r="T35" s="137" t="str">
        <f>IF(T34="一通",L35,IF(T34="二通",M35,IF(T34="三通",N35,IF(T34="四通",O35,IF(T34="五通",P35,IF(T34="六通",Q35,R35))))))</f>
        <v>、、、、、、</v>
      </c>
      <c r="U35" s="2240"/>
      <c r="V35" s="2240"/>
    </row>
    <row r="36" spans="1:30">
      <c r="A36" s="2178"/>
      <c r="B36" s="8" t="s">
        <v>2182</v>
      </c>
      <c r="C36" s="8" t="s">
        <v>2183</v>
      </c>
      <c r="D36" s="8" t="s">
        <v>2181</v>
      </c>
      <c r="E36" s="8" t="s">
        <v>2186</v>
      </c>
      <c r="F36" s="2795"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45.34</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45.34</v>
      </c>
      <c r="H5" s="13">
        <f t="shared" ref="H5:AT5" si="0">SUM(H13:H656)</f>
        <v>45.34</v>
      </c>
      <c r="I5" s="13">
        <f t="shared" si="0"/>
        <v>45.34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45.34</v>
      </c>
      <c r="BA5" s="15">
        <f t="shared" si="1"/>
        <v>45.34</v>
      </c>
      <c r="BB5" s="15">
        <f t="shared" si="1"/>
        <v>45.34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3423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LOFT住宅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45.34</v>
      </c>
      <c r="H13" s="17">
        <f>SUMIF(I$12:AB$12,"总值",I13:AB13)</f>
        <v>45.34</v>
      </c>
      <c r="I13" s="1512">
        <v>45.34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45.34</v>
      </c>
      <c r="BA13" s="13">
        <f>SUM(BB13:BK13)</f>
        <v>45.34</v>
      </c>
      <c r="BB13" s="13">
        <f>IF($D13="是",I13-J13,0)</f>
        <v>45.34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0" t="s">
        <v>1131</v>
      </c>
      <c r="B2" s="3270"/>
      <c r="C2" s="3270"/>
      <c r="D2" s="747" t="s">
        <v>1107</v>
      </c>
      <c r="E2" s="1521" t="s">
        <v>1108</v>
      </c>
      <c r="F2" s="2433"/>
      <c r="G2" s="2426"/>
      <c r="H2" s="2427"/>
      <c r="I2" s="2141" t="s">
        <v>1132</v>
      </c>
      <c r="J2" s="2433"/>
      <c r="K2" s="2433"/>
      <c r="L2" s="2433"/>
      <c r="M2" s="2433"/>
      <c r="N2" s="2434"/>
      <c r="O2" s="2433"/>
      <c r="P2" s="2433"/>
    </row>
    <row r="3" spans="1:16" ht="15.75" thickBot="1">
      <c r="A3" s="3271" t="s">
        <v>1105</v>
      </c>
      <c r="B3" s="3271"/>
      <c r="C3" s="3271"/>
      <c r="D3" s="41">
        <f>'数据-基础表'!AY6</f>
        <v>0</v>
      </c>
      <c r="E3" s="41">
        <f>'数据-基础表'!AZ5</f>
        <v>45.34</v>
      </c>
      <c r="F3" s="2433"/>
      <c r="G3" s="42"/>
      <c r="H3" s="43" t="s">
        <v>1106</v>
      </c>
      <c r="I3" s="801" t="e">
        <f>ROUND('数据-基础表'!B3/'数据-基础表'!A3,2)</f>
        <v>#DIV/0!</v>
      </c>
      <c r="J3" s="2433"/>
      <c r="K3" s="2433"/>
      <c r="L3" s="2433"/>
      <c r="M3" s="2433"/>
      <c r="N3" s="2434"/>
      <c r="O3" s="2433"/>
      <c r="P3" s="2433"/>
    </row>
    <row r="4" spans="1:16" ht="15">
      <c r="A4" s="3272"/>
      <c r="B4" s="3273"/>
      <c r="C4" s="3274"/>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5" t="s">
        <v>1110</v>
      </c>
      <c r="C5" s="3275"/>
      <c r="D5" s="43">
        <f>ROUND($D$3*E5/$E$3,2)</f>
        <v>0</v>
      </c>
      <c r="E5" s="44">
        <f>SUMIF('数据-基础表'!$11:$11,"住宅",'数据-基础表'!$5:$5)</f>
        <v>45.34</v>
      </c>
      <c r="F5" s="2433"/>
      <c r="G5" s="42"/>
      <c r="H5" s="43" t="s">
        <v>1106</v>
      </c>
      <c r="I5" s="801" t="e">
        <f>ROUND(E31/D31,2)</f>
        <v>#DIV/0!</v>
      </c>
      <c r="J5" s="2433"/>
      <c r="K5" s="2433"/>
      <c r="L5" s="2433"/>
      <c r="M5" s="2433"/>
      <c r="N5" s="2433"/>
      <c r="O5" s="2433"/>
      <c r="P5" s="2433"/>
    </row>
    <row r="6" spans="1:16" ht="15" thickBot="1">
      <c r="A6" s="1525"/>
      <c r="B6" s="3275" t="s">
        <v>1111</v>
      </c>
      <c r="C6" s="3275"/>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7"/>
      <c r="B7" s="3268"/>
      <c r="C7" s="3269"/>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45.34</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45.34</v>
      </c>
      <c r="F16" s="2433"/>
      <c r="G16" s="2433"/>
      <c r="H16" s="1529" t="s">
        <v>1135</v>
      </c>
      <c r="I16" s="1530"/>
      <c r="J16" s="1070"/>
      <c r="K16" s="3264" t="s">
        <v>1135</v>
      </c>
      <c r="L16" s="3265"/>
      <c r="M16" s="3265"/>
      <c r="N16" s="3265"/>
      <c r="O16" s="3265"/>
      <c r="P16" s="3266"/>
    </row>
    <row r="17" spans="1:19" ht="15">
      <c r="A17" s="1531" t="s">
        <v>1136</v>
      </c>
      <c r="B17" s="1532" t="s">
        <v>1137</v>
      </c>
      <c r="C17" s="1533" t="s">
        <v>1138</v>
      </c>
      <c r="D17" s="1534" t="s">
        <v>1126</v>
      </c>
      <c r="E17" s="1535" t="s">
        <v>1127</v>
      </c>
      <c r="F17" s="1536"/>
      <c r="G17" s="1537"/>
      <c r="H17" s="1538" t="s">
        <v>1139</v>
      </c>
      <c r="I17" s="1539" t="s">
        <v>1124</v>
      </c>
      <c r="J17" s="1070"/>
      <c r="K17" s="3261" t="s">
        <v>1140</v>
      </c>
      <c r="L17" s="3262"/>
      <c r="M17" s="3263"/>
      <c r="N17" s="3261" t="s">
        <v>1141</v>
      </c>
      <c r="O17" s="3262"/>
      <c r="P17" s="3263"/>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10" t="s">
        <v>3387</v>
      </c>
      <c r="D19" s="43">
        <f>ROUND($D$3*E19/$E$3,2)</f>
        <v>0</v>
      </c>
      <c r="E19" s="51">
        <f t="shared" ref="E19:E26" si="1">SUM(F19:G19)</f>
        <v>45.34</v>
      </c>
      <c r="F19" s="2552">
        <f>'数据-基础表'!I13</f>
        <v>45.34</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45.34</v>
      </c>
    </row>
    <row r="20" spans="1:19">
      <c r="A20" s="1547"/>
      <c r="B20" s="45" t="s">
        <v>1153</v>
      </c>
      <c r="C20" s="3110"/>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0"/>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1"/>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1"/>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1"/>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1"/>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45.34</v>
      </c>
      <c r="F27" s="1071">
        <f>IF(SUM(F19:F26)=E8,SUM(F19:F26),"地上面积有误")</f>
        <v>45.34</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45.34</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45.34</v>
      </c>
      <c r="F31" s="643">
        <f>F27+F30</f>
        <v>45.34</v>
      </c>
      <c r="G31" s="644">
        <f>G27+G30</f>
        <v>0</v>
      </c>
      <c r="H31" s="2433"/>
      <c r="I31" s="2433"/>
      <c r="J31" s="2433"/>
      <c r="K31" s="2433"/>
      <c r="L31" s="2433"/>
      <c r="M31" s="2433"/>
      <c r="N31" s="2433"/>
      <c r="O31" s="2433"/>
      <c r="P31" s="2433"/>
    </row>
    <row r="32" spans="1:19">
      <c r="A32" s="1524"/>
      <c r="B32" s="1524" t="s">
        <v>1159</v>
      </c>
      <c r="C32" s="1524"/>
      <c r="D32" s="1524"/>
      <c r="E32" s="989">
        <f>SUMIF(C19:C26,"*住宅*",E19:E26)</f>
        <v>45.34</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45288</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68994</v>
      </c>
      <c r="F6" s="61">
        <f>SUMIF(项目基本情况!C$12:I$12,C6,项目基本情况!C$15:I$15)</f>
        <v>64.94</v>
      </c>
      <c r="G6" s="62">
        <f t="shared" ref="G6:G13" si="0">IF(ISERROR(ROUND(POWER(1+H6,D6-F6)*(POWER(1+H6,F6)-1)/(POWER(1+H6,D6)-1),3)),0,ROUND(POWER(1+H6,D6-F6)*(POWER(1+H6,F6)-1)/(POWER(1+H6,D6)-1),3))</f>
        <v>0.98799999999999999</v>
      </c>
      <c r="H6" s="690">
        <v>4.4999999999999998E-2</v>
      </c>
      <c r="I6" s="690">
        <v>0.05</v>
      </c>
      <c r="J6" s="63">
        <v>0.06</v>
      </c>
      <c r="K6" s="969">
        <f>SUMIF('数据-汇总表'!C$19:C$33,A6,'数据-汇总表'!E$19:E$33)</f>
        <v>45.34</v>
      </c>
      <c r="L6" s="3185">
        <v>3500</v>
      </c>
      <c r="M6" s="64">
        <f t="shared" ref="M6:M14" si="1">ROUND(K6*L6/10000,0)</f>
        <v>16</v>
      </c>
      <c r="N6" s="689">
        <v>0.7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21">
        <v>6000</v>
      </c>
      <c r="V6" s="67">
        <v>0.03</v>
      </c>
      <c r="W6" s="67">
        <v>0.05</v>
      </c>
      <c r="X6" s="978"/>
      <c r="Y6" s="68">
        <f>N6</f>
        <v>0.7</v>
      </c>
      <c r="Z6" s="69"/>
      <c r="AA6" s="63"/>
      <c r="AB6" s="63"/>
      <c r="AC6" s="978"/>
      <c r="AD6" s="70"/>
      <c r="AE6" s="979">
        <f ca="1">IF(AN6="",0,SUMIF(INDIRECT("'"&amp;AN6&amp;"'"&amp;"!E:E"),$AE$5,INDIRECT("'"&amp;AN6&amp;"'"&amp;"!F:F")))</f>
        <v>64.94</v>
      </c>
      <c r="AF6" s="74"/>
      <c r="AG6" s="129">
        <f>IF(AF6="",0,AE6-AF6)</f>
        <v>0</v>
      </c>
      <c r="AH6" s="71">
        <v>1</v>
      </c>
      <c r="AI6" s="73">
        <v>12</v>
      </c>
      <c r="AJ6" s="74"/>
      <c r="AK6" s="75">
        <v>1.4999999999999999E-2</v>
      </c>
      <c r="AL6" s="76">
        <v>1.5E-3</v>
      </c>
      <c r="AM6" s="77">
        <v>0.01</v>
      </c>
      <c r="AN6" s="1587" t="s">
        <v>3394</v>
      </c>
      <c r="AO6" s="50">
        <f ca="1">SUMIF(INDIRECT("'"&amp;AN6&amp;"'"&amp;"!A:A"),"总价",INDIRECT("'"&amp;AN6&amp;"'"&amp;"!B:B"))</f>
        <v>220.9204</v>
      </c>
      <c r="AP6" s="1588">
        <f>IF(C6="住宅",K6*L6,0)</f>
        <v>158690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0.98799999999999999</v>
      </c>
      <c r="H16" s="84">
        <f>ROUND(SUMPRODUCT(H6:H13,K6:K13)/SUMPRODUCT((H6:H13&gt;0)*(K6:K13)),3)</f>
        <v>4.4999999999999998E-2</v>
      </c>
      <c r="I16" s="85"/>
      <c r="J16" s="85"/>
      <c r="K16" s="86">
        <f>SUM(K6:K15)</f>
        <v>45.34</v>
      </c>
      <c r="L16" s="87">
        <f>ROUND(M16*10000/SUM(K6:K14),0)</f>
        <v>3529</v>
      </c>
      <c r="M16" s="87">
        <f>SUM(M6:M14)</f>
        <v>16</v>
      </c>
      <c r="N16" s="88">
        <f>ROUND(SUMPRODUCT(M6:M14,N6:N14)/M16,3)</f>
        <v>0.7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50">
        <v>1989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6">
        <v>2</v>
      </c>
      <c r="C20" s="2556" t="s">
        <v>2298</v>
      </c>
      <c r="D20" s="2446"/>
      <c r="E20" s="2433"/>
      <c r="F20" s="2433"/>
      <c r="G20" s="2433"/>
      <c r="H20" s="2433"/>
      <c r="I20" s="2433"/>
      <c r="J20" s="2433"/>
      <c r="K20" s="2444"/>
      <c r="L20" s="2444"/>
      <c r="M20" s="3150">
        <f>2023-M19</f>
        <v>34</v>
      </c>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6">
        <f>B20</f>
        <v>2</v>
      </c>
      <c r="C21" s="2433"/>
      <c r="D21" s="2446"/>
      <c r="E21" s="2433"/>
      <c r="F21" s="2433"/>
      <c r="G21" s="2433"/>
      <c r="H21" s="2433"/>
      <c r="I21" s="2433"/>
      <c r="J21" s="2433"/>
      <c r="K21" s="2444"/>
      <c r="L21" s="2444"/>
      <c r="M21" s="3151">
        <f>1-(M20)/60</f>
        <v>0.43333333333333335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2">
        <v>0.9</v>
      </c>
      <c r="N22" s="3140">
        <f>ROUND(AVERAGE(M21:M22),3)</f>
        <v>0.66700000000000004</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7254</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8" t="s">
        <v>3389</v>
      </c>
      <c r="B40" s="1014">
        <f ca="1">IF(A40="利息：取LPR",存贷款利率!G1,存贷款利率!G1+C40)</f>
        <v>4.7500000000000001E-2</v>
      </c>
      <c r="C40" s="256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6" t="s">
        <v>2281</v>
      </c>
      <c r="B1" s="3277"/>
      <c r="C1" s="3277"/>
      <c r="D1" s="3277"/>
      <c r="E1" s="3277"/>
      <c r="F1" s="3277"/>
      <c r="G1" s="327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5" t="s">
        <v>3486</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6" t="s">
        <v>3473</v>
      </c>
      <c r="D6" s="2260"/>
      <c r="E6" s="2264"/>
      <c r="F6" s="314" t="s">
        <v>2260</v>
      </c>
      <c r="G6" s="2265" t="s">
        <v>2261</v>
      </c>
      <c r="H6" s="750"/>
      <c r="I6" s="750"/>
      <c r="J6" s="750"/>
      <c r="K6" s="750"/>
      <c r="L6" s="750"/>
      <c r="M6" s="750"/>
      <c r="N6" s="750"/>
      <c r="O6" s="750"/>
      <c r="P6" s="750"/>
      <c r="Q6" s="750"/>
    </row>
    <row r="7" spans="1:29" ht="156.75" thickBot="1">
      <c r="A7" s="2243"/>
      <c r="B7" s="314" t="s">
        <v>2257</v>
      </c>
      <c r="C7" s="3156" t="s">
        <v>3475</v>
      </c>
      <c r="D7" s="2240"/>
      <c r="E7" s="2266"/>
      <c r="F7" s="2267" t="s">
        <v>2262</v>
      </c>
      <c r="G7" s="2268" t="s">
        <v>2263</v>
      </c>
      <c r="H7" s="750"/>
      <c r="I7" s="750"/>
      <c r="J7" s="750"/>
      <c r="K7" s="750"/>
      <c r="L7" s="750"/>
      <c r="M7" s="750"/>
      <c r="N7" s="750"/>
      <c r="O7" s="750"/>
      <c r="P7" s="750"/>
      <c r="Q7" s="750"/>
    </row>
    <row r="8" spans="1:29">
      <c r="A8" s="2243"/>
      <c r="B8" s="314" t="s">
        <v>2260</v>
      </c>
      <c r="C8" s="3156" t="s">
        <v>3459</v>
      </c>
      <c r="D8" s="2240"/>
      <c r="E8" s="2240"/>
      <c r="F8" s="120"/>
      <c r="G8" s="120"/>
      <c r="H8" s="750"/>
      <c r="I8" s="750"/>
      <c r="J8" s="750"/>
      <c r="K8" s="750"/>
      <c r="L8" s="750"/>
      <c r="M8" s="750"/>
      <c r="N8" s="750"/>
      <c r="O8" s="750"/>
      <c r="P8" s="750"/>
      <c r="Q8" s="750"/>
    </row>
    <row r="9" spans="1:29" ht="60">
      <c r="A9" s="2243"/>
      <c r="B9" s="314" t="s">
        <v>2264</v>
      </c>
      <c r="C9" s="3159" t="s">
        <v>3474</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周边有胜古誉园、安华里、安华西里、安贞西里等住宅小区，居住社区成熟度较好。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周边有300路、302路、328路、361路等多条公交线路及地铁8号线与10号线换乘站北土城站，综合评价交通便捷度较好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自然环境：柳荫公园、土城沟水系等自然水系景观；
人文环境：西黄寺、元大都城垣遗址公园等人文场所；
综合评价环境状况较好。</v>
      </c>
      <c r="D20" s="2240"/>
      <c r="E20" s="2248"/>
      <c r="F20" s="314" t="s">
        <v>2260</v>
      </c>
      <c r="G20" s="2288" t="str">
        <f>G6</f>
        <v>估价对象所在区域基础设施水平</v>
      </c>
    </row>
    <row r="21" spans="1:17" ht="165.75">
      <c r="A21" s="2247"/>
      <c r="B21" s="314" t="s">
        <v>2257</v>
      </c>
      <c r="C21" s="2288" t="str">
        <f>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45.34</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45288</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360.38499999999999</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1"/>
      <c r="F10" s="3135" t="s">
        <v>3358</v>
      </c>
      <c r="G10" s="3132"/>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45.34</v>
      </c>
      <c r="C14" s="2300"/>
      <c r="D14" s="2300">
        <f ca="1">ROUND(E14*B14/10000,4)</f>
        <v>360.38499999999999</v>
      </c>
      <c r="E14" s="2300">
        <f ca="1">结果表!G20</f>
        <v>79485</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5" t="str">
        <f>项目基本情况!S2</f>
        <v>北京市房地产</v>
      </c>
      <c r="B2" s="3346"/>
      <c r="C2" s="3346"/>
      <c r="D2" s="3346"/>
      <c r="E2" s="3346"/>
      <c r="F2" s="3346"/>
      <c r="G2" s="3346"/>
      <c r="H2" s="3346"/>
      <c r="I2" s="3347"/>
    </row>
    <row r="3" spans="1:12" ht="12.75">
      <c r="A3" s="3349" t="s">
        <v>1264</v>
      </c>
      <c r="B3" s="3350"/>
      <c r="C3" s="3350"/>
      <c r="D3" s="3350"/>
      <c r="E3" s="3350"/>
      <c r="F3" s="3350"/>
      <c r="G3" s="3350"/>
      <c r="H3" s="3350"/>
      <c r="I3" s="3350"/>
    </row>
    <row r="4" spans="1:12" ht="14.25">
      <c r="A4" s="1622" t="s">
        <v>1265</v>
      </c>
      <c r="B4" s="1623" t="s">
        <v>1266</v>
      </c>
      <c r="C4" s="1624" t="s">
        <v>3394</v>
      </c>
      <c r="D4" s="1624" t="s">
        <v>3399</v>
      </c>
      <c r="E4" s="3354" t="s">
        <v>1267</v>
      </c>
      <c r="F4" s="3355"/>
      <c r="G4" s="3355"/>
      <c r="H4" s="3355"/>
      <c r="I4" s="3356"/>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3" t="s">
        <v>1268</v>
      </c>
      <c r="B5" s="3348">
        <v>25</v>
      </c>
      <c r="C5" s="3351"/>
      <c r="D5" s="3339"/>
      <c r="E5" s="122" t="s">
        <v>1269</v>
      </c>
      <c r="F5" s="1625"/>
      <c r="G5" s="1625"/>
      <c r="H5" s="1625"/>
      <c r="I5" s="1279"/>
    </row>
    <row r="6" spans="1:12" ht="12.75">
      <c r="A6" s="3293"/>
      <c r="B6" s="3348"/>
      <c r="C6" s="3353"/>
      <c r="D6" s="3339"/>
      <c r="E6" s="122" t="s">
        <v>1270</v>
      </c>
      <c r="F6" s="1625"/>
      <c r="G6" s="1625"/>
      <c r="H6" s="1625"/>
      <c r="I6" s="1279"/>
    </row>
    <row r="7" spans="1:12" ht="12.75">
      <c r="A7" s="3293"/>
      <c r="B7" s="3348"/>
      <c r="C7" s="3352"/>
      <c r="D7" s="3339"/>
      <c r="E7" s="122" t="s">
        <v>1271</v>
      </c>
      <c r="F7" s="1625"/>
      <c r="G7" s="1625"/>
      <c r="H7" s="1625"/>
      <c r="I7" s="1279"/>
    </row>
    <row r="8" spans="1:12" ht="12.75">
      <c r="A8" s="3293" t="s">
        <v>1272</v>
      </c>
      <c r="B8" s="3348">
        <v>15</v>
      </c>
      <c r="C8" s="3351"/>
      <c r="D8" s="3339"/>
      <c r="E8" s="122" t="s">
        <v>1273</v>
      </c>
      <c r="F8" s="1625"/>
      <c r="G8" s="1625"/>
      <c r="H8" s="1625"/>
      <c r="I8" s="1279"/>
    </row>
    <row r="9" spans="1:12" ht="12.75">
      <c r="A9" s="3293"/>
      <c r="B9" s="3348"/>
      <c r="C9" s="3352"/>
      <c r="D9" s="3339"/>
      <c r="E9" s="122" t="s">
        <v>1274</v>
      </c>
      <c r="F9" s="1625"/>
      <c r="G9" s="1625"/>
      <c r="H9" s="1625"/>
      <c r="I9" s="1279"/>
    </row>
    <row r="10" spans="1:12" ht="12.75">
      <c r="A10" s="3293" t="s">
        <v>1275</v>
      </c>
      <c r="B10" s="3348">
        <v>15</v>
      </c>
      <c r="C10" s="3351"/>
      <c r="D10" s="3339"/>
      <c r="E10" s="122" t="s">
        <v>1276</v>
      </c>
      <c r="F10" s="1625"/>
      <c r="G10" s="1625"/>
      <c r="H10" s="1625"/>
      <c r="I10" s="1279"/>
    </row>
    <row r="11" spans="1:12" ht="12.75">
      <c r="A11" s="3293"/>
      <c r="B11" s="3348"/>
      <c r="C11" s="3352"/>
      <c r="D11" s="3339"/>
      <c r="E11" s="122" t="s">
        <v>1277</v>
      </c>
      <c r="F11" s="1625"/>
      <c r="G11" s="1625"/>
      <c r="H11" s="1625"/>
      <c r="I11" s="1279"/>
    </row>
    <row r="12" spans="1:12" ht="12.75">
      <c r="A12" s="3293" t="s">
        <v>1278</v>
      </c>
      <c r="B12" s="3348">
        <v>15</v>
      </c>
      <c r="C12" s="3351"/>
      <c r="D12" s="3339"/>
      <c r="E12" s="122" t="s">
        <v>1279</v>
      </c>
      <c r="F12" s="1625"/>
      <c r="G12" s="1625"/>
      <c r="H12" s="1625"/>
      <c r="I12" s="1279"/>
    </row>
    <row r="13" spans="1:12" ht="12.75">
      <c r="A13" s="3293"/>
      <c r="B13" s="3348"/>
      <c r="C13" s="3352"/>
      <c r="D13" s="3339"/>
      <c r="E13" s="122" t="s">
        <v>1280</v>
      </c>
      <c r="F13" s="1625"/>
      <c r="G13" s="1625"/>
      <c r="H13" s="1625"/>
      <c r="I13" s="1279"/>
    </row>
    <row r="14" spans="1:12" ht="12.75">
      <c r="A14" s="3293" t="s">
        <v>1281</v>
      </c>
      <c r="B14" s="3348">
        <v>30</v>
      </c>
      <c r="C14" s="3351">
        <v>2</v>
      </c>
      <c r="D14" s="3339">
        <f>10-C14</f>
        <v>8</v>
      </c>
      <c r="E14" s="122" t="s">
        <v>1282</v>
      </c>
      <c r="F14" s="1625"/>
      <c r="G14" s="1625"/>
      <c r="H14" s="1625"/>
      <c r="I14" s="1279"/>
    </row>
    <row r="15" spans="1:12" ht="12.75">
      <c r="A15" s="3293"/>
      <c r="B15" s="3348"/>
      <c r="C15" s="3353"/>
      <c r="D15" s="3339"/>
      <c r="E15" s="122" t="s">
        <v>1283</v>
      </c>
      <c r="F15" s="1625"/>
      <c r="G15" s="1625"/>
      <c r="H15" s="1625"/>
      <c r="I15" s="1279"/>
    </row>
    <row r="16" spans="1:12" ht="12.75">
      <c r="A16" s="3293"/>
      <c r="B16" s="3348"/>
      <c r="C16" s="3352"/>
      <c r="D16" s="3339"/>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0" t="s">
        <v>2128</v>
      </c>
      <c r="F18" s="3371"/>
      <c r="G18" s="3371"/>
      <c r="H18" s="3371"/>
      <c r="I18" s="3371"/>
      <c r="K18" s="293" t="s">
        <v>1289</v>
      </c>
      <c r="L18" s="293">
        <f>IF(C1="",'数据-汇总表'!E3,SUMIF(项目类型,C1,'数据-汇总表'!E17:E26)+SUMIF(项目类型,C1,'数据-汇总表'!I17:I26))</f>
        <v>45.34</v>
      </c>
      <c r="M18" s="293">
        <f>IF(C1="",'数据-汇总表'!E3,SUMIF(项目类型,C1,'数据-汇总表'!E17:E26))</f>
        <v>45.34</v>
      </c>
    </row>
    <row r="19" spans="1:36" ht="15">
      <c r="A19" s="1628" t="s">
        <v>1290</v>
      </c>
      <c r="B19" s="1629" t="s">
        <v>1291</v>
      </c>
      <c r="C19" s="125">
        <f ca="1">SUMIF(INDIRECT("'"&amp;C4&amp;"'"&amp;"!A:A"),结果表!B19,INDIRECT("'"&amp;C4&amp;"'"&amp;"!B:B"))</f>
        <v>220.9204</v>
      </c>
      <c r="D19" s="126">
        <f ca="1">SUMIF(INDIRECT("'"&amp;D4&amp;"'"&amp;"!A:A"),结果表!B19,INDIRECT("'"&amp;D4&amp;"'"&amp;"!B:B"))</f>
        <v>395.25150000000002</v>
      </c>
      <c r="E19" s="1628" t="s">
        <v>1292</v>
      </c>
      <c r="F19" s="1629" t="s">
        <v>1291</v>
      </c>
      <c r="G19" s="3164">
        <f ca="1">ROUND((G20*'数据-基础表'!I13)/10000,4)</f>
        <v>360.38499999999999</v>
      </c>
      <c r="H19" s="1630" t="s">
        <v>1293</v>
      </c>
      <c r="I19" s="120">
        <f ca="1">G20*69.1/10000</f>
        <v>549.24135000000001</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48725</v>
      </c>
      <c r="D20" s="129">
        <f ca="1">SUMIF(INDIRECT("'"&amp;D4&amp;"'"&amp;"!A:A"),结果表!B20,INDIRECT("'"&amp;D4&amp;"'"&amp;"!B:B"))</f>
        <v>87175</v>
      </c>
      <c r="E20" s="1631"/>
      <c r="F20" s="43" t="s">
        <v>1295</v>
      </c>
      <c r="G20" s="130">
        <f ca="1">ROUND(C20*$C$18+D20*$D$18,0)</f>
        <v>79485</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0.78911273019603456</v>
      </c>
      <c r="E22" s="120"/>
      <c r="F22" s="120"/>
      <c r="G22" s="120"/>
      <c r="H22" s="120"/>
      <c r="I22" s="120"/>
    </row>
    <row r="23" spans="1:36" ht="13.5" thickBot="1">
      <c r="A23" s="645"/>
      <c r="B23" s="645"/>
      <c r="C23" s="645"/>
      <c r="D23" s="645"/>
      <c r="E23" s="120"/>
      <c r="F23" s="120"/>
      <c r="G23" s="120"/>
      <c r="H23" s="120"/>
      <c r="I23" s="120"/>
    </row>
    <row r="24" spans="1:36" ht="14.25">
      <c r="A24" s="3363" t="s">
        <v>1299</v>
      </c>
      <c r="B24" s="1629" t="s">
        <v>1291</v>
      </c>
      <c r="C24" s="127">
        <f>IF(B30=0,0,D30)</f>
        <v>0</v>
      </c>
      <c r="D24" s="1635"/>
      <c r="E24" s="120"/>
      <c r="F24" s="120"/>
      <c r="G24" s="120">
        <f ca="1">系统读取表!D14</f>
        <v>360.38499999999999</v>
      </c>
      <c r="H24" s="120"/>
      <c r="I24" s="120"/>
    </row>
    <row r="25" spans="1:36" ht="14.25">
      <c r="A25" s="3364"/>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8" t="s">
        <v>3453</v>
      </c>
      <c r="B27" s="133">
        <f>'数据-基础表'!I13</f>
        <v>45.34</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79485</v>
      </c>
      <c r="D30" s="3169">
        <f ca="1">ROUND((G19*10000-D27)/10000,4)</f>
        <v>360.38499999999999</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79485</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0" t="s">
        <v>1312</v>
      </c>
      <c r="B36" s="1650" t="s">
        <v>1313</v>
      </c>
      <c r="C36" s="136"/>
      <c r="D36" s="1651"/>
      <c r="E36" s="1565"/>
      <c r="F36" s="1652"/>
      <c r="G36" s="120"/>
      <c r="H36" s="120"/>
      <c r="I36" s="120"/>
    </row>
    <row r="37" spans="1:15" ht="15.75" thickBot="1">
      <c r="A37" s="3341"/>
      <c r="B37" s="1553" t="s">
        <v>1314</v>
      </c>
      <c r="C37" s="138"/>
      <c r="D37" s="1070"/>
      <c r="E37" s="1070"/>
      <c r="F37" s="1652"/>
      <c r="G37" s="120"/>
      <c r="H37" s="120"/>
      <c r="I37" s="120"/>
    </row>
    <row r="38" spans="1:15" ht="15.75" thickBot="1">
      <c r="A38" s="3342"/>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0" t="s">
        <v>1326</v>
      </c>
      <c r="B45" s="3361"/>
      <c r="C45" s="3362"/>
      <c r="D45" s="146" t="e">
        <f ca="1">ROUND(H101*F45,0)</f>
        <v>#REF!</v>
      </c>
      <c r="E45" s="147" t="s">
        <v>1327</v>
      </c>
      <c r="F45" s="148">
        <v>1</v>
      </c>
      <c r="G45" s="149" t="s">
        <v>1328</v>
      </c>
      <c r="H45" s="120"/>
      <c r="I45" s="120"/>
      <c r="J45" s="3280" t="s">
        <v>1329</v>
      </c>
      <c r="K45" s="3280"/>
      <c r="L45" s="3280"/>
      <c r="M45" s="3280"/>
      <c r="N45" s="3280"/>
      <c r="O45" s="3280"/>
    </row>
    <row r="46" spans="1:15" ht="14.25" customHeight="1">
      <c r="A46" s="3357" t="s">
        <v>1330</v>
      </c>
      <c r="B46" s="3358"/>
      <c r="C46" s="3358"/>
      <c r="D46" s="3358"/>
      <c r="E46" s="3358"/>
      <c r="F46" s="3358"/>
      <c r="G46" s="3359"/>
      <c r="H46" s="1666"/>
      <c r="I46" s="150"/>
      <c r="J46" s="2304">
        <v>1</v>
      </c>
      <c r="K46" s="3281" t="s">
        <v>1331</v>
      </c>
      <c r="L46" s="3281"/>
      <c r="M46" s="3282"/>
      <c r="N46" s="3282"/>
      <c r="O46" s="3282"/>
    </row>
    <row r="47" spans="1:15" ht="12" customHeight="1">
      <c r="A47" s="151" t="s">
        <v>1332</v>
      </c>
      <c r="B47" s="152"/>
      <c r="C47" s="153"/>
      <c r="D47" s="1023" t="s">
        <v>1333</v>
      </c>
      <c r="E47" s="293" t="s">
        <v>1334</v>
      </c>
      <c r="F47" s="154" t="s">
        <v>1335</v>
      </c>
      <c r="G47" s="2327" t="s">
        <v>1336</v>
      </c>
      <c r="H47" s="2328"/>
      <c r="I47" s="150"/>
      <c r="J47" s="2304">
        <v>2</v>
      </c>
      <c r="K47" s="3281" t="s">
        <v>1337</v>
      </c>
      <c r="L47" s="3281"/>
      <c r="M47" s="3283">
        <f>'数据-取费表'!B2</f>
        <v>45288</v>
      </c>
      <c r="N47" s="3283"/>
      <c r="O47" s="3283"/>
    </row>
    <row r="48" spans="1:15" ht="25.5">
      <c r="A48" s="3343" t="s">
        <v>1338</v>
      </c>
      <c r="B48" s="3344"/>
      <c r="C48" s="3344"/>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281" t="s">
        <v>1340</v>
      </c>
      <c r="L48" s="3281"/>
      <c r="M48" s="3284" t="e">
        <f ca="1">H101</f>
        <v>#REF!</v>
      </c>
      <c r="N48" s="3284"/>
      <c r="O48" s="3284"/>
    </row>
    <row r="49" spans="1:35" ht="25.5" customHeight="1">
      <c r="A49" s="2147" t="s">
        <v>1341</v>
      </c>
      <c r="B49" s="3329" t="s">
        <v>1342</v>
      </c>
      <c r="C49" s="3329"/>
      <c r="D49" s="1476">
        <v>0</v>
      </c>
      <c r="E49" s="315" t="s">
        <v>1343</v>
      </c>
      <c r="F49" s="2228" t="s">
        <v>28</v>
      </c>
      <c r="G49" s="3312"/>
      <c r="H49" s="2129" t="s">
        <v>2131</v>
      </c>
      <c r="I49" s="2130"/>
      <c r="J49" s="2304">
        <v>4</v>
      </c>
      <c r="K49" s="3281" t="str">
        <f>IF(项目基本情况!E8="房地产抵押价值","房地产抵押价值","抵押担保权已注销时的房地产抵押价值")</f>
        <v>抵押担保权已注销时的房地产抵押价值</v>
      </c>
      <c r="L49" s="3281"/>
      <c r="M49" s="3284" t="str">
        <f>IF(项目基本情况!E8="房地产抵押价值",H107,H109)</f>
        <v>——</v>
      </c>
      <c r="N49" s="3284"/>
      <c r="O49" s="3284"/>
    </row>
    <row r="50" spans="1:35" ht="25.5" customHeight="1">
      <c r="A50" s="2332"/>
      <c r="B50" s="3329" t="s">
        <v>1344</v>
      </c>
      <c r="C50" s="3329"/>
      <c r="D50" s="2184"/>
      <c r="E50" s="322"/>
      <c r="F50" s="2228"/>
      <c r="G50" s="3313"/>
      <c r="H50" s="2131" t="s">
        <v>2132</v>
      </c>
      <c r="I50" s="2130"/>
      <c r="J50" s="3280" t="s">
        <v>1345</v>
      </c>
      <c r="K50" s="3280"/>
      <c r="L50" s="3280"/>
      <c r="M50" s="3280"/>
      <c r="N50" s="3280"/>
      <c r="O50" s="3280"/>
    </row>
    <row r="51" spans="1:35" ht="20.45" customHeight="1">
      <c r="A51" s="2333"/>
      <c r="B51" s="3329" t="s">
        <v>1346</v>
      </c>
      <c r="C51" s="3329"/>
      <c r="D51" s="1023"/>
      <c r="E51" s="318"/>
      <c r="F51" s="2228"/>
      <c r="G51" s="3314"/>
      <c r="H51" s="2131" t="s">
        <v>2133</v>
      </c>
      <c r="I51" s="2130"/>
      <c r="J51" s="2305" t="s">
        <v>1347</v>
      </c>
      <c r="K51" s="3281" t="s">
        <v>1348</v>
      </c>
      <c r="L51" s="3281"/>
      <c r="M51" s="2305" t="s">
        <v>1349</v>
      </c>
      <c r="N51" s="2305" t="s">
        <v>1350</v>
      </c>
      <c r="O51" s="2305" t="s">
        <v>1351</v>
      </c>
    </row>
    <row r="52" spans="1:35" ht="24" customHeight="1">
      <c r="A52" s="2148" t="s">
        <v>1352</v>
      </c>
      <c r="B52" s="3329" t="s">
        <v>1353</v>
      </c>
      <c r="C52" s="3329"/>
      <c r="D52" s="1023" t="e">
        <f ca="1">ROUND(D45*'数据-取费表'!B41/(1+'数据-取费表'!C42),0)</f>
        <v>#REF!</v>
      </c>
      <c r="E52" s="1254" t="s">
        <v>1354</v>
      </c>
      <c r="F52" s="2334">
        <f>'数据-取费表'!B41</f>
        <v>5.6000000000000001E-2</v>
      </c>
      <c r="G52" s="2335"/>
      <c r="H52" s="2325"/>
      <c r="I52" s="1667"/>
      <c r="J52" s="2304">
        <v>1</v>
      </c>
      <c r="K52" s="3306" t="s">
        <v>1355</v>
      </c>
      <c r="L52" s="3306"/>
      <c r="M52" s="2306" t="b">
        <f>D48</f>
        <v>0</v>
      </c>
      <c r="N52" s="2304" t="str">
        <f>E48</f>
        <v>销售额×税（费）率</v>
      </c>
      <c r="O52" s="2307">
        <f>F48</f>
        <v>5.6000000000000001E-2</v>
      </c>
    </row>
    <row r="53" spans="1:35" ht="12" customHeight="1">
      <c r="A53" s="2148" t="s">
        <v>1356</v>
      </c>
      <c r="B53" s="3330" t="s">
        <v>2286</v>
      </c>
      <c r="C53" s="3331"/>
      <c r="D53" s="1023" t="e">
        <f ca="1">ROUND(D45*'数据-取费表'!B41/(1+'数据-取费表'!C42),0)</f>
        <v>#REF!</v>
      </c>
      <c r="E53" s="1254" t="s">
        <v>1354</v>
      </c>
      <c r="F53" s="2334">
        <f>'数据-取费表'!B41</f>
        <v>5.6000000000000001E-2</v>
      </c>
      <c r="G53" s="2335"/>
      <c r="H53" s="2325"/>
      <c r="I53" s="1667"/>
      <c r="J53" s="2304">
        <v>2</v>
      </c>
      <c r="K53" s="3306" t="s">
        <v>1357</v>
      </c>
      <c r="L53" s="3306"/>
      <c r="M53" s="2306" t="e">
        <f t="shared" ref="M53:O54" ca="1" si="0">D55</f>
        <v>#REF!</v>
      </c>
      <c r="N53" s="2304" t="str">
        <f t="shared" si="0"/>
        <v>销售额×税（费）率</v>
      </c>
      <c r="O53" s="2307" t="str">
        <f t="shared" si="0"/>
        <v>免征</v>
      </c>
    </row>
    <row r="54" spans="1:35" ht="12" customHeight="1">
      <c r="A54" s="2148" t="s">
        <v>1358</v>
      </c>
      <c r="B54" s="3330" t="s">
        <v>2287</v>
      </c>
      <c r="C54" s="3331"/>
      <c r="D54" s="1023" t="e">
        <f ca="1">C68</f>
        <v>#REF!</v>
      </c>
      <c r="E54" s="318" t="s">
        <v>1359</v>
      </c>
      <c r="F54" s="2334">
        <f>'数据-取费表'!B41</f>
        <v>5.6000000000000001E-2</v>
      </c>
      <c r="G54" s="2335"/>
      <c r="H54" s="2336"/>
      <c r="I54" s="1667"/>
      <c r="J54" s="2304">
        <v>3</v>
      </c>
      <c r="K54" s="3306" t="s">
        <v>1360</v>
      </c>
      <c r="L54" s="3306"/>
      <c r="M54" s="2306" t="e">
        <f t="shared" ca="1" si="0"/>
        <v>#REF!</v>
      </c>
      <c r="N54" s="2304" t="str">
        <f t="shared" si="0"/>
        <v>增值额×税（费）率</v>
      </c>
      <c r="O54" s="2308" t="str">
        <f t="shared" si="0"/>
        <v>免征</v>
      </c>
    </row>
    <row r="55" spans="1:35" ht="24" customHeight="1">
      <c r="A55" s="3366" t="s">
        <v>1361</v>
      </c>
      <c r="B55" s="3344"/>
      <c r="C55" s="3344"/>
      <c r="D55" s="12" t="e">
        <f ca="1">IF(H55="个人住宅",0,ROUND(D45*I55,0))</f>
        <v>#REF!</v>
      </c>
      <c r="E55" s="1254" t="s">
        <v>1362</v>
      </c>
      <c r="F55" s="2334" t="str">
        <f>IF(H55="正常",I55,"免征")</f>
        <v>免征</v>
      </c>
      <c r="G55" s="2335"/>
      <c r="H55" s="2331"/>
      <c r="I55" s="156">
        <f>'数据-取费表'!B49</f>
        <v>5.0000000000000001E-4</v>
      </c>
      <c r="J55" s="2304">
        <f>IF(H59="非个人房产","",4)</f>
        <v>4</v>
      </c>
      <c r="K55" s="3306" t="str">
        <f>IF(H59="非个人房产","——","个人所得税")</f>
        <v>个人所得税</v>
      </c>
      <c r="L55" s="3306"/>
      <c r="M55" s="2309" t="e">
        <f ca="1">D59</f>
        <v>#REF!</v>
      </c>
      <c r="N55" s="1878" t="str">
        <f>E59</f>
        <v>差额计税</v>
      </c>
      <c r="O55" s="2310">
        <f>F59</f>
        <v>0.01</v>
      </c>
    </row>
    <row r="56" spans="1:35" ht="24.75">
      <c r="A56" s="3366" t="s">
        <v>1363</v>
      </c>
      <c r="B56" s="3344"/>
      <c r="C56" s="3344"/>
      <c r="D56" s="12" t="e">
        <f ca="1">IF(H56="个人住宅",D57,D58)</f>
        <v>#REF!</v>
      </c>
      <c r="E56" s="1254" t="s">
        <v>1364</v>
      </c>
      <c r="F56" s="2334" t="str">
        <f>IF(H56="正常",F58,"免征")</f>
        <v>免征</v>
      </c>
      <c r="G56" s="2337" t="s">
        <v>1365</v>
      </c>
      <c r="H56" s="2338"/>
      <c r="I56" s="1668"/>
      <c r="J56" s="2304" t="str">
        <f>IF(项目基本情况!K6="上海银行",IF(J55="",4,J55+1),"")</f>
        <v/>
      </c>
      <c r="K56" s="3287" t="str">
        <f>IF(项目基本情况!K6="上海银行","其他处置费用","")</f>
        <v/>
      </c>
      <c r="L56" s="3288"/>
      <c r="M56" s="2306" t="str">
        <f>IF(项目基本情况!K6="上海银行",M69,"")</f>
        <v/>
      </c>
      <c r="N56" s="3287" t="str">
        <f>IF(项目基本情况!K6="上海银行","包含处置中涉及的律师、诉讼、拍卖、评估等费用","")</f>
        <v/>
      </c>
      <c r="O56" s="3290"/>
    </row>
    <row r="57" spans="1:35" ht="12.75">
      <c r="A57" s="2148" t="s">
        <v>1341</v>
      </c>
      <c r="B57" s="3330" t="s">
        <v>1366</v>
      </c>
      <c r="C57" s="3331"/>
      <c r="D57" s="1476">
        <v>0</v>
      </c>
      <c r="E57" s="315" t="s">
        <v>1343</v>
      </c>
      <c r="F57" s="293"/>
      <c r="G57" s="2335"/>
      <c r="H57" s="2339"/>
      <c r="I57" s="1668"/>
      <c r="J57" s="3306">
        <f>IF(AND(J55="",J56=""),4,IF(项目基本情况!K6="上海银行",结果表!J56+1,结果表!J55+1))</f>
        <v>5</v>
      </c>
      <c r="K57" s="3306" t="s">
        <v>1367</v>
      </c>
      <c r="L57" s="2311" t="s">
        <v>1368</v>
      </c>
      <c r="M57" s="2312"/>
      <c r="N57" s="2313">
        <f ca="1">SUMIF(M52:M56,"&lt;9e307")</f>
        <v>0</v>
      </c>
      <c r="O57" s="2314"/>
      <c r="P57" s="2459" t="e">
        <f ca="1">N57/M49</f>
        <v>#VALUE!</v>
      </c>
    </row>
    <row r="58" spans="1:35" ht="24.75">
      <c r="A58" s="2148" t="s">
        <v>1352</v>
      </c>
      <c r="B58" s="3330" t="s">
        <v>1369</v>
      </c>
      <c r="C58" s="3329"/>
      <c r="D58" s="12" t="e">
        <f ca="1">IF(H58="转让取得",C81,C97)</f>
        <v>#REF!</v>
      </c>
      <c r="E58" s="1254" t="s">
        <v>1364</v>
      </c>
      <c r="F58" s="293" t="s">
        <v>28</v>
      </c>
      <c r="G58" s="2335"/>
      <c r="H58" s="2338"/>
      <c r="I58" s="1668"/>
      <c r="J58" s="3306"/>
      <c r="K58" s="3306"/>
      <c r="L58" s="2311" t="s">
        <v>1370</v>
      </c>
      <c r="M58" s="2315"/>
      <c r="N58" s="2316" t="str">
        <f ca="1">NUMBERSTRING(INT(N57*10000),2)&amp;"元整"</f>
        <v>零元整</v>
      </c>
      <c r="O58" s="2317"/>
    </row>
    <row r="59" spans="1:35" ht="24.75" thickBot="1">
      <c r="A59" s="3310" t="s">
        <v>1371</v>
      </c>
      <c r="B59" s="3311"/>
      <c r="C59" s="3311"/>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8">
        <f>J57+1</f>
        <v>6</v>
      </c>
      <c r="K59" s="3306" t="s">
        <v>1372</v>
      </c>
      <c r="L59" s="2304" t="s">
        <v>1368</v>
      </c>
      <c r="M59" s="2318"/>
      <c r="N59" s="2319" t="e">
        <f ca="1">M49-N57</f>
        <v>#VALUE!</v>
      </c>
      <c r="O59" s="2320"/>
    </row>
    <row r="60" spans="1:35" ht="12" customHeight="1">
      <c r="A60" s="1669"/>
      <c r="B60" s="645"/>
      <c r="C60" s="645"/>
      <c r="D60" s="645"/>
      <c r="E60" s="1464"/>
      <c r="F60" s="1668"/>
      <c r="G60" s="1668"/>
      <c r="H60" s="150"/>
      <c r="I60" s="120"/>
      <c r="J60" s="3309"/>
      <c r="K60" s="3306"/>
      <c r="L60" s="2311" t="s">
        <v>1370</v>
      </c>
      <c r="M60" s="2315"/>
      <c r="N60" s="2316" t="e">
        <f ca="1">NUMBERSTRING(INT(N59*10000),2)&amp;"元整"</f>
        <v>#VALUE!</v>
      </c>
      <c r="O60" s="2317"/>
    </row>
    <row r="61" spans="1:35" ht="13.5" thickBot="1">
      <c r="A61" s="3365" t="s">
        <v>1373</v>
      </c>
      <c r="B61" s="3365"/>
      <c r="C61" s="3365"/>
      <c r="D61" s="3365"/>
      <c r="E61" s="3365"/>
      <c r="F61" s="1668"/>
      <c r="G61" s="1668"/>
      <c r="H61" s="150"/>
      <c r="I61" s="120"/>
      <c r="J61" s="2304">
        <f>J59+1</f>
        <v>7</v>
      </c>
      <c r="K61" s="3306" t="s">
        <v>1374</v>
      </c>
      <c r="L61" s="3306"/>
      <c r="M61" s="2321"/>
      <c r="N61" s="2322" t="e">
        <f ca="1">ROUND(N59*10000/'数据-汇总表'!E3,0)</f>
        <v>#VALUE!</v>
      </c>
      <c r="O61" s="2323"/>
    </row>
    <row r="62" spans="1:35" ht="12.75">
      <c r="A62" s="3325" t="s">
        <v>1375</v>
      </c>
      <c r="B62" s="3326"/>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89"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89"/>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89"/>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89"/>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89"/>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289"/>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89"/>
      <c r="K69" s="1243" t="s">
        <v>1393</v>
      </c>
      <c r="L69" s="1243"/>
      <c r="M69" s="293" t="e">
        <f>ROUND(SUM(M63:M68),0)</f>
        <v>#VALUE!</v>
      </c>
      <c r="N69" s="2326" t="e">
        <f>M69/M49</f>
        <v>#VALUE!</v>
      </c>
      <c r="Z69" s="1621"/>
      <c r="AI69" s="1559"/>
    </row>
    <row r="70" spans="1:35" s="641" customFormat="1" ht="15" thickBot="1">
      <c r="A70" s="3333" t="s">
        <v>1394</v>
      </c>
      <c r="B70" s="3334"/>
      <c r="C70" s="3334"/>
      <c r="D70" s="3334"/>
      <c r="E70" s="3334"/>
      <c r="F70" s="3334"/>
      <c r="G70" s="3334"/>
      <c r="H70" s="3334"/>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5" t="s">
        <v>1375</v>
      </c>
      <c r="B71" s="3326"/>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0" t="s">
        <v>1402</v>
      </c>
      <c r="F76" s="3329"/>
      <c r="G76" s="3329"/>
      <c r="H76" s="3332"/>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22" t="s">
        <v>1406</v>
      </c>
      <c r="F78" s="3323"/>
      <c r="G78" s="3323"/>
      <c r="H78" s="332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3" t="s">
        <v>1410</v>
      </c>
      <c r="B83" s="3334"/>
      <c r="C83" s="3334"/>
      <c r="D83" s="3334"/>
      <c r="E83" s="3334"/>
      <c r="F83" s="3334"/>
      <c r="G83" s="3334"/>
      <c r="H83" s="3334"/>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5" t="s">
        <v>1375</v>
      </c>
      <c r="B84" s="3326"/>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1" t="s">
        <v>2126</v>
      </c>
      <c r="H90" s="3292"/>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2" t="s">
        <v>1419</v>
      </c>
      <c r="F91" s="3323"/>
      <c r="G91" s="3323"/>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2" t="s">
        <v>1422</v>
      </c>
      <c r="F92" s="3323"/>
      <c r="G92" s="3323"/>
      <c r="H92" s="3324"/>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22" t="s">
        <v>1406</v>
      </c>
      <c r="F93" s="3323"/>
      <c r="G93" s="3323"/>
      <c r="H93" s="332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7" t="s">
        <v>1426</v>
      </c>
      <c r="F94" s="3368"/>
      <c r="G94" s="3368"/>
      <c r="H94" s="3369"/>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2" t="s">
        <v>1428</v>
      </c>
      <c r="B100" s="3273"/>
      <c r="C100" s="3273"/>
      <c r="D100" s="3307"/>
      <c r="E100" s="3273" t="s">
        <v>1429</v>
      </c>
      <c r="F100" s="3273"/>
      <c r="G100" s="3273"/>
      <c r="H100" s="3307"/>
      <c r="I100" s="120"/>
    </row>
    <row r="101" spans="1:35" ht="18.75" customHeight="1">
      <c r="A101" s="3315" t="s">
        <v>1430</v>
      </c>
      <c r="B101" s="3316"/>
      <c r="C101" s="2365" t="str">
        <f>C4</f>
        <v>收益法 (元)</v>
      </c>
      <c r="D101" s="2366" t="str">
        <f>D4</f>
        <v>比较法-住宅</v>
      </c>
      <c r="E101" s="3285" t="s">
        <v>1431</v>
      </c>
      <c r="F101" s="3286"/>
      <c r="G101" s="1685" t="s">
        <v>1432</v>
      </c>
      <c r="H101" s="2375" t="e">
        <f ca="1">H118</f>
        <v>#REF!</v>
      </c>
      <c r="I101" s="120"/>
    </row>
    <row r="102" spans="1:35" ht="18.75" customHeight="1">
      <c r="A102" s="3317" t="s">
        <v>1433</v>
      </c>
      <c r="B102" s="2364" t="s">
        <v>1432</v>
      </c>
      <c r="C102" s="2365">
        <f ca="1">IF(D32="楼面单价",ROUND(C19,0),C19)</f>
        <v>220.9204</v>
      </c>
      <c r="D102" s="2366">
        <f ca="1">IF(D32="楼面单价",ROUND(D19,0),D19)</f>
        <v>395.25150000000002</v>
      </c>
      <c r="E102" s="3285"/>
      <c r="F102" s="3286"/>
      <c r="G102" s="1685" t="s">
        <v>1434</v>
      </c>
      <c r="H102" s="2335" t="e">
        <f ca="1">I118</f>
        <v>#REF!</v>
      </c>
      <c r="I102" s="120"/>
    </row>
    <row r="103" spans="1:35" ht="42.75" customHeight="1">
      <c r="A103" s="3317"/>
      <c r="B103" s="2364" t="s">
        <v>1434</v>
      </c>
      <c r="C103" s="2367">
        <f ca="1">C20</f>
        <v>48725</v>
      </c>
      <c r="D103" s="2368">
        <f ca="1">D20</f>
        <v>87175</v>
      </c>
      <c r="E103" s="3278" t="s">
        <v>1435</v>
      </c>
      <c r="F103" s="3279"/>
      <c r="G103" s="1686" t="s">
        <v>1436</v>
      </c>
      <c r="H103" s="2375">
        <f>IF(D36="正常操作",H104+H105+H106,H105+H106)</f>
        <v>0</v>
      </c>
      <c r="I103" s="120"/>
    </row>
    <row r="104" spans="1:35" ht="18.75" customHeight="1">
      <c r="A104" s="3317"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7"/>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8" t="str">
        <f>IF(项目基本情况!E8="已注销","——","3.房地产抵押价值")</f>
        <v>3.房地产抵押价值</v>
      </c>
      <c r="F107" s="3286"/>
      <c r="G107" s="1685" t="s">
        <v>1432</v>
      </c>
      <c r="H107" s="2375" t="e">
        <f ca="1">IF(E107="——","——",H101-H103)</f>
        <v>#REF!</v>
      </c>
      <c r="I107" s="120"/>
    </row>
    <row r="108" spans="1:35" ht="18.75" customHeight="1">
      <c r="A108" s="120"/>
      <c r="B108" s="120"/>
      <c r="C108" s="120"/>
      <c r="D108" s="120"/>
      <c r="E108" s="3318"/>
      <c r="F108" s="3286"/>
      <c r="G108" s="1685" t="s">
        <v>1434</v>
      </c>
      <c r="H108" s="2335">
        <f ca="1">IF(H107=H101,H102,ROUND(H107*10000/'数据-汇总表'!E3,0))</f>
        <v>0</v>
      </c>
      <c r="I108" s="120"/>
    </row>
    <row r="109" spans="1:35" ht="18.75" customHeight="1">
      <c r="A109" s="120"/>
      <c r="B109" s="120"/>
      <c r="C109" s="120"/>
      <c r="D109" s="120"/>
      <c r="E109" s="3318" t="str">
        <f>IF(项目基本情况!E8="已注销及未注销","4.抵押担保权已注销时的房地产抵押价值",IF(项目基本情况!E8="已注销","3.抵押担保权已注销时的房地产抵押价值","——"))</f>
        <v>——</v>
      </c>
      <c r="F109" s="3286"/>
      <c r="G109" s="1685" t="s">
        <v>1432</v>
      </c>
      <c r="H109" s="2378" t="str">
        <f>IF(E109="——","——",H101-H105-H106)</f>
        <v>——</v>
      </c>
      <c r="I109" s="120"/>
    </row>
    <row r="110" spans="1:35" ht="18.75" customHeight="1">
      <c r="A110" s="120"/>
      <c r="B110" s="120"/>
      <c r="C110" s="120"/>
      <c r="D110" s="120"/>
      <c r="E110" s="3318"/>
      <c r="F110" s="3286"/>
      <c r="G110" s="1685" t="s">
        <v>1434</v>
      </c>
      <c r="H110" s="2335" t="str">
        <f>IF(H109="——","——",ROUND(H109*10000/'数据-汇总表'!E3,0))</f>
        <v>——</v>
      </c>
      <c r="I110" s="120"/>
    </row>
    <row r="111" spans="1:35" ht="18.75" customHeight="1">
      <c r="A111" s="120"/>
      <c r="B111" s="120"/>
      <c r="C111" s="120"/>
      <c r="D111" s="120"/>
      <c r="E111" s="3319" t="str">
        <f>IF(项目基本情况!E9="抵押净值",IF(OR(项目基本情况!E8="已注销",项目基本情况!E8="房地产抵押价值"),"4.抵押净值","5.抵押净值"),"——")</f>
        <v>——</v>
      </c>
      <c r="F111" s="3305"/>
      <c r="G111" s="1685" t="s">
        <v>1432</v>
      </c>
      <c r="H111" s="2375" t="str">
        <f>IF(E111="——","——",N59)</f>
        <v>——</v>
      </c>
      <c r="I111" s="120"/>
    </row>
    <row r="112" spans="1:35" ht="18.75" customHeight="1" thickBot="1">
      <c r="A112" s="120"/>
      <c r="B112" s="120"/>
      <c r="C112" s="120"/>
      <c r="D112" s="120"/>
      <c r="E112" s="3320"/>
      <c r="F112" s="3321"/>
      <c r="G112" s="1688" t="s">
        <v>1434</v>
      </c>
      <c r="H112" s="2379" t="str">
        <f>IF(E111="——","——",N61)</f>
        <v>——</v>
      </c>
      <c r="I112" s="120"/>
    </row>
    <row r="113" spans="1:27" ht="18.75" customHeight="1">
      <c r="A113" s="120"/>
      <c r="B113" s="120"/>
      <c r="C113" s="120"/>
      <c r="D113" s="120"/>
      <c r="E113" s="3328" t="s">
        <v>1440</v>
      </c>
      <c r="F113" s="3328"/>
      <c r="G113" s="3328"/>
      <c r="H113" s="3328"/>
      <c r="I113" s="120"/>
    </row>
    <row r="114" spans="1:27" ht="3.75" customHeight="1">
      <c r="A114" s="645"/>
      <c r="B114" s="645"/>
      <c r="C114" s="645"/>
      <c r="D114" s="645"/>
      <c r="E114" s="1669"/>
      <c r="F114" s="1669"/>
      <c r="G114" s="1669"/>
      <c r="H114" s="1669"/>
      <c r="I114" s="645"/>
    </row>
    <row r="115" spans="1:27" ht="18.75" customHeight="1">
      <c r="A115" s="3336" t="s">
        <v>1442</v>
      </c>
      <c r="B115" s="3337"/>
      <c r="C115" s="3337"/>
      <c r="D115" s="3337"/>
      <c r="E115" s="3337"/>
      <c r="F115" s="3337"/>
      <c r="G115" s="3337"/>
      <c r="H115" s="3337"/>
      <c r="I115" s="3338"/>
    </row>
    <row r="116" spans="1:27" ht="27" customHeight="1">
      <c r="A116" s="3293" t="s">
        <v>1443</v>
      </c>
      <c r="B116" s="3297" t="s">
        <v>1444</v>
      </c>
      <c r="C116" s="3297" t="s">
        <v>1445</v>
      </c>
      <c r="D116" s="3303" t="s">
        <v>1446</v>
      </c>
      <c r="E116" s="3304"/>
      <c r="F116" s="3335" t="s">
        <v>1447</v>
      </c>
      <c r="G116" s="3335"/>
      <c r="H116" s="3293" t="s">
        <v>1448</v>
      </c>
      <c r="I116" s="3293"/>
    </row>
    <row r="117" spans="1:27" ht="18.75" customHeight="1">
      <c r="A117" s="3293"/>
      <c r="B117" s="3298"/>
      <c r="C117" s="3298"/>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45.34</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3" t="s">
        <v>1452</v>
      </c>
      <c r="B119" s="3293"/>
      <c r="C119" s="3293"/>
      <c r="D119" s="3299" t="e">
        <f ca="1">NUMBERSTRING(INT(D118*10000),2)&amp;"元整"</f>
        <v>#REF!</v>
      </c>
      <c r="E119" s="3300"/>
      <c r="F119" s="3299" t="e">
        <f ca="1">NUMBERSTRING(INT(F118*10000),2)&amp;"元整"</f>
        <v>#REF!</v>
      </c>
      <c r="G119" s="3300"/>
      <c r="H119" s="3299" t="e">
        <f ca="1">NUMBERSTRING(INT(H118*10000),2)&amp;"元整"</f>
        <v>#REF!</v>
      </c>
      <c r="I119" s="3300"/>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99" t="s">
        <v>1452</v>
      </c>
      <c r="B121" s="3301"/>
      <c r="C121" s="3300"/>
      <c r="D121" s="3299" t="str">
        <f>IF(D120=0,"零元整",NUMBERSTRING(INT(D120*10000),2)&amp;"元整")</f>
        <v>零元整</v>
      </c>
      <c r="E121" s="3301"/>
      <c r="F121" s="3301"/>
      <c r="G121" s="3301"/>
      <c r="H121" s="3301"/>
      <c r="I121" s="3300"/>
      <c r="AA121" s="683"/>
    </row>
    <row r="122" spans="1:27" ht="18.75" customHeight="1">
      <c r="A122" s="3305" t="str">
        <f>IF(项目基本情况!B9="房地产市场价值","",MID(E107,3,LEN(E107)-2))</f>
        <v>房地产抵押价值</v>
      </c>
      <c r="B122" s="3305"/>
      <c r="C122" s="3305"/>
      <c r="D122" s="3294" t="e">
        <f ca="1">H107</f>
        <v>#REF!</v>
      </c>
      <c r="E122" s="3295"/>
      <c r="F122" s="3295"/>
      <c r="G122" s="3295"/>
      <c r="H122" s="3295"/>
      <c r="I122" s="3296"/>
      <c r="AA122" s="683"/>
    </row>
    <row r="123" spans="1:27" ht="18.75" customHeight="1">
      <c r="A123" s="3293" t="s">
        <v>1452</v>
      </c>
      <c r="B123" s="3293"/>
      <c r="C123" s="3293"/>
      <c r="D123" s="3299" t="e">
        <f ca="1">NUMBERSTRING(INT(D122*10000),2)&amp;"元整"</f>
        <v>#REF!</v>
      </c>
      <c r="E123" s="3301"/>
      <c r="F123" s="3301"/>
      <c r="G123" s="3301"/>
      <c r="H123" s="3301"/>
      <c r="I123" s="3300"/>
      <c r="AA123" s="683"/>
    </row>
    <row r="124" spans="1:27" ht="18.75" customHeight="1">
      <c r="A124" s="3305" t="str">
        <f>IF(项目基本情况!B9="房地产市场价值","",MID(E109,3,LEN(E109)-2))</f>
        <v/>
      </c>
      <c r="B124" s="3305"/>
      <c r="C124" s="3305"/>
      <c r="D124" s="3294" t="str">
        <f>H109</f>
        <v>——</v>
      </c>
      <c r="E124" s="3295"/>
      <c r="F124" s="3295"/>
      <c r="G124" s="3295"/>
      <c r="H124" s="3295"/>
      <c r="I124" s="3296"/>
      <c r="AA124" s="683"/>
    </row>
    <row r="125" spans="1:27" ht="18.75" customHeight="1">
      <c r="A125" s="3293" t="s">
        <v>1452</v>
      </c>
      <c r="B125" s="3293"/>
      <c r="C125" s="3293"/>
      <c r="D125" s="3299" t="e">
        <f>NUMBERSTRING(INT(D124*10000),2)&amp;"元整"</f>
        <v>#VALUE!</v>
      </c>
      <c r="E125" s="3301"/>
      <c r="F125" s="3301"/>
      <c r="G125" s="3301"/>
      <c r="H125" s="3301"/>
      <c r="I125" s="3300"/>
      <c r="AA125" s="683"/>
    </row>
    <row r="126" spans="1:27" ht="18.75" customHeight="1">
      <c r="A126" s="3305" t="str">
        <f>IF(项目基本情况!B9="房地产市场价值","",MID(E111,3,LEN(E111)-2))</f>
        <v/>
      </c>
      <c r="B126" s="3305"/>
      <c r="C126" s="3305"/>
      <c r="D126" s="3294" t="str">
        <f>H111</f>
        <v>——</v>
      </c>
      <c r="E126" s="3295"/>
      <c r="F126" s="3295"/>
      <c r="G126" s="3295"/>
      <c r="H126" s="3295"/>
      <c r="I126" s="3296"/>
      <c r="AA126" s="683"/>
    </row>
    <row r="127" spans="1:27" ht="18.75" customHeight="1">
      <c r="A127" s="3293" t="s">
        <v>1452</v>
      </c>
      <c r="B127" s="3293"/>
      <c r="C127" s="3293"/>
      <c r="D127" s="3299" t="e">
        <f>NUMBERSTRING(INT(D126*10000),2)&amp;"元整"</f>
        <v>#VALUE!</v>
      </c>
      <c r="E127" s="3301"/>
      <c r="F127" s="3301"/>
      <c r="G127" s="3301"/>
      <c r="H127" s="3301"/>
      <c r="I127" s="3300"/>
      <c r="AA127" s="683"/>
    </row>
    <row r="128" spans="1:27" ht="21.75" customHeight="1">
      <c r="A128" s="3302" t="s">
        <v>1453</v>
      </c>
      <c r="B128" s="3302"/>
      <c r="C128" s="3302"/>
      <c r="D128" s="3302"/>
      <c r="E128" s="3302"/>
      <c r="F128" s="3302"/>
      <c r="G128" s="3302"/>
      <c r="H128" s="3302"/>
      <c r="I128" s="3302"/>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10838</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2390384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7254</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7254</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45.34</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45.34</v>
      </c>
      <c r="E19" s="202">
        <f>'数据-取费表'!B31</f>
        <v>200</v>
      </c>
      <c r="F19" s="222"/>
      <c r="G19" s="1712"/>
    </row>
    <row r="20" spans="1:7" s="205" customFormat="1" ht="13.5" customHeight="1">
      <c r="A20" s="246" t="s">
        <v>1493</v>
      </c>
      <c r="B20" s="201" t="s">
        <v>1494</v>
      </c>
      <c r="C20" s="223">
        <f ca="1">ROUND((C5+C19)*F20,0)</f>
        <v>145</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712</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705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7</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1850</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ROUND((C5+C19+C20)*F27*'数据-取费表'!B21/'数据-取费表'!B20,0)</f>
        <v>1850</v>
      </c>
      <c r="D28" s="226"/>
      <c r="E28" s="227"/>
      <c r="F28" s="237"/>
      <c r="G28" s="238"/>
    </row>
    <row r="29" spans="1:7" s="205" customFormat="1" ht="13.5" customHeight="1">
      <c r="A29" s="733" t="s">
        <v>347</v>
      </c>
      <c r="B29" s="239" t="s">
        <v>1517</v>
      </c>
      <c r="C29" s="229">
        <f ca="1">ROUND(C21*F27*'数据-取费表'!B21/'数据-取费表'!B20,4)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10820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16</v>
      </c>
      <c r="D34" s="208"/>
      <c r="E34" s="211"/>
      <c r="F34" s="248">
        <f ca="1">IF('数据-取费表'!B24=0,1,IF(B1="",'数据-取费表'!N16,INDIRECT("'数据-取费表'!n"&amp;$G$1)))</f>
        <v>1</v>
      </c>
      <c r="G34" s="210" t="s">
        <v>1526</v>
      </c>
    </row>
    <row r="35" spans="1:7" ht="13.5" customHeight="1">
      <c r="A35" s="733" t="s">
        <v>351</v>
      </c>
      <c r="B35" s="206" t="s">
        <v>1527</v>
      </c>
      <c r="C35" s="211">
        <f ca="1">ROUND(C34*F35,0)</f>
        <v>0</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1</v>
      </c>
      <c r="D37" s="208">
        <f ca="1">D19</f>
        <v>45.34</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72" t="s">
        <v>1544</v>
      </c>
    </row>
    <row r="43" spans="1:7" ht="13.5" customHeight="1">
      <c r="A43" s="733" t="s">
        <v>347</v>
      </c>
      <c r="B43" s="206" t="s">
        <v>1545</v>
      </c>
      <c r="C43" s="229">
        <f ca="1">ROUND(IF('数据-取费表'!B22&lt;=1,C39*F22*'数据-取费表'!B21/2,C39*(POWER((1+F22),'数据-取费表'!B21/2)-1)),0)</f>
        <v>0</v>
      </c>
      <c r="D43" s="229"/>
      <c r="E43" s="229"/>
      <c r="F43" s="230"/>
      <c r="G43" s="3373"/>
    </row>
    <row r="44" spans="1:7" ht="13.5" customHeight="1">
      <c r="A44" s="733" t="s">
        <v>348</v>
      </c>
      <c r="B44" s="206" t="s">
        <v>1546</v>
      </c>
      <c r="C44" s="229">
        <f ca="1">ROUND(IF('数据-取费表'!B22&lt;=1,C40*F22*'数据-取费表'!B21/2,C40*(POWER((1+F22),'数据-取费表'!B21/2)-1)),4)</f>
        <v>1E-3</v>
      </c>
      <c r="D44" s="229"/>
      <c r="E44" s="229"/>
      <c r="F44" s="230"/>
      <c r="G44" s="3374"/>
    </row>
    <row r="45" spans="1:7" s="205" customFormat="1" ht="13.5" customHeight="1">
      <c r="A45" s="246" t="s">
        <v>1547</v>
      </c>
      <c r="B45" s="235" t="s">
        <v>1513</v>
      </c>
      <c r="C45" s="236">
        <f ca="1">C46</f>
        <v>5</v>
      </c>
      <c r="D45" s="226">
        <f ca="1">C47</f>
        <v>5.0000000000000001E-3</v>
      </c>
      <c r="E45" s="227" t="s">
        <v>1539</v>
      </c>
      <c r="F45" s="237">
        <f ca="1">F27</f>
        <v>0.25</v>
      </c>
      <c r="G45" s="238" t="s">
        <v>1548</v>
      </c>
    </row>
    <row r="46" spans="1:7" s="205" customFormat="1" ht="13.5" customHeight="1">
      <c r="A46" s="733" t="s">
        <v>346</v>
      </c>
      <c r="B46" s="239" t="s">
        <v>1549</v>
      </c>
      <c r="C46" s="240">
        <f ca="1">ROUND((C33+C39)*F27,0)</f>
        <v>5</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26</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18</v>
      </c>
      <c r="D51" s="223"/>
      <c r="E51" s="223"/>
      <c r="F51" s="255"/>
      <c r="G51" s="225" t="s">
        <v>1560</v>
      </c>
    </row>
    <row r="52" spans="1:7" s="199" customFormat="1" ht="16.5" thickBot="1">
      <c r="A52" s="256" t="s">
        <v>1561</v>
      </c>
      <c r="B52" s="257"/>
      <c r="C52" s="258">
        <f ca="1">C31+C51</f>
        <v>10838</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0" t="str">
        <f>项目基本情况!B1</f>
        <v>北京市预评估</v>
      </c>
      <c r="C37" s="3190"/>
      <c r="D37" s="3190"/>
      <c r="E37" s="3190"/>
      <c r="F37" s="3190"/>
      <c r="G37" s="3190"/>
      <c r="H37" s="3190"/>
      <c r="I37" s="3190"/>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8987</v>
      </c>
      <c r="C2" s="267" t="s">
        <v>1595</v>
      </c>
      <c r="D2" s="267"/>
      <c r="E2" s="2562"/>
      <c r="F2" s="2562"/>
      <c r="G2" s="2562"/>
      <c r="H2" s="2562"/>
      <c r="I2" s="2562"/>
      <c r="J2" s="2562"/>
      <c r="K2" s="2562"/>
    </row>
    <row r="3" spans="1:33" ht="18" customHeight="1" thickBot="1">
      <c r="A3" s="194" t="s">
        <v>1464</v>
      </c>
      <c r="B3" s="195">
        <f ca="1">ROUND(B2*10000/IF(C1="",'数据-汇总表'!E3,INDIRECT("'数据-取费表'!K"&amp;$K$1)),0)</f>
        <v>1982135</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45.34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45.34</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-7253</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45.34</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-7253</v>
      </c>
      <c r="D21" s="766"/>
      <c r="E21" s="272"/>
      <c r="F21" s="272"/>
      <c r="G21" s="122" t="s">
        <v>1629</v>
      </c>
      <c r="H21" s="758"/>
      <c r="I21" s="758"/>
      <c r="J21" s="758"/>
      <c r="K21" s="759"/>
    </row>
    <row r="22" spans="1:33" s="754" customFormat="1" ht="13.5" customHeight="1">
      <c r="A22" s="743" t="s">
        <v>1601</v>
      </c>
      <c r="B22" s="764" t="s">
        <v>1630</v>
      </c>
      <c r="C22" s="765">
        <f ca="1">ROUND(C21*F22,0)</f>
        <v>-145</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-1850</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-1850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8987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7" t="s">
        <v>694</v>
      </c>
      <c r="C6" s="1010">
        <f ca="1">ROUND(F6*F8*F7*(1-F9)/10000,0)</f>
        <v>0</v>
      </c>
      <c r="D6" s="146" t="s">
        <v>2106</v>
      </c>
      <c r="E6" s="293" t="s">
        <v>696</v>
      </c>
      <c r="F6" s="294">
        <f ca="1">INDIRECT("'数据-取费表'!u"&amp;$G$1)</f>
        <v>0</v>
      </c>
      <c r="G6" s="1290"/>
      <c r="H6" s="1005" t="s">
        <v>398</v>
      </c>
      <c r="I6" s="3377" t="s">
        <v>694</v>
      </c>
      <c r="J6" s="292">
        <f ca="1">ROUND(M6*M8*M7*(1-M9)/10000,0)</f>
        <v>0</v>
      </c>
      <c r="K6" s="146" t="s">
        <v>2105</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0</v>
      </c>
      <c r="G7" s="1290"/>
      <c r="H7" s="295"/>
      <c r="I7" s="3378"/>
      <c r="J7" s="297"/>
      <c r="K7" s="298"/>
      <c r="L7" s="293" t="s">
        <v>697</v>
      </c>
      <c r="M7" s="294">
        <f ca="1">F7</f>
        <v>0</v>
      </c>
    </row>
    <row r="8" spans="1:37" ht="18" customHeight="1">
      <c r="A8" s="295"/>
      <c r="B8" s="3378"/>
      <c r="C8" s="297"/>
      <c r="D8" s="298"/>
      <c r="E8" s="293" t="s">
        <v>698</v>
      </c>
      <c r="F8" s="294">
        <f ca="1">INDIRECT("'数据-取费表'!ai"&amp;$G$1)</f>
        <v>0</v>
      </c>
      <c r="G8" s="1290"/>
      <c r="H8" s="295"/>
      <c r="I8" s="3378"/>
      <c r="J8" s="297"/>
      <c r="K8" s="298"/>
      <c r="L8" s="293" t="s">
        <v>698</v>
      </c>
      <c r="M8" s="294">
        <f ca="1">INDIRECT("'数据-取费表'!ai"&amp;$G$1)</f>
        <v>0</v>
      </c>
    </row>
    <row r="9" spans="1:37" ht="18" customHeight="1">
      <c r="A9" s="295"/>
      <c r="B9" s="3379"/>
      <c r="C9" s="297"/>
      <c r="D9" s="298"/>
      <c r="E9" s="293" t="s">
        <v>699</v>
      </c>
      <c r="F9" s="303">
        <f ca="1">INDIRECT("'数据-取费表'!w"&amp;$G$1)</f>
        <v>0</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5" t="s">
        <v>837</v>
      </c>
      <c r="L53" s="3376"/>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64.94</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f ca="1">ROUND(D2/10000,4)</f>
        <v>220.9204</v>
      </c>
      <c r="C2" s="1287" t="s">
        <v>879</v>
      </c>
      <c r="D2" s="1373">
        <f ca="1">C40+J29+L46</f>
        <v>2209204</v>
      </c>
      <c r="E2" s="1293" t="s">
        <v>880</v>
      </c>
      <c r="F2" s="1294"/>
      <c r="G2" s="2473"/>
      <c r="H2" s="2463"/>
      <c r="I2" s="2463"/>
      <c r="J2" s="2463"/>
      <c r="K2" s="2464"/>
      <c r="L2" s="2463"/>
      <c r="M2" s="2463"/>
    </row>
    <row r="3" spans="1:37" ht="18" customHeight="1" thickBot="1">
      <c r="A3" s="1295" t="s">
        <v>881</v>
      </c>
      <c r="B3" s="1296">
        <f ca="1">IF(ISERROR(D2/F43),0,ROUND(D2/F43,0))</f>
        <v>48725</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68486</v>
      </c>
      <c r="D5" s="1271" t="s">
        <v>889</v>
      </c>
      <c r="E5" s="1007"/>
      <c r="F5" s="1008"/>
      <c r="G5" s="1290"/>
      <c r="H5" s="290">
        <v>1</v>
      </c>
      <c r="I5" s="291" t="s">
        <v>888</v>
      </c>
      <c r="J5" s="1006">
        <f ca="1">J6+J10+J12</f>
        <v>0</v>
      </c>
      <c r="K5" s="1271" t="s">
        <v>889</v>
      </c>
      <c r="L5" s="1007"/>
      <c r="M5" s="1008"/>
    </row>
    <row r="6" spans="1:37" ht="18" customHeight="1">
      <c r="A6" s="1005" t="s">
        <v>398</v>
      </c>
      <c r="B6" s="3377" t="s">
        <v>694</v>
      </c>
      <c r="C6" s="1010">
        <f ca="1">ROUND(F6*F8*F7*(1-F9),0)</f>
        <v>68400</v>
      </c>
      <c r="D6" s="146" t="s">
        <v>2103</v>
      </c>
      <c r="E6" s="293" t="s">
        <v>696</v>
      </c>
      <c r="F6" s="294">
        <f ca="1">INDIRECT("'数据-取费表'!u"&amp;$G$1)</f>
        <v>6000</v>
      </c>
      <c r="G6" s="1290"/>
      <c r="H6" s="1005" t="s">
        <v>398</v>
      </c>
      <c r="I6" s="3377" t="s">
        <v>694</v>
      </c>
      <c r="J6" s="292">
        <f ca="1">ROUND(M6*M8*M7*(1-M9),0)</f>
        <v>0</v>
      </c>
      <c r="K6" s="1282" t="s">
        <v>2104</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1</v>
      </c>
      <c r="G7" s="1290"/>
      <c r="H7" s="295"/>
      <c r="I7" s="3378"/>
      <c r="J7" s="297"/>
      <c r="K7" s="298"/>
      <c r="L7" s="293" t="s">
        <v>697</v>
      </c>
      <c r="M7" s="294">
        <f ca="1">F7</f>
        <v>1</v>
      </c>
    </row>
    <row r="8" spans="1:37" ht="18" customHeight="1">
      <c r="A8" s="295"/>
      <c r="B8" s="3378"/>
      <c r="C8" s="297"/>
      <c r="D8" s="298"/>
      <c r="E8" s="293" t="s">
        <v>698</v>
      </c>
      <c r="F8" s="294">
        <f ca="1">INDIRECT("'数据-取费表'!ai"&amp;$G$1)</f>
        <v>12</v>
      </c>
      <c r="G8" s="1290"/>
      <c r="H8" s="295"/>
      <c r="I8" s="3378"/>
      <c r="J8" s="297"/>
      <c r="K8" s="298"/>
      <c r="L8" s="293" t="s">
        <v>698</v>
      </c>
      <c r="M8" s="294">
        <f ca="1">INDIRECT("'数据-取费表'!ai"&amp;$G$1)</f>
        <v>12</v>
      </c>
    </row>
    <row r="9" spans="1:37" ht="18" customHeight="1">
      <c r="A9" s="295"/>
      <c r="B9" s="3379"/>
      <c r="C9" s="297"/>
      <c r="D9" s="298"/>
      <c r="E9" s="293" t="s">
        <v>699</v>
      </c>
      <c r="F9" s="303">
        <f ca="1">INDIRECT("'数据-取费表'!w"&amp;$G$1)</f>
        <v>0.05</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86</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183970</v>
      </c>
      <c r="D13" s="1017" t="s">
        <v>705</v>
      </c>
      <c r="E13" s="1017" t="s">
        <v>706</v>
      </c>
      <c r="F13" s="1018">
        <f ca="1">INDIRECT("'数据-取费表'!y"&amp;$G$1)</f>
        <v>0.7</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158690</v>
      </c>
      <c r="D14" s="1255" t="s">
        <v>708</v>
      </c>
      <c r="E14" s="1253"/>
      <c r="F14" s="310"/>
      <c r="G14" s="1290"/>
      <c r="H14" s="927" t="s">
        <v>398</v>
      </c>
      <c r="I14" s="293" t="s">
        <v>709</v>
      </c>
      <c r="J14" s="21">
        <f ca="1">C29</f>
        <v>262814</v>
      </c>
      <c r="K14" s="12"/>
      <c r="L14" s="758"/>
      <c r="M14" s="759"/>
    </row>
    <row r="15" spans="1:37" s="1302" customFormat="1" ht="18" customHeight="1" thickBot="1">
      <c r="A15" s="927" t="s">
        <v>399</v>
      </c>
      <c r="B15" s="293" t="s">
        <v>710</v>
      </c>
      <c r="C15" s="21">
        <f ca="1">ROUND(C14*F15,0)</f>
        <v>4761</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7935</v>
      </c>
      <c r="D16" s="293" t="s">
        <v>711</v>
      </c>
      <c r="E16" s="293" t="s">
        <v>712</v>
      </c>
      <c r="F16" s="313">
        <f ca="1">IF(INDIRECT("'数据-取费表'!c"&amp;$G$1)="住宅",'数据-取费表'!B34,0)</f>
        <v>0.05</v>
      </c>
      <c r="G16" s="1290"/>
      <c r="H16" s="1015" t="s">
        <v>393</v>
      </c>
      <c r="I16" s="1016" t="s">
        <v>714</v>
      </c>
      <c r="J16" s="301">
        <f ca="1">ROUND(J17+J22+J23+J24,0)</f>
        <v>3942</v>
      </c>
      <c r="K16" s="1023" t="s">
        <v>715</v>
      </c>
      <c r="L16" s="1024"/>
      <c r="M16" s="1008"/>
    </row>
    <row r="17" spans="1:37" s="1302" customFormat="1" ht="18" customHeight="1">
      <c r="A17" s="927" t="s">
        <v>681</v>
      </c>
      <c r="B17" s="293" t="s">
        <v>716</v>
      </c>
      <c r="C17" s="21">
        <f ca="1">ROUND(F17*(F43+INDIRECT("'数据-取费表'!S"&amp;$G$1)),0)</f>
        <v>9068</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2380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182834</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3657</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3942</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8859</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-3942</v>
      </c>
      <c r="K25" s="1031" t="s">
        <v>753</v>
      </c>
      <c r="L25" s="1032"/>
      <c r="M25" s="1033"/>
    </row>
    <row r="26" spans="1:37" ht="18" customHeight="1">
      <c r="A26" s="927" t="s">
        <v>397</v>
      </c>
      <c r="B26" s="293" t="s">
        <v>754</v>
      </c>
      <c r="C26" s="21">
        <f ca="1">ROUND((C19+C20)*F26,0)</f>
        <v>46623</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262814</v>
      </c>
      <c r="D29" s="1028"/>
      <c r="E29" s="1026"/>
      <c r="F29" s="1029"/>
      <c r="G29" s="1301"/>
      <c r="H29" s="324" t="s">
        <v>396</v>
      </c>
      <c r="I29" s="325" t="s">
        <v>768</v>
      </c>
      <c r="J29" s="326">
        <f ca="1">ROUND(J26/(1+F40)^F41,0)</f>
        <v>0</v>
      </c>
      <c r="K29" s="327" t="s">
        <v>769</v>
      </c>
      <c r="L29" s="328"/>
      <c r="M29" s="329">
        <f ca="1">INDIRECT("'数据-取费表'!k"&amp;$G$1)</f>
        <v>45.34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6532</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1629</v>
      </c>
      <c r="D31" s="1255" t="s">
        <v>720</v>
      </c>
      <c r="E31" s="1254" t="s">
        <v>770</v>
      </c>
      <c r="F31" s="2134">
        <f ca="1">IF(项目基本情况!B11="企业","——",IF(M47="住宅",IF(F6*F7*F8/12/(1+'数据-取费表'!F30)&gt;100000,4%,2.5%),IF(F6*F7*F8/12/(1+'数据-取费表'!F30)&gt;100000,12%,7%)))</f>
        <v>2.5000000000000001E-2</v>
      </c>
      <c r="G31" s="1290"/>
      <c r="H31" s="256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3942</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276</v>
      </c>
      <c r="D37" s="1254" t="s">
        <v>743</v>
      </c>
      <c r="E37" s="293" t="s">
        <v>744</v>
      </c>
      <c r="F37" s="320">
        <f ca="1">INDIRECT("'数据-取费表'!Al"&amp;$G$1)</f>
        <v>1.5E-3</v>
      </c>
      <c r="G37" s="1290"/>
      <c r="H37" s="2468"/>
      <c r="I37" s="1303"/>
      <c r="J37" s="1304"/>
      <c r="K37" s="2325"/>
      <c r="L37" s="2468"/>
      <c r="M37" s="2468"/>
    </row>
    <row r="38" spans="1:18" ht="18" customHeight="1" thickBot="1">
      <c r="A38" s="1025" t="s">
        <v>684</v>
      </c>
      <c r="B38" s="1026" t="s">
        <v>728</v>
      </c>
      <c r="C38" s="1027">
        <f ca="1">ROUND(C5*F38,0)</f>
        <v>685</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61954</v>
      </c>
      <c r="D39" s="1031" t="s">
        <v>773</v>
      </c>
      <c r="E39" s="1032"/>
      <c r="F39" s="1033"/>
      <c r="G39" s="1290"/>
      <c r="H39" s="2468"/>
      <c r="I39" s="1303"/>
      <c r="J39" s="1304"/>
      <c r="K39" s="2466"/>
      <c r="L39" s="2468"/>
      <c r="M39" s="2468"/>
    </row>
    <row r="40" spans="1:18" ht="18" customHeight="1">
      <c r="A40" s="290" t="s">
        <v>395</v>
      </c>
      <c r="B40" s="291" t="s">
        <v>774</v>
      </c>
      <c r="C40" s="292">
        <f ca="1">ROUND(C39*(1-((1+F42)/(1+F40))^F41)/(F40-F42),0)</f>
        <v>2209204</v>
      </c>
      <c r="D40" s="315" t="s">
        <v>758</v>
      </c>
      <c r="E40" s="293" t="s">
        <v>759</v>
      </c>
      <c r="F40" s="303">
        <f ca="1">INDIRECT("'数据-取费表'!I"&amp;$G$1)</f>
        <v>0.05</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64.94</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48725</v>
      </c>
      <c r="D43" s="327" t="s">
        <v>777</v>
      </c>
      <c r="E43" s="328" t="s">
        <v>778</v>
      </c>
      <c r="F43" s="329">
        <f ca="1">INDIRECT("'数据-取费表'!k"&amp;$G$1)</f>
        <v>45.34</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4" t="s">
        <v>3352</v>
      </c>
      <c r="B45" s="1305"/>
      <c r="C45" s="1374">
        <f ca="1">ROUND((C68-C40)/10000,4)</f>
        <v>-229.00149999999999</v>
      </c>
      <c r="D45" s="3125" t="s">
        <v>3353</v>
      </c>
      <c r="E45" s="1305"/>
      <c r="F45" s="1305"/>
      <c r="O45" s="1308" t="s">
        <v>808</v>
      </c>
      <c r="P45" s="1364"/>
      <c r="Q45" s="1364"/>
      <c r="R45" s="1364"/>
    </row>
    <row r="46" spans="1:18" s="1290" customFormat="1" ht="13.5" thickBot="1">
      <c r="A46" s="1309" t="s">
        <v>809</v>
      </c>
      <c r="C46" s="1310">
        <f ca="1">ROUND(C45,0)</f>
        <v>-229</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2209204</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64.94</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1979</v>
      </c>
      <c r="K49" s="1328" t="s">
        <v>824</v>
      </c>
      <c r="L49" s="1331"/>
      <c r="O49" s="1332" t="s">
        <v>405</v>
      </c>
      <c r="P49" s="1324" t="s">
        <v>825</v>
      </c>
      <c r="Q49" s="1325">
        <f ca="1">C29</f>
        <v>262814</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16</v>
      </c>
      <c r="K51" s="1337" t="s">
        <v>830</v>
      </c>
      <c r="L51" s="1338">
        <f ca="1">ROUND(-PV(INDIRECT("'数据-取费表'!h"&amp;$G$1),J51,(C39-C13*C76),0),0)</f>
        <v>571989</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64.94</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64.94</v>
      </c>
      <c r="K53" s="3375" t="s">
        <v>837</v>
      </c>
      <c r="L53" s="3376"/>
      <c r="O53" s="1323" t="s">
        <v>409</v>
      </c>
      <c r="P53" s="1324" t="s">
        <v>838</v>
      </c>
      <c r="Q53" s="1325">
        <f ca="1">Q47+Q48</f>
        <v>2209204</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183970</v>
      </c>
      <c r="D56" s="1350"/>
      <c r="E56" s="1351"/>
      <c r="F56" s="1343"/>
      <c r="I56" s="1352" t="s">
        <v>842</v>
      </c>
      <c r="J56" s="1353" t="s">
        <v>3398</v>
      </c>
      <c r="K56" s="1326" t="s">
        <v>843</v>
      </c>
      <c r="L56" s="1329">
        <f ca="1">IF(L48&lt;J51,"——",L48-J51)</f>
        <v>48.94</v>
      </c>
      <c r="O56" s="1323" t="s">
        <v>403</v>
      </c>
      <c r="P56" s="1324" t="s">
        <v>817</v>
      </c>
      <c r="Q56" s="1325">
        <f ca="1">C40+J29</f>
        <v>2209204</v>
      </c>
      <c r="R56" s="1325" t="s">
        <v>818</v>
      </c>
    </row>
    <row r="57" spans="1:18" s="1290" customFormat="1" ht="24.75" thickBot="1">
      <c r="A57" s="1354"/>
      <c r="B57" s="895" t="s">
        <v>767</v>
      </c>
      <c r="C57" s="229">
        <f ca="1">C29</f>
        <v>262814</v>
      </c>
      <c r="D57" s="1355"/>
      <c r="E57" s="1356"/>
      <c r="F57" s="1357"/>
      <c r="I57" s="1358" t="s">
        <v>844</v>
      </c>
      <c r="J57" s="1359" t="str">
        <f ca="1">IF(OR(M47="住宅",J51&lt;L48,J56="是"),"——",J51-L48)</f>
        <v>——</v>
      </c>
      <c r="K57" s="1326" t="s">
        <v>892</v>
      </c>
      <c r="L57" s="1329">
        <f ca="1">IF(L48&lt;J51,"——",IF(L55="比较法",L49,IF(L55="基准地价",L50,L51)))</f>
        <v>571989</v>
      </c>
      <c r="O57" s="1323" t="s">
        <v>404</v>
      </c>
      <c r="P57" s="1324" t="s">
        <v>893</v>
      </c>
      <c r="Q57" s="1325">
        <f ca="1">L60</f>
        <v>0</v>
      </c>
      <c r="R57" s="1325" t="s">
        <v>894</v>
      </c>
    </row>
    <row r="58" spans="1:18" s="1290" customFormat="1" ht="24.75" thickBot="1">
      <c r="A58" s="306" t="s">
        <v>393</v>
      </c>
      <c r="B58" s="903" t="s">
        <v>714</v>
      </c>
      <c r="C58" s="307">
        <f ca="1">ROUND(C59+C64+C65+C66,0)</f>
        <v>4218</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2209204</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3942</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276</v>
      </c>
      <c r="D65" s="909" t="s">
        <v>743</v>
      </c>
      <c r="E65" s="895" t="s">
        <v>744</v>
      </c>
      <c r="F65" s="320">
        <f t="shared" ca="1" si="0"/>
        <v>1.5E-3</v>
      </c>
      <c r="I65" s="1365" t="s">
        <v>867</v>
      </c>
      <c r="J65" s="609">
        <v>40</v>
      </c>
      <c r="K65" s="609">
        <v>30</v>
      </c>
      <c r="L65" s="609">
        <v>50</v>
      </c>
      <c r="M65" s="1367">
        <v>0.02</v>
      </c>
      <c r="O65" s="1323" t="s">
        <v>403</v>
      </c>
      <c r="P65" s="1324" t="s">
        <v>868</v>
      </c>
      <c r="Q65" s="1325">
        <f ca="1">C40+J29</f>
        <v>2209204</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-4218</v>
      </c>
      <c r="D67" s="908" t="s">
        <v>753</v>
      </c>
      <c r="E67" s="913"/>
      <c r="F67" s="914"/>
      <c r="O67" s="1332" t="s">
        <v>405</v>
      </c>
      <c r="P67" s="1324" t="s">
        <v>850</v>
      </c>
      <c r="Q67" s="1368">
        <f ca="1">L51</f>
        <v>571989</v>
      </c>
      <c r="R67" s="1325" t="s">
        <v>870</v>
      </c>
    </row>
    <row r="68" spans="1:18" s="1290" customFormat="1" ht="16.5" thickBot="1">
      <c r="A68" s="892" t="s">
        <v>395</v>
      </c>
      <c r="B68" s="893" t="s">
        <v>774</v>
      </c>
      <c r="C68" s="292">
        <f ca="1">ROUND(C67*(1-((1+F70)/(1+F68))^F69)/(F68-F70),0)</f>
        <v>-80811</v>
      </c>
      <c r="D68" s="910" t="s">
        <v>758</v>
      </c>
      <c r="E68" s="895" t="s">
        <v>759</v>
      </c>
      <c r="F68" s="303">
        <f ca="1">F40</f>
        <v>0.05</v>
      </c>
      <c r="O68" s="1332" t="s">
        <v>406</v>
      </c>
      <c r="P68" s="1369" t="s">
        <v>871</v>
      </c>
      <c r="Q68" s="1325">
        <f ca="1">ROUND(Q69-Q70*Q71,0)</f>
        <v>50916</v>
      </c>
      <c r="R68" s="1325" t="s">
        <v>414</v>
      </c>
    </row>
    <row r="69" spans="1:18" s="1290" customFormat="1" ht="13.5" thickBot="1">
      <c r="A69" s="896"/>
      <c r="B69" s="897"/>
      <c r="C69" s="297"/>
      <c r="D69" s="915" t="s">
        <v>762</v>
      </c>
      <c r="E69" s="895" t="s">
        <v>763</v>
      </c>
      <c r="F69" s="323">
        <f ca="1">F41</f>
        <v>64.94</v>
      </c>
      <c r="O69" s="1332" t="s">
        <v>411</v>
      </c>
      <c r="P69" s="1369" t="s">
        <v>872</v>
      </c>
      <c r="Q69" s="1325">
        <f ca="1">C39</f>
        <v>61954</v>
      </c>
      <c r="R69" s="1325" t="s">
        <v>818</v>
      </c>
    </row>
    <row r="70" spans="1:18" s="1290" customFormat="1" ht="13.5" thickBot="1">
      <c r="A70" s="899"/>
      <c r="B70" s="900"/>
      <c r="C70" s="301"/>
      <c r="D70" s="911"/>
      <c r="E70" s="895" t="s">
        <v>766</v>
      </c>
      <c r="F70" s="990"/>
      <c r="O70" s="1332" t="s">
        <v>412</v>
      </c>
      <c r="P70" s="1369" t="s">
        <v>873</v>
      </c>
      <c r="Q70" s="1325">
        <f ca="1">C13</f>
        <v>183970</v>
      </c>
      <c r="R70" s="1325" t="s">
        <v>818</v>
      </c>
    </row>
    <row r="71" spans="1:18" s="1290" customFormat="1" ht="13.5" thickBot="1">
      <c r="A71" s="916" t="s">
        <v>396</v>
      </c>
      <c r="B71" s="917" t="s">
        <v>776</v>
      </c>
      <c r="C71" s="326">
        <f ca="1">ROUND(C68/F71,0)</f>
        <v>-1782</v>
      </c>
      <c r="D71" s="918" t="s">
        <v>777</v>
      </c>
      <c r="E71" s="919" t="s">
        <v>778</v>
      </c>
      <c r="F71" s="329">
        <f ca="1">F43</f>
        <v>45.34</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11038</v>
      </c>
      <c r="D75" s="1290"/>
      <c r="E75" s="1290"/>
      <c r="F75" s="1290"/>
      <c r="K75" s="1307"/>
      <c r="L75" s="1290"/>
      <c r="O75" s="1323" t="s">
        <v>409</v>
      </c>
      <c r="P75" s="1324" t="s">
        <v>838</v>
      </c>
      <c r="Q75" s="1325">
        <f ca="1">Q65+Q66</f>
        <v>2209204</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0.82200000000000006</v>
      </c>
    </row>
    <row r="80" spans="1:18">
      <c r="B80" s="330" t="s">
        <v>800</v>
      </c>
      <c r="C80" s="265">
        <f ca="1">ROUND(C75/C39,3)</f>
        <v>0.17799999999999999</v>
      </c>
    </row>
    <row r="81" spans="2:3">
      <c r="B81" s="261" t="s">
        <v>801</v>
      </c>
      <c r="C81" s="229"/>
    </row>
    <row r="82" spans="2:3">
      <c r="B82" s="264" t="s">
        <v>802</v>
      </c>
      <c r="C82" s="266">
        <f ca="1">1-C83</f>
        <v>0.91700000000000004</v>
      </c>
    </row>
    <row r="83" spans="2:3">
      <c r="B83" s="264" t="s">
        <v>803</v>
      </c>
      <c r="C83" s="265">
        <f ca="1">ROUND(C13/C40,3)</f>
        <v>8.3000000000000004E-2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1" t="s">
        <v>2313</v>
      </c>
      <c r="B2" s="2589" t="e">
        <f>IF(D2="——",C40,C40+E2)</f>
        <v>#DIV/0!</v>
      </c>
      <c r="C2" s="2590" t="s">
        <v>2314</v>
      </c>
      <c r="D2" s="3133" t="s">
        <v>3359</v>
      </c>
      <c r="E2" s="3134"/>
      <c r="F2" s="2592"/>
      <c r="G2" s="2593"/>
      <c r="H2" s="2594"/>
      <c r="I2" s="2595"/>
      <c r="J2" s="3380" t="s">
        <v>2315</v>
      </c>
      <c r="K2" s="3381"/>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382" t="s">
        <v>2325</v>
      </c>
      <c r="K3" s="3383"/>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382" t="s">
        <v>2327</v>
      </c>
      <c r="K4" s="3383"/>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384" t="s">
        <v>2331</v>
      </c>
      <c r="B6" s="3385"/>
      <c r="C6" s="3386"/>
      <c r="D6" s="2616"/>
      <c r="E6" s="2617"/>
      <c r="F6" s="2618"/>
      <c r="G6" s="2619"/>
      <c r="H6" s="2594"/>
      <c r="I6" s="2595"/>
      <c r="J6" s="3387">
        <v>1</v>
      </c>
      <c r="K6" s="3388"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387"/>
      <c r="K7" s="3389"/>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391" t="s">
        <v>2345</v>
      </c>
      <c r="C8" s="3392"/>
      <c r="D8" s="2635" t="s">
        <v>2346</v>
      </c>
      <c r="E8" s="2636" t="s">
        <v>2347</v>
      </c>
      <c r="F8" s="2637" t="s">
        <v>2348</v>
      </c>
      <c r="G8" s="2638"/>
      <c r="H8" s="2594"/>
      <c r="I8" s="2595"/>
      <c r="J8" s="3387"/>
      <c r="K8" s="3389"/>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391" t="s">
        <v>2351</v>
      </c>
      <c r="C9" s="3392"/>
      <c r="D9" s="2635">
        <f>ROUND(D6*E9,0)</f>
        <v>0</v>
      </c>
      <c r="E9" s="2639"/>
      <c r="F9" s="2640" t="s">
        <v>2352</v>
      </c>
      <c r="G9" s="2619"/>
      <c r="H9" s="2594"/>
      <c r="I9" s="2595"/>
      <c r="J9" s="3387"/>
      <c r="K9" s="3389"/>
      <c r="L9" s="2629" t="s">
        <v>2353</v>
      </c>
      <c r="M9" s="2630"/>
      <c r="N9" s="2606"/>
      <c r="O9" s="2631"/>
      <c r="P9" s="2631"/>
      <c r="Q9" s="2632">
        <v>365</v>
      </c>
      <c r="R9" s="2633">
        <f t="shared" si="0"/>
        <v>0</v>
      </c>
      <c r="S9" s="2587"/>
      <c r="T9" s="2587"/>
      <c r="U9" s="2587"/>
      <c r="V9" s="2595"/>
    </row>
    <row r="10" spans="1:22" s="2599" customFormat="1" ht="13.15" customHeight="1">
      <c r="A10" s="2634">
        <v>2</v>
      </c>
      <c r="B10" s="3391" t="s">
        <v>2354</v>
      </c>
      <c r="C10" s="3392"/>
      <c r="D10" s="2635">
        <f>ROUND(D6*E10,0)</f>
        <v>0</v>
      </c>
      <c r="E10" s="2639"/>
      <c r="F10" s="2640" t="s">
        <v>2355</v>
      </c>
      <c r="G10" s="2619"/>
      <c r="H10" s="2594"/>
      <c r="I10" s="2595"/>
      <c r="J10" s="3387"/>
      <c r="K10" s="3389"/>
      <c r="L10" s="2629" t="s">
        <v>2356</v>
      </c>
      <c r="M10" s="2630"/>
      <c r="N10" s="2606"/>
      <c r="O10" s="2631"/>
      <c r="P10" s="2631"/>
      <c r="Q10" s="2632">
        <v>365</v>
      </c>
      <c r="R10" s="2633">
        <f t="shared" si="0"/>
        <v>0</v>
      </c>
      <c r="S10" s="2587"/>
      <c r="T10" s="2587"/>
      <c r="U10" s="2587"/>
      <c r="V10" s="2595"/>
    </row>
    <row r="11" spans="1:22" s="2599" customFormat="1" ht="13.15" customHeight="1">
      <c r="A11" s="2634">
        <v>3</v>
      </c>
      <c r="B11" s="3391" t="s">
        <v>2357</v>
      </c>
      <c r="C11" s="3392"/>
      <c r="D11" s="2635">
        <f>D12+D14+D15+D16</f>
        <v>0</v>
      </c>
      <c r="E11" s="2641" t="e">
        <f>D11/D6</f>
        <v>#DIV/0!</v>
      </c>
      <c r="F11" s="2637"/>
      <c r="G11" s="2638"/>
      <c r="H11" s="2594"/>
      <c r="I11" s="2595"/>
      <c r="J11" s="3387"/>
      <c r="K11" s="3389"/>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393" t="s">
        <v>2360</v>
      </c>
      <c r="C12" s="3394"/>
      <c r="D12" s="2643">
        <f>ROUND(D13*1.2%*(1-30%),0)</f>
        <v>0</v>
      </c>
      <c r="E12" s="2644">
        <v>1.2E-2</v>
      </c>
      <c r="F12" s="2637" t="s">
        <v>2361</v>
      </c>
      <c r="G12" s="2638"/>
      <c r="H12" s="2594"/>
      <c r="I12" s="2595"/>
      <c r="J12" s="3387"/>
      <c r="K12" s="3389"/>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387"/>
      <c r="K13" s="3389"/>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393" t="s">
        <v>2366</v>
      </c>
      <c r="C14" s="3394"/>
      <c r="D14" s="2643">
        <f>ROUND(E14*B5/10000,0)</f>
        <v>0</v>
      </c>
      <c r="E14" s="2632"/>
      <c r="F14" s="2637" t="s">
        <v>2367</v>
      </c>
      <c r="G14" s="2638"/>
      <c r="H14" s="2594"/>
      <c r="I14" s="2595"/>
      <c r="J14" s="3387"/>
      <c r="K14" s="3390"/>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393" t="s">
        <v>2370</v>
      </c>
      <c r="C15" s="3394"/>
      <c r="D15" s="2643">
        <f>ROUND(D6*E15,0)</f>
        <v>0</v>
      </c>
      <c r="E15" s="2644">
        <v>5.5E-2</v>
      </c>
      <c r="F15" s="2637" t="s">
        <v>2371</v>
      </c>
      <c r="G15" s="2619"/>
      <c r="H15" s="2594"/>
      <c r="I15" s="2595"/>
      <c r="J15" s="3387">
        <v>2</v>
      </c>
      <c r="K15" s="3388"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393" t="s">
        <v>2379</v>
      </c>
      <c r="C16" s="3394"/>
      <c r="D16" s="2654">
        <f>D6*E16</f>
        <v>0</v>
      </c>
      <c r="E16" s="2655"/>
      <c r="F16" s="2640" t="s">
        <v>2380</v>
      </c>
      <c r="G16" s="2619"/>
      <c r="H16" s="2594"/>
      <c r="I16" s="2595"/>
      <c r="J16" s="3387"/>
      <c r="K16" s="3389"/>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395" t="s">
        <v>2382</v>
      </c>
      <c r="C17" s="3396"/>
      <c r="D17" s="2657">
        <f>ROUND(D6*E17,0)</f>
        <v>0</v>
      </c>
      <c r="E17" s="2658"/>
      <c r="F17" s="2659" t="s">
        <v>2383</v>
      </c>
      <c r="G17" s="2619"/>
      <c r="H17" s="2594"/>
      <c r="I17" s="2595"/>
      <c r="J17" s="3387"/>
      <c r="K17" s="3389"/>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387"/>
      <c r="K18" s="3389"/>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387"/>
      <c r="K19" s="3390"/>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87">
        <v>3</v>
      </c>
      <c r="K20" s="3388"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387"/>
      <c r="K21" s="3389"/>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387"/>
      <c r="K22" s="3389"/>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387"/>
      <c r="K23" s="3389"/>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387"/>
      <c r="K24" s="3390"/>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397">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398"/>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380" t="s">
        <v>2315</v>
      </c>
      <c r="K32" s="3381"/>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382" t="s">
        <v>2325</v>
      </c>
      <c r="K33" s="3383"/>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382" t="s">
        <v>2327</v>
      </c>
      <c r="K34" s="3383"/>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387">
        <v>1</v>
      </c>
      <c r="K36" s="3388"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387"/>
      <c r="K37" s="3389"/>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87"/>
      <c r="K38" s="3389"/>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387"/>
      <c r="K39" s="3389"/>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387"/>
      <c r="K40" s="3390"/>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397">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398"/>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220.9204</v>
      </c>
      <c r="C2" s="1727" t="s">
        <v>1651</v>
      </c>
      <c r="D2" s="1728" t="s">
        <v>1652</v>
      </c>
      <c r="E2" s="2387">
        <f>SUM(E6:E13)</f>
        <v>45.34</v>
      </c>
      <c r="F2" s="2474"/>
      <c r="G2" s="458"/>
      <c r="H2" s="458"/>
      <c r="I2" s="458"/>
      <c r="J2" s="458"/>
      <c r="K2" s="458"/>
      <c r="L2" s="458"/>
      <c r="M2" s="458"/>
      <c r="N2" s="458"/>
      <c r="O2" s="458"/>
      <c r="P2" s="458"/>
      <c r="Q2" s="458"/>
      <c r="R2" s="458"/>
      <c r="S2" s="458"/>
    </row>
    <row r="3" spans="1:22" ht="15.75">
      <c r="A3" s="1726" t="s">
        <v>686</v>
      </c>
      <c r="B3" s="2381">
        <f ca="1">ROUND(B2*10000/E2,0)</f>
        <v>48725</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9" t="s">
        <v>1654</v>
      </c>
      <c r="C5" s="3400"/>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220.9204</v>
      </c>
      <c r="C6" s="1727" t="s">
        <v>1651</v>
      </c>
      <c r="D6" s="2474"/>
      <c r="E6" s="2386">
        <f>IF(OR(A6=0,F6="否"),0,'数据-取费表'!K6+'数据-取费表'!S6)</f>
        <v>45.34</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E47" sqref="E4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9"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0">
        <f>IF(E1="项目模式",IF(C2="——",ROUND(C49*D3/10000,0),ROUND(C49*D3/10000,0)-D2),IF(E1="单套模式",IF(C2="——",ROUND(C49*D3/10000,4),ROUND(C49*D3/10000,4)-D2)))</f>
        <v>395.25150000000002</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87175</v>
      </c>
      <c r="C3" s="343" t="s">
        <v>1665</v>
      </c>
      <c r="D3" s="342">
        <f>IF(D1="",'数据-汇总表'!E3,SUMIF('数据-汇总表'!$C19:$C33,D1,'数据-汇总表'!$E19:$E33))</f>
        <v>45.34</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0" t="s">
        <v>1667</v>
      </c>
      <c r="D4" s="3421"/>
      <c r="E4" s="3422" t="s">
        <v>1668</v>
      </c>
      <c r="F4" s="3423"/>
      <c r="G4" s="3420" t="s">
        <v>1669</v>
      </c>
      <c r="H4" s="3421"/>
      <c r="I4" s="3420" t="s">
        <v>1670</v>
      </c>
      <c r="J4" s="3421"/>
      <c r="K4" s="1742" t="s">
        <v>1671</v>
      </c>
      <c r="L4" s="2481"/>
      <c r="M4" s="2482"/>
      <c r="N4" s="2482"/>
      <c r="O4" s="2482"/>
      <c r="P4" s="3424" t="s">
        <v>1672</v>
      </c>
      <c r="Q4" s="3425"/>
      <c r="R4" s="3406" t="s">
        <v>1668</v>
      </c>
      <c r="S4" s="3407"/>
      <c r="T4" s="3406" t="s">
        <v>1669</v>
      </c>
      <c r="U4" s="3407"/>
      <c r="V4" s="3432" t="s">
        <v>1670</v>
      </c>
      <c r="W4" s="3432"/>
      <c r="X4" s="1263"/>
      <c r="Y4" s="3406" t="s">
        <v>1672</v>
      </c>
      <c r="Z4" s="3407"/>
      <c r="AA4" s="3401" t="s">
        <v>1668</v>
      </c>
      <c r="AB4" s="3401" t="s">
        <v>1669</v>
      </c>
      <c r="AC4" s="3401" t="s">
        <v>1670</v>
      </c>
    </row>
    <row r="5" spans="1:29" ht="15">
      <c r="A5" s="347"/>
      <c r="B5" s="348"/>
      <c r="C5" s="3412" t="s">
        <v>3460</v>
      </c>
      <c r="D5" s="3413"/>
      <c r="E5" s="3410" t="str">
        <f>案例!C2</f>
        <v>安贞里四区</v>
      </c>
      <c r="F5" s="3411"/>
      <c r="G5" s="3416" t="str">
        <f>E5</f>
        <v>安贞里四区</v>
      </c>
      <c r="H5" s="3413"/>
      <c r="I5" s="3416" t="str">
        <f>E5</f>
        <v>安贞里四区</v>
      </c>
      <c r="J5" s="3413"/>
      <c r="K5" s="1743"/>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1743"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45288</v>
      </c>
      <c r="D7" s="354">
        <v>100</v>
      </c>
      <c r="E7" s="355">
        <f>案例!L2</f>
        <v>45069</v>
      </c>
      <c r="F7" s="356">
        <f>SUMIF(58:58,YEAR(E7)&amp;"-"&amp;MONTH(E7),59:59)</f>
        <v>100.6</v>
      </c>
      <c r="G7" s="355">
        <f>案例!L3</f>
        <v>44988</v>
      </c>
      <c r="H7" s="354">
        <f>SUMIF(58:58,YEAR(G7)&amp;"-"&amp;MONTH(G7),59:59)</f>
        <v>100.89999999999999</v>
      </c>
      <c r="I7" s="355">
        <f>案例!L4</f>
        <v>44937</v>
      </c>
      <c r="J7" s="354">
        <f>SUMIF(58:58,YEAR(I7)&amp;"-"&amp;MONTH(I7),59:59)</f>
        <v>100.89999999999999</v>
      </c>
      <c r="K7" s="3181"/>
      <c r="L7" s="2483"/>
      <c r="M7" s="2434"/>
      <c r="N7" s="2434"/>
      <c r="O7" s="2434"/>
      <c r="P7" s="3404" t="s">
        <v>1680</v>
      </c>
      <c r="Q7" s="3433"/>
      <c r="R7" s="663" t="s">
        <v>20</v>
      </c>
      <c r="S7" s="664">
        <f t="shared" ref="S7:S15" si="0">F7</f>
        <v>100.6</v>
      </c>
      <c r="T7" s="663" t="s">
        <v>20</v>
      </c>
      <c r="U7" s="664">
        <f t="shared" ref="U7:U15" si="1">H7</f>
        <v>100.89999999999999</v>
      </c>
      <c r="V7" s="663" t="s">
        <v>20</v>
      </c>
      <c r="W7" s="664">
        <f t="shared" ref="W7:W15" si="2">J7</f>
        <v>100.89999999999999</v>
      </c>
      <c r="X7" s="665"/>
      <c r="Y7" s="3404" t="s">
        <v>1680</v>
      </c>
      <c r="Z7" s="3405"/>
      <c r="AA7" s="50">
        <f>D7/F7</f>
        <v>0.99403578528827041</v>
      </c>
      <c r="AB7" s="50">
        <f>D7/H7</f>
        <v>0.99108027750247774</v>
      </c>
      <c r="AC7" s="50">
        <f>D7/J7</f>
        <v>0.99108027750247774</v>
      </c>
    </row>
    <row r="8" spans="1:29" s="101" customFormat="1" ht="15.75" thickBot="1">
      <c r="A8" s="351" t="s">
        <v>1681</v>
      </c>
      <c r="B8" s="352"/>
      <c r="C8" s="357" t="s">
        <v>3422</v>
      </c>
      <c r="D8" s="354">
        <v>100</v>
      </c>
      <c r="E8" s="357" t="s">
        <v>3422</v>
      </c>
      <c r="F8" s="356">
        <f>SUMIF(61:61,E8,62:62)-SUMIF(61:61,C8,62:62)+100</f>
        <v>100</v>
      </c>
      <c r="G8" s="357" t="s">
        <v>3422</v>
      </c>
      <c r="H8" s="354">
        <f>SUMIF(61:61,G8,62:62)-SUMIF(61:61,C8,62:62)+100</f>
        <v>100</v>
      </c>
      <c r="I8" s="357" t="s">
        <v>3422</v>
      </c>
      <c r="J8" s="354">
        <f>SUMIF(61:61,I8,62:62)-SUMIF(61:61,C8,62:62)+100</f>
        <v>100</v>
      </c>
      <c r="K8" s="1744"/>
      <c r="L8" s="2483"/>
      <c r="M8" s="2434"/>
      <c r="N8" s="2434"/>
      <c r="O8" s="2434"/>
      <c r="P8" s="3404" t="s">
        <v>1683</v>
      </c>
      <c r="Q8" s="3405"/>
      <c r="R8" s="663" t="s">
        <v>20</v>
      </c>
      <c r="S8" s="664">
        <f t="shared" si="0"/>
        <v>100</v>
      </c>
      <c r="T8" s="663" t="s">
        <v>20</v>
      </c>
      <c r="U8" s="664">
        <f t="shared" si="1"/>
        <v>100</v>
      </c>
      <c r="V8" s="663" t="s">
        <v>20</v>
      </c>
      <c r="W8" s="664">
        <f t="shared" si="2"/>
        <v>100</v>
      </c>
      <c r="X8" s="665"/>
      <c r="Y8" s="3404" t="s">
        <v>1683</v>
      </c>
      <c r="Z8" s="3405"/>
      <c r="AA8" s="50">
        <f t="shared" ref="AA8:AA19" si="3">D8/F8</f>
        <v>1</v>
      </c>
      <c r="AB8" s="50">
        <f t="shared" ref="AB8:AB19" si="4">D8/H8</f>
        <v>1</v>
      </c>
      <c r="AC8" s="50">
        <f t="shared" ref="AC8:AC19" si="5">D8/J8</f>
        <v>1</v>
      </c>
    </row>
    <row r="9" spans="1:29" s="101" customFormat="1">
      <c r="A9" s="358" t="s">
        <v>1684</v>
      </c>
      <c r="B9" s="60" t="s">
        <v>1685</v>
      </c>
      <c r="C9" s="3154" t="s">
        <v>3433</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9"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15.75" thickBot="1">
      <c r="A10" s="362"/>
      <c r="B10" s="3179" t="s">
        <v>3480</v>
      </c>
      <c r="C10" s="3187" t="s">
        <v>3482</v>
      </c>
      <c r="D10" s="118">
        <v>100</v>
      </c>
      <c r="E10" s="3188" t="s">
        <v>3481</v>
      </c>
      <c r="F10" s="363">
        <f>SUMIF(65:65,E10,66:66)-SUMIF(65:65,C10,66:66)+100</f>
        <v>100</v>
      </c>
      <c r="G10" s="3189" t="s">
        <v>3483</v>
      </c>
      <c r="H10" s="118">
        <f>SUMIF(65:65,G10,66:66)-SUMIF(65:65,C10,66:66)+100</f>
        <v>99.5</v>
      </c>
      <c r="I10" s="3189" t="s">
        <v>3483</v>
      </c>
      <c r="J10" s="118">
        <f>SUMIF(65:65,I10,66:66)-SUMIF(65:65,C10,66:66)+100</f>
        <v>99.5</v>
      </c>
      <c r="K10" s="1744"/>
      <c r="L10" s="2484"/>
      <c r="M10" s="2485"/>
      <c r="N10" s="2485"/>
      <c r="O10" s="2485"/>
      <c r="P10" s="3419"/>
      <c r="Q10" s="529" t="str">
        <f t="shared" si="6"/>
        <v>房屋性质</v>
      </c>
      <c r="R10" s="663" t="s">
        <v>14</v>
      </c>
      <c r="S10" s="664">
        <f t="shared" si="0"/>
        <v>100</v>
      </c>
      <c r="T10" s="663" t="s">
        <v>14</v>
      </c>
      <c r="U10" s="664">
        <f t="shared" si="1"/>
        <v>99.5</v>
      </c>
      <c r="V10" s="663" t="s">
        <v>14</v>
      </c>
      <c r="W10" s="664">
        <f t="shared" si="2"/>
        <v>99.5</v>
      </c>
      <c r="X10" s="665"/>
      <c r="Y10" s="3348"/>
      <c r="Z10" s="50" t="str">
        <f t="shared" si="7"/>
        <v>房屋性质</v>
      </c>
      <c r="AA10" s="50">
        <f t="shared" si="3"/>
        <v>1</v>
      </c>
      <c r="AB10" s="50">
        <f t="shared" si="4"/>
        <v>1.0050251256281406</v>
      </c>
      <c r="AC10" s="50">
        <f t="shared" si="5"/>
        <v>1.0050251256281406</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9"/>
      <c r="Q11" s="529" t="str">
        <f t="shared" si="6"/>
        <v>容积率</v>
      </c>
      <c r="R11" s="663" t="s">
        <v>18</v>
      </c>
      <c r="S11" s="664">
        <f t="shared" si="0"/>
        <v>100</v>
      </c>
      <c r="T11" s="663" t="s">
        <v>18</v>
      </c>
      <c r="U11" s="664">
        <f t="shared" si="1"/>
        <v>100</v>
      </c>
      <c r="V11" s="663" t="s">
        <v>18</v>
      </c>
      <c r="W11" s="664">
        <f t="shared" si="2"/>
        <v>100</v>
      </c>
      <c r="X11" s="665"/>
      <c r="Y11" s="3348"/>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9"/>
      <c r="Q12" s="529">
        <f t="shared" si="6"/>
        <v>111</v>
      </c>
      <c r="R12" s="663" t="s">
        <v>18</v>
      </c>
      <c r="S12" s="664">
        <f t="shared" si="0"/>
        <v>100</v>
      </c>
      <c r="T12" s="663" t="s">
        <v>18</v>
      </c>
      <c r="U12" s="664">
        <f t="shared" si="1"/>
        <v>100</v>
      </c>
      <c r="V12" s="663" t="s">
        <v>18</v>
      </c>
      <c r="W12" s="664">
        <f t="shared" si="2"/>
        <v>100</v>
      </c>
      <c r="X12" s="665"/>
      <c r="Y12" s="3348"/>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9"/>
      <c r="Q13" s="529">
        <f t="shared" si="6"/>
        <v>111</v>
      </c>
      <c r="R13" s="663" t="s">
        <v>18</v>
      </c>
      <c r="S13" s="664">
        <f t="shared" si="0"/>
        <v>100</v>
      </c>
      <c r="T13" s="663" t="s">
        <v>18</v>
      </c>
      <c r="U13" s="664">
        <f t="shared" si="1"/>
        <v>100</v>
      </c>
      <c r="V13" s="663" t="s">
        <v>18</v>
      </c>
      <c r="W13" s="664">
        <f t="shared" si="2"/>
        <v>100</v>
      </c>
      <c r="X13" s="665"/>
      <c r="Y13" s="3348"/>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9"/>
      <c r="Q14" s="529">
        <f t="shared" si="6"/>
        <v>111</v>
      </c>
      <c r="R14" s="663" t="s">
        <v>18</v>
      </c>
      <c r="S14" s="664">
        <f t="shared" si="0"/>
        <v>100</v>
      </c>
      <c r="T14" s="663" t="s">
        <v>18</v>
      </c>
      <c r="U14" s="664">
        <f t="shared" si="1"/>
        <v>100</v>
      </c>
      <c r="V14" s="663" t="s">
        <v>18</v>
      </c>
      <c r="W14" s="664">
        <f t="shared" si="2"/>
        <v>100</v>
      </c>
      <c r="X14" s="665"/>
      <c r="Y14" s="3348"/>
      <c r="Z14" s="50">
        <f t="shared" si="7"/>
        <v>111</v>
      </c>
      <c r="AA14" s="50">
        <f t="shared" si="3"/>
        <v>1</v>
      </c>
      <c r="AB14" s="50">
        <f t="shared" si="4"/>
        <v>1</v>
      </c>
      <c r="AC14" s="50">
        <f t="shared" si="5"/>
        <v>1</v>
      </c>
    </row>
    <row r="15" spans="1:29" ht="41.25" customHeight="1">
      <c r="A15" s="378" t="s">
        <v>1690</v>
      </c>
      <c r="B15" s="58" t="s">
        <v>1257</v>
      </c>
      <c r="C15" s="1747" t="str">
        <f>估价对象房地状况!C3</f>
        <v>周边有胜古誉园、安华里、安华西里、安贞西里等住宅小区，居住社区成熟度较好。</v>
      </c>
      <c r="D15" s="379">
        <v>100</v>
      </c>
      <c r="E15" s="3157" t="str">
        <f>估价对象房地状况!C3</f>
        <v>周边有胜古誉园、安华里、安华西里、安贞西里等住宅小区，居住社区成熟度较好。</v>
      </c>
      <c r="F15" s="379">
        <f>SUMIF(76:76,E16,77:77)-SUMIF(76:76,C16,77:77)+100</f>
        <v>100</v>
      </c>
      <c r="G15" s="3165" t="str">
        <f>E15</f>
        <v>周边有胜古誉园、安华里、安华西里、安贞西里等住宅小区，居住社区成熟度较好。</v>
      </c>
      <c r="H15" s="379">
        <f>SUMIF(76:76,G16,77:77)-SUMIF(76:76,C16,77:77)+100</f>
        <v>100</v>
      </c>
      <c r="I15" s="3165" t="str">
        <f>E15</f>
        <v>周边有胜古誉园、安华里、安华西里、安贞西里等住宅小区，居住社区成熟度较好。</v>
      </c>
      <c r="J15" s="379">
        <f>SUMIF(76:76,I16,77:77)-SUMIF(76:76,C16,77:77)+100</f>
        <v>100</v>
      </c>
      <c r="K15" s="383"/>
      <c r="L15" s="2487"/>
      <c r="M15" s="2482"/>
      <c r="N15" s="2482"/>
      <c r="O15" s="2482"/>
      <c r="P15" s="3445" t="s">
        <v>1691</v>
      </c>
      <c r="Q15" s="1261" t="str">
        <f t="shared" si="6"/>
        <v>居住社区成熟度</v>
      </c>
      <c r="R15" s="666" t="s">
        <v>18</v>
      </c>
      <c r="S15" s="667">
        <f t="shared" si="0"/>
        <v>100</v>
      </c>
      <c r="T15" s="666" t="s">
        <v>18</v>
      </c>
      <c r="U15" s="667">
        <f t="shared" si="1"/>
        <v>100</v>
      </c>
      <c r="V15" s="666" t="s">
        <v>18</v>
      </c>
      <c r="W15" s="667">
        <f t="shared" si="2"/>
        <v>100</v>
      </c>
      <c r="X15" s="1263"/>
      <c r="Y15" s="3438"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46"/>
      <c r="Q16" s="1261"/>
      <c r="R16" s="666"/>
      <c r="S16" s="667"/>
      <c r="T16" s="666"/>
      <c r="U16" s="667"/>
      <c r="V16" s="666"/>
      <c r="W16" s="667"/>
      <c r="X16" s="1263"/>
      <c r="Y16" s="3439"/>
      <c r="Z16" s="1262"/>
      <c r="AA16" s="1262">
        <v>1</v>
      </c>
      <c r="AB16" s="1262">
        <v>1</v>
      </c>
      <c r="AC16" s="1262">
        <v>1</v>
      </c>
    </row>
    <row r="17" spans="1:29" ht="34.5" customHeight="1">
      <c r="A17" s="366"/>
      <c r="B17" s="389" t="s">
        <v>1259</v>
      </c>
      <c r="C17" s="1751" t="str">
        <f>估价对象房地状况!C6</f>
        <v>周边有300路、302路、328路、361路等多条公交线路及地铁8号线与10号线换乘站北土城站，综合评价交通便捷度较好</v>
      </c>
      <c r="D17" s="388">
        <v>100</v>
      </c>
      <c r="E17" s="3174" t="str">
        <f>C17</f>
        <v>周边有300路、302路、328路、361路等多条公交线路及地铁8号线与10号线换乘站北土城站，综合评价交通便捷度较好</v>
      </c>
      <c r="F17" s="388">
        <f>SUMIF(78:78,E18,79:79)-SUMIF(78:78,C18,79:79)+100</f>
        <v>100</v>
      </c>
      <c r="G17" s="3174" t="str">
        <f>E17</f>
        <v>周边有300路、302路、328路、361路等多条公交线路及地铁8号线与10号线换乘站北土城站，综合评价交通便捷度较好</v>
      </c>
      <c r="H17" s="393">
        <f>SUMIF(78:78,G18,79:79)-SUMIF(78:78,C18,79:79)+100</f>
        <v>100</v>
      </c>
      <c r="I17" s="3175" t="str">
        <f>E17</f>
        <v>周边有300路、302路、328路、361路等多条公交线路及地铁8号线与10号线换乘站北土城站，综合评价交通便捷度较好</v>
      </c>
      <c r="J17" s="393">
        <f>SUMIF(78:78,I18,79:79)-SUMIF(78:78,C18,79:79)+100</f>
        <v>100</v>
      </c>
      <c r="K17" s="383"/>
      <c r="L17" s="2487"/>
      <c r="M17" s="2482"/>
      <c r="N17" s="2482"/>
      <c r="O17" s="2482"/>
      <c r="P17" s="3446"/>
      <c r="Q17" s="1261" t="str">
        <f>B17</f>
        <v>交通便捷度</v>
      </c>
      <c r="R17" s="666" t="s">
        <v>18</v>
      </c>
      <c r="S17" s="667">
        <f>F17</f>
        <v>100</v>
      </c>
      <c r="T17" s="666" t="s">
        <v>18</v>
      </c>
      <c r="U17" s="667">
        <f>H17</f>
        <v>100</v>
      </c>
      <c r="V17" s="666" t="s">
        <v>18</v>
      </c>
      <c r="W17" s="667">
        <f>J17</f>
        <v>100</v>
      </c>
      <c r="X17" s="1263"/>
      <c r="Y17" s="3439"/>
      <c r="Z17" s="1262" t="str">
        <f>Q17</f>
        <v>交通便捷度</v>
      </c>
      <c r="AA17" s="1262">
        <f t="shared" si="3"/>
        <v>1</v>
      </c>
      <c r="AB17" s="1262">
        <f t="shared" si="4"/>
        <v>1</v>
      </c>
      <c r="AC17" s="1262">
        <f t="shared" si="5"/>
        <v>1</v>
      </c>
    </row>
    <row r="18" spans="1:29" ht="15">
      <c r="A18" s="366"/>
      <c r="B18" s="394"/>
      <c r="C18" s="1752" t="s">
        <v>3406</v>
      </c>
      <c r="D18" s="388"/>
      <c r="E18" s="385" t="s">
        <v>3406</v>
      </c>
      <c r="F18" s="388"/>
      <c r="G18" s="385" t="s">
        <v>3406</v>
      </c>
      <c r="H18" s="386"/>
      <c r="I18" s="385" t="s">
        <v>3406</v>
      </c>
      <c r="J18" s="386"/>
      <c r="K18" s="1750"/>
      <c r="L18" s="2487"/>
      <c r="M18" s="2482"/>
      <c r="N18" s="2482"/>
      <c r="O18" s="2482"/>
      <c r="P18" s="3446"/>
      <c r="Q18" s="1261"/>
      <c r="R18" s="666"/>
      <c r="S18" s="667"/>
      <c r="T18" s="666"/>
      <c r="U18" s="667"/>
      <c r="V18" s="666"/>
      <c r="W18" s="667"/>
      <c r="X18" s="1263"/>
      <c r="Y18" s="3439"/>
      <c r="Z18" s="1262"/>
      <c r="AA18" s="1262">
        <v>1</v>
      </c>
      <c r="AB18" s="1262">
        <v>1</v>
      </c>
      <c r="AC18" s="1262">
        <v>1</v>
      </c>
    </row>
    <row r="19" spans="1:29" ht="299.25" customHeight="1">
      <c r="A19" s="366"/>
      <c r="B19" s="389" t="s">
        <v>1258</v>
      </c>
      <c r="C19" s="1751"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177" t="str">
        <f>C19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F19" s="393">
        <f>SUMIF(80:80,E20,81:81)-SUMIF(80:80,C20,81:81)+100</f>
        <v>100</v>
      </c>
      <c r="G19" s="3176"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H19" s="388">
        <f>SUMIF(80:80,G20,81:81)-SUMIF(80:80,C20,81:81)+100</f>
        <v>100</v>
      </c>
      <c r="I19" s="3176"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J19" s="388">
        <f>SUMIF(80:80,I20,81:81)-SUMIF(80:80,C20,81:81)+100</f>
        <v>100</v>
      </c>
      <c r="K19" s="383"/>
      <c r="L19" s="2487"/>
      <c r="M19" s="2482"/>
      <c r="N19" s="2482"/>
      <c r="O19" s="2482"/>
      <c r="P19" s="3446"/>
      <c r="Q19" s="1261" t="str">
        <f>B19</f>
        <v>公共配套设施</v>
      </c>
      <c r="R19" s="666" t="s">
        <v>18</v>
      </c>
      <c r="S19" s="667">
        <f>F19</f>
        <v>100</v>
      </c>
      <c r="T19" s="666" t="s">
        <v>18</v>
      </c>
      <c r="U19" s="667">
        <f>H19</f>
        <v>100</v>
      </c>
      <c r="V19" s="666" t="s">
        <v>18</v>
      </c>
      <c r="W19" s="667">
        <f>J19</f>
        <v>100</v>
      </c>
      <c r="X19" s="1263"/>
      <c r="Y19" s="3439"/>
      <c r="Z19" s="1262" t="str">
        <f>Q19</f>
        <v>公共配套设施</v>
      </c>
      <c r="AA19" s="1262">
        <f t="shared" si="3"/>
        <v>1</v>
      </c>
      <c r="AB19" s="1262">
        <f t="shared" si="4"/>
        <v>1</v>
      </c>
      <c r="AC19" s="1262">
        <f t="shared" si="5"/>
        <v>1</v>
      </c>
    </row>
    <row r="20" spans="1:29" ht="15">
      <c r="A20" s="366"/>
      <c r="B20" s="394"/>
      <c r="C20" s="385" t="s">
        <v>3406</v>
      </c>
      <c r="D20" s="386"/>
      <c r="E20" s="3166" t="s">
        <v>3406</v>
      </c>
      <c r="F20" s="386"/>
      <c r="G20" s="385" t="s">
        <v>3406</v>
      </c>
      <c r="H20" s="386"/>
      <c r="I20" s="385" t="s">
        <v>3406</v>
      </c>
      <c r="J20" s="386"/>
      <c r="K20" s="1750"/>
      <c r="L20" s="2487"/>
      <c r="M20" s="2482"/>
      <c r="N20" s="2482"/>
      <c r="O20" s="2482"/>
      <c r="P20" s="3446"/>
      <c r="Q20" s="1261"/>
      <c r="R20" s="666"/>
      <c r="S20" s="667"/>
      <c r="T20" s="666"/>
      <c r="U20" s="667"/>
      <c r="V20" s="666"/>
      <c r="W20" s="667"/>
      <c r="X20" s="1263"/>
      <c r="Y20" s="3439"/>
      <c r="Z20" s="1262"/>
      <c r="AA20" s="1262">
        <v>1</v>
      </c>
      <c r="AB20" s="1262">
        <v>1</v>
      </c>
      <c r="AC20" s="1262">
        <v>1</v>
      </c>
    </row>
    <row r="21" spans="1:29" ht="28.5">
      <c r="A21" s="366"/>
      <c r="B21" s="585" t="s">
        <v>1260</v>
      </c>
      <c r="C21" s="1751" t="str">
        <f>估价对象房地状况!C8</f>
        <v>估价对象所在区域基础设施水平</v>
      </c>
      <c r="D21" s="388">
        <v>100</v>
      </c>
      <c r="E21" s="3158"/>
      <c r="F21" s="393">
        <f>SUMIF(82:82,E22,83:83)-SUMIF(82:82,C22,83:83)+100</f>
        <v>100</v>
      </c>
      <c r="G21" s="395"/>
      <c r="H21" s="388">
        <f>SUMIF(82:82,G22,83:83)-SUMIF(82:82,C22,83:83)+100</f>
        <v>100</v>
      </c>
      <c r="I21" s="395"/>
      <c r="J21" s="388">
        <f>SUMIF(82:82,I22,83:83)-SUMIF(82:82,C22,83:83)+100</f>
        <v>100</v>
      </c>
      <c r="K21" s="383"/>
      <c r="L21" s="2487"/>
      <c r="M21" s="2482"/>
      <c r="N21" s="2482"/>
      <c r="O21" s="2482"/>
      <c r="P21" s="3446"/>
      <c r="Q21" s="1261" t="str">
        <f>B21</f>
        <v>基础设施水平</v>
      </c>
      <c r="R21" s="666" t="s">
        <v>14</v>
      </c>
      <c r="S21" s="667">
        <f>F21</f>
        <v>100</v>
      </c>
      <c r="T21" s="666" t="s">
        <v>14</v>
      </c>
      <c r="U21" s="667">
        <f>H21</f>
        <v>100</v>
      </c>
      <c r="V21" s="666" t="s">
        <v>14</v>
      </c>
      <c r="W21" s="667">
        <f>J21</f>
        <v>100</v>
      </c>
      <c r="X21" s="1263"/>
      <c r="Y21" s="3439"/>
      <c r="Z21" s="1262" t="str">
        <f>Q21</f>
        <v>基础设施水平</v>
      </c>
      <c r="AA21" s="1262">
        <f>D21/F21</f>
        <v>1</v>
      </c>
      <c r="AB21" s="1262">
        <f>D21/H21</f>
        <v>1</v>
      </c>
      <c r="AC21" s="1262">
        <f>D21/J21</f>
        <v>1</v>
      </c>
    </row>
    <row r="22" spans="1:29" ht="15">
      <c r="A22" s="366"/>
      <c r="B22" s="585"/>
      <c r="C22" s="1752" t="s">
        <v>3412</v>
      </c>
      <c r="D22" s="386"/>
      <c r="E22" s="3167" t="s">
        <v>3412</v>
      </c>
      <c r="F22" s="386"/>
      <c r="G22" s="1752" t="s">
        <v>3412</v>
      </c>
      <c r="H22" s="386"/>
      <c r="I22" s="1752" t="s">
        <v>3412</v>
      </c>
      <c r="J22" s="386"/>
      <c r="K22" s="1756"/>
      <c r="L22" s="2487"/>
      <c r="M22" s="2482"/>
      <c r="N22" s="2482"/>
      <c r="O22" s="2482"/>
      <c r="P22" s="3446"/>
      <c r="Q22" s="1261"/>
      <c r="R22" s="666"/>
      <c r="S22" s="667"/>
      <c r="T22" s="666"/>
      <c r="U22" s="667"/>
      <c r="V22" s="666"/>
      <c r="W22" s="667"/>
      <c r="X22" s="1263"/>
      <c r="Y22" s="3439"/>
      <c r="Z22" s="1262"/>
      <c r="AA22" s="1262">
        <v>1</v>
      </c>
      <c r="AB22" s="1262">
        <v>1</v>
      </c>
      <c r="AC22" s="1262">
        <v>1</v>
      </c>
    </row>
    <row r="23" spans="1:29" ht="114">
      <c r="A23" s="366"/>
      <c r="B23" s="389" t="s">
        <v>1261</v>
      </c>
      <c r="C23" s="1751" t="str">
        <f>估价对象房地状况!C9</f>
        <v>自然环境：柳荫公园、土城沟水系等自然水系景观；
人文环境：西黄寺、元大都城垣遗址公园等人文场所；
综合评价环境状况较好。</v>
      </c>
      <c r="D23" s="388">
        <v>100</v>
      </c>
      <c r="E23" s="3174" t="str">
        <f>C23</f>
        <v>自然环境：柳荫公园、土城沟水系等自然水系景观；
人文环境：西黄寺、元大都城垣遗址公园等人文场所；
综合评价环境状况较好。</v>
      </c>
      <c r="F23" s="388">
        <f>SUMIF(84:84,E24,85:85)-SUMIF(84:84,C24,85:85)+100</f>
        <v>100</v>
      </c>
      <c r="G23" s="3175" t="str">
        <f>E23</f>
        <v>自然环境：柳荫公园、土城沟水系等自然水系景观；
人文环境：西黄寺、元大都城垣遗址公园等人文场所；
综合评价环境状况较好。</v>
      </c>
      <c r="H23" s="388">
        <f>SUMIF(84:84,G24,85:85)-SUMIF(84:84,C24,85:85)+100</f>
        <v>100</v>
      </c>
      <c r="I23" s="3175" t="str">
        <f>E23</f>
        <v>自然环境：柳荫公园、土城沟水系等自然水系景观；
人文环境：西黄寺、元大都城垣遗址公园等人文场所；
综合评价环境状况较好。</v>
      </c>
      <c r="J23" s="388">
        <f>SUMIF(84:84,I24,85:85)-SUMIF(84:84,C24,85:85)+100</f>
        <v>100</v>
      </c>
      <c r="K23" s="383"/>
      <c r="L23" s="2487"/>
      <c r="M23" s="2482"/>
      <c r="N23" s="2482"/>
      <c r="O23" s="2482"/>
      <c r="P23" s="3446"/>
      <c r="Q23" s="1261" t="str">
        <f>B23</f>
        <v>自然及人文环境</v>
      </c>
      <c r="R23" s="666" t="s">
        <v>18</v>
      </c>
      <c r="S23" s="667">
        <f>F23</f>
        <v>100</v>
      </c>
      <c r="T23" s="666" t="s">
        <v>18</v>
      </c>
      <c r="U23" s="667">
        <f>H23</f>
        <v>100</v>
      </c>
      <c r="V23" s="666" t="s">
        <v>18</v>
      </c>
      <c r="W23" s="667">
        <f>J23</f>
        <v>100</v>
      </c>
      <c r="X23" s="1263"/>
      <c r="Y23" s="3439"/>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6"/>
      <c r="Q24" s="1261"/>
      <c r="R24" s="666"/>
      <c r="S24" s="667"/>
      <c r="T24" s="666"/>
      <c r="U24" s="667"/>
      <c r="V24" s="666"/>
      <c r="W24" s="667"/>
      <c r="X24" s="1263"/>
      <c r="Y24" s="3439"/>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6"/>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39"/>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3471</v>
      </c>
      <c r="D26" s="373">
        <v>100</v>
      </c>
      <c r="E26" s="1757" t="s">
        <v>3471</v>
      </c>
      <c r="F26" s="373">
        <f>SUMIF(88:88,E26,89:89)-SUMIF(88:88,C26,89:89)+100</f>
        <v>100</v>
      </c>
      <c r="G26" s="1758" t="s">
        <v>3472</v>
      </c>
      <c r="H26" s="373">
        <f>SUMIF(88:88,G26,89:89)-SUMIF(88:88,C26,89:89)+100</f>
        <v>99.5</v>
      </c>
      <c r="I26" s="1758" t="s">
        <v>3469</v>
      </c>
      <c r="J26" s="373">
        <f>SUMIF(88:88,I26,89:89)-SUMIF(88:88,C26,89:89)+100</f>
        <v>96.5</v>
      </c>
      <c r="K26" s="364">
        <v>0.5</v>
      </c>
      <c r="L26" s="2487"/>
      <c r="M26" s="2482"/>
      <c r="N26" s="2482"/>
      <c r="O26" s="2482"/>
      <c r="P26" s="3446"/>
      <c r="Q26" s="1261" t="str">
        <f t="shared" si="8"/>
        <v>朝向</v>
      </c>
      <c r="R26" s="666" t="s">
        <v>18</v>
      </c>
      <c r="S26" s="667">
        <f t="shared" si="9"/>
        <v>100</v>
      </c>
      <c r="T26" s="666" t="s">
        <v>18</v>
      </c>
      <c r="U26" s="667">
        <f t="shared" si="10"/>
        <v>99.5</v>
      </c>
      <c r="V26" s="666" t="s">
        <v>18</v>
      </c>
      <c r="W26" s="667">
        <f t="shared" si="11"/>
        <v>96.5</v>
      </c>
      <c r="X26" s="1263"/>
      <c r="Y26" s="3439"/>
      <c r="Z26" s="1262" t="str">
        <f>Q26</f>
        <v>朝向</v>
      </c>
      <c r="AA26" s="1262">
        <f t="shared" si="12"/>
        <v>1</v>
      </c>
      <c r="AB26" s="1262">
        <f t="shared" si="13"/>
        <v>1.0050251256281406</v>
      </c>
      <c r="AC26" s="1262">
        <f t="shared" si="14"/>
        <v>1.0362694300518134</v>
      </c>
    </row>
    <row r="27" spans="1:29" s="101" customFormat="1" ht="15">
      <c r="A27" s="369"/>
      <c r="B27" s="3142" t="s">
        <v>3392</v>
      </c>
      <c r="C27" s="3178" t="s">
        <v>3476</v>
      </c>
      <c r="D27" s="400">
        <v>100</v>
      </c>
      <c r="E27" s="3178" t="s">
        <v>3477</v>
      </c>
      <c r="F27" s="400">
        <f>SUMIF(90:90,E27,91:91)-SUMIF(90:90,C27,91:91)+100</f>
        <v>97.5</v>
      </c>
      <c r="G27" s="3178" t="s">
        <v>3477</v>
      </c>
      <c r="H27" s="400">
        <f>SUMIF(90:90,G27,91:91)-SUMIF(90:90,C27,91:91)+100</f>
        <v>97.5</v>
      </c>
      <c r="I27" s="3178" t="s">
        <v>3478</v>
      </c>
      <c r="J27" s="400">
        <f>SUMIF(90:90,I27,91:91)-SUMIF(90:90,C27,91:91)+100</f>
        <v>105</v>
      </c>
      <c r="K27" s="1745"/>
      <c r="L27" s="2483"/>
      <c r="M27" s="2434"/>
      <c r="N27" s="2434"/>
      <c r="O27" s="2434"/>
      <c r="P27" s="3446"/>
      <c r="Q27" s="529" t="str">
        <f t="shared" si="8"/>
        <v>楼层</v>
      </c>
      <c r="R27" s="663" t="s">
        <v>18</v>
      </c>
      <c r="S27" s="664">
        <f t="shared" si="9"/>
        <v>97.5</v>
      </c>
      <c r="T27" s="663" t="s">
        <v>18</v>
      </c>
      <c r="U27" s="664">
        <f t="shared" si="10"/>
        <v>97.5</v>
      </c>
      <c r="V27" s="663" t="s">
        <v>18</v>
      </c>
      <c r="W27" s="664">
        <f t="shared" si="11"/>
        <v>105</v>
      </c>
      <c r="X27" s="665"/>
      <c r="Y27" s="3439"/>
      <c r="Z27" s="50" t="str">
        <f>Q27</f>
        <v>楼层</v>
      </c>
      <c r="AA27" s="1262">
        <f t="shared" si="12"/>
        <v>1.0256410256410255</v>
      </c>
      <c r="AB27" s="1262">
        <f t="shared" si="13"/>
        <v>1.0256410256410255</v>
      </c>
      <c r="AC27" s="1262">
        <f t="shared" si="14"/>
        <v>0.95238095238095233</v>
      </c>
    </row>
    <row r="28" spans="1:29" ht="15" hidden="1">
      <c r="A28" s="366"/>
      <c r="B28" s="3142" t="s">
        <v>3445</v>
      </c>
      <c r="C28" s="3144" t="s">
        <v>3448</v>
      </c>
      <c r="D28" s="373">
        <v>100</v>
      </c>
      <c r="E28" s="3144" t="s">
        <v>3448</v>
      </c>
      <c r="F28" s="373">
        <f>SUMIF(92:92,E28,93:93)-SUMIF(92:92,C28,93:93)+100</f>
        <v>100</v>
      </c>
      <c r="G28" s="3144" t="s">
        <v>3448</v>
      </c>
      <c r="H28" s="373">
        <f>SUMIF(92:92,G28,93:93)-SUMIF(92:92,C28,93:93)+100</f>
        <v>100</v>
      </c>
      <c r="I28" s="3144" t="s">
        <v>3448</v>
      </c>
      <c r="J28" s="373">
        <f>SUMIF(92:92,I28,93:93)-SUMIF(92:92,C28,93:93)+100</f>
        <v>100</v>
      </c>
      <c r="K28" s="1745"/>
      <c r="L28" s="2487"/>
      <c r="M28" s="2482"/>
      <c r="N28" s="2482"/>
      <c r="O28" s="2482"/>
      <c r="P28" s="3446"/>
      <c r="Q28" s="1261" t="str">
        <f t="shared" si="8"/>
        <v>道路级别</v>
      </c>
      <c r="R28" s="666" t="s">
        <v>18</v>
      </c>
      <c r="S28" s="667">
        <f t="shared" si="9"/>
        <v>100</v>
      </c>
      <c r="T28" s="666" t="s">
        <v>18</v>
      </c>
      <c r="U28" s="667">
        <f t="shared" si="10"/>
        <v>100</v>
      </c>
      <c r="V28" s="666" t="s">
        <v>18</v>
      </c>
      <c r="W28" s="667">
        <f t="shared" si="11"/>
        <v>100</v>
      </c>
      <c r="X28" s="1263"/>
      <c r="Y28" s="3439"/>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46"/>
      <c r="Q29" s="1261">
        <f t="shared" si="8"/>
        <v>111</v>
      </c>
      <c r="R29" s="666" t="s">
        <v>18</v>
      </c>
      <c r="S29" s="667">
        <f t="shared" si="9"/>
        <v>100</v>
      </c>
      <c r="T29" s="666" t="s">
        <v>18</v>
      </c>
      <c r="U29" s="667">
        <f t="shared" si="10"/>
        <v>100</v>
      </c>
      <c r="V29" s="666" t="s">
        <v>18</v>
      </c>
      <c r="W29" s="667">
        <f t="shared" si="11"/>
        <v>100</v>
      </c>
      <c r="X29" s="1263"/>
      <c r="Y29" s="3439"/>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6"/>
      <c r="Q30" s="1261">
        <f t="shared" si="8"/>
        <v>111</v>
      </c>
      <c r="R30" s="666" t="s">
        <v>18</v>
      </c>
      <c r="S30" s="667">
        <f t="shared" si="9"/>
        <v>100</v>
      </c>
      <c r="T30" s="666" t="s">
        <v>18</v>
      </c>
      <c r="U30" s="667">
        <f t="shared" si="10"/>
        <v>100</v>
      </c>
      <c r="V30" s="666" t="s">
        <v>18</v>
      </c>
      <c r="W30" s="667">
        <f t="shared" si="11"/>
        <v>100</v>
      </c>
      <c r="X30" s="1263"/>
      <c r="Y30" s="3439"/>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6"/>
      <c r="Q31" s="1261">
        <f t="shared" si="8"/>
        <v>111</v>
      </c>
      <c r="R31" s="666" t="s">
        <v>18</v>
      </c>
      <c r="S31" s="667">
        <f t="shared" si="9"/>
        <v>100</v>
      </c>
      <c r="T31" s="666" t="s">
        <v>18</v>
      </c>
      <c r="U31" s="667">
        <f t="shared" si="10"/>
        <v>100</v>
      </c>
      <c r="V31" s="666" t="s">
        <v>18</v>
      </c>
      <c r="W31" s="667">
        <f t="shared" si="11"/>
        <v>100</v>
      </c>
      <c r="X31" s="1263"/>
      <c r="Y31" s="3439"/>
      <c r="Z31" s="1262">
        <f t="shared" si="15"/>
        <v>111</v>
      </c>
      <c r="AA31" s="1262">
        <f t="shared" si="12"/>
        <v>1</v>
      </c>
      <c r="AB31" s="1262">
        <f t="shared" si="13"/>
        <v>1</v>
      </c>
      <c r="AC31" s="1262">
        <f t="shared" si="14"/>
        <v>1</v>
      </c>
    </row>
    <row r="32" spans="1:29" ht="15">
      <c r="A32" s="378" t="s">
        <v>1694</v>
      </c>
      <c r="B32" s="363" t="s">
        <v>1695</v>
      </c>
      <c r="C32" s="3173" t="s">
        <v>3479</v>
      </c>
      <c r="D32" s="404">
        <v>100</v>
      </c>
      <c r="E32" s="3173" t="s">
        <v>3479</v>
      </c>
      <c r="F32" s="399">
        <f>SUMIF(100:100,E32,101:101)-SUMIF(100:100,C32,101:101)+100</f>
        <v>100</v>
      </c>
      <c r="G32" s="1761" t="s">
        <v>3479</v>
      </c>
      <c r="H32" s="404">
        <f>SUMIF(100:100,G32,101:101)-SUMIF(100:100,C32,101:101)+100</f>
        <v>100</v>
      </c>
      <c r="I32" s="1761" t="s">
        <v>3479</v>
      </c>
      <c r="J32" s="373">
        <f>SUMIF(100:100,I32,101:101)-SUMIF(100:100,C32,101:101)+100</f>
        <v>100</v>
      </c>
      <c r="K32" s="364">
        <v>3</v>
      </c>
      <c r="L32" s="2487"/>
      <c r="M32" s="2482"/>
      <c r="N32" s="2482"/>
      <c r="O32" s="2482"/>
      <c r="P32" s="3440" t="s">
        <v>1696</v>
      </c>
      <c r="Q32" s="1261" t="str">
        <f t="shared" si="8"/>
        <v>建筑类型</v>
      </c>
      <c r="R32" s="666" t="s">
        <v>18</v>
      </c>
      <c r="S32" s="667">
        <f t="shared" si="9"/>
        <v>100</v>
      </c>
      <c r="T32" s="666" t="s">
        <v>18</v>
      </c>
      <c r="U32" s="667">
        <f t="shared" si="10"/>
        <v>100</v>
      </c>
      <c r="V32" s="666" t="s">
        <v>18</v>
      </c>
      <c r="W32" s="667">
        <f t="shared" si="11"/>
        <v>100</v>
      </c>
      <c r="X32" s="1263"/>
      <c r="Y32" s="3443" t="s">
        <v>1696</v>
      </c>
      <c r="Z32" s="1262" t="str">
        <f t="shared" si="15"/>
        <v>建筑类型</v>
      </c>
      <c r="AA32" s="1262">
        <f t="shared" si="12"/>
        <v>1</v>
      </c>
      <c r="AB32" s="1262">
        <f t="shared" si="13"/>
        <v>1</v>
      </c>
      <c r="AC32" s="1262">
        <f t="shared" si="14"/>
        <v>1</v>
      </c>
    </row>
    <row r="33" spans="1:29" s="407" customFormat="1" ht="15">
      <c r="A33" s="405"/>
      <c r="B33" s="363" t="s">
        <v>1697</v>
      </c>
      <c r="C33" s="3128">
        <f>'数据-取费表'!K6</f>
        <v>45.34</v>
      </c>
      <c r="D33" s="118">
        <v>100</v>
      </c>
      <c r="E33" s="3182">
        <f>案例!$E$2</f>
        <v>64.91</v>
      </c>
      <c r="F33" s="3183">
        <f>F104</f>
        <v>99.6</v>
      </c>
      <c r="G33" s="3182">
        <f>案例!$E$3</f>
        <v>67.12</v>
      </c>
      <c r="H33" s="3184">
        <f>F104</f>
        <v>99.6</v>
      </c>
      <c r="I33" s="3182">
        <f>案例!$E$4</f>
        <v>71.42</v>
      </c>
      <c r="J33" s="3171">
        <f>G104</f>
        <v>99.399999999999991</v>
      </c>
      <c r="K33" s="1745"/>
      <c r="L33" s="2486"/>
      <c r="M33" s="2488"/>
      <c r="N33" s="2488"/>
      <c r="O33" s="2488"/>
      <c r="P33" s="3441"/>
      <c r="Q33" s="530" t="str">
        <f t="shared" si="8"/>
        <v>项目建筑规模</v>
      </c>
      <c r="R33" s="668" t="s">
        <v>18</v>
      </c>
      <c r="S33" s="669">
        <f t="shared" si="9"/>
        <v>99.6</v>
      </c>
      <c r="T33" s="668" t="s">
        <v>18</v>
      </c>
      <c r="U33" s="669">
        <f t="shared" si="10"/>
        <v>99.6</v>
      </c>
      <c r="V33" s="668" t="s">
        <v>18</v>
      </c>
      <c r="W33" s="669">
        <f t="shared" si="11"/>
        <v>99.399999999999991</v>
      </c>
      <c r="X33" s="670"/>
      <c r="Y33" s="3443"/>
      <c r="Z33" s="671" t="str">
        <f t="shared" si="15"/>
        <v>项目建筑规模</v>
      </c>
      <c r="AA33" s="1262">
        <f t="shared" si="12"/>
        <v>1.0040160642570282</v>
      </c>
      <c r="AB33" s="1262">
        <f t="shared" si="13"/>
        <v>1.0040160642570282</v>
      </c>
      <c r="AC33" s="1262">
        <f t="shared" si="14"/>
        <v>1.0060362173038231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41"/>
      <c r="Q34" s="1261" t="str">
        <f t="shared" si="8"/>
        <v>建筑结构</v>
      </c>
      <c r="R34" s="666" t="s">
        <v>18</v>
      </c>
      <c r="S34" s="667">
        <f t="shared" si="9"/>
        <v>100</v>
      </c>
      <c r="T34" s="666" t="s">
        <v>18</v>
      </c>
      <c r="U34" s="667">
        <f t="shared" si="10"/>
        <v>100</v>
      </c>
      <c r="V34" s="666" t="s">
        <v>18</v>
      </c>
      <c r="W34" s="667">
        <f t="shared" si="11"/>
        <v>100</v>
      </c>
      <c r="X34" s="1263"/>
      <c r="Y34" s="3443"/>
      <c r="Z34" s="1262" t="str">
        <f t="shared" si="15"/>
        <v>建筑结构</v>
      </c>
      <c r="AA34" s="1262">
        <f t="shared" si="12"/>
        <v>1</v>
      </c>
      <c r="AB34" s="1262">
        <f t="shared" si="13"/>
        <v>1</v>
      </c>
      <c r="AC34" s="1262">
        <f t="shared" si="14"/>
        <v>1</v>
      </c>
    </row>
    <row r="35" spans="1:29" ht="15" hidden="1">
      <c r="A35" s="408"/>
      <c r="B35" s="363" t="s">
        <v>3457</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41"/>
      <c r="Q35" s="1261" t="str">
        <f t="shared" si="8"/>
        <v>噪音污染</v>
      </c>
      <c r="R35" s="666" t="s">
        <v>18</v>
      </c>
      <c r="S35" s="667">
        <f t="shared" si="9"/>
        <v>100</v>
      </c>
      <c r="T35" s="666" t="s">
        <v>18</v>
      </c>
      <c r="U35" s="667">
        <f t="shared" si="10"/>
        <v>100</v>
      </c>
      <c r="V35" s="666" t="s">
        <v>18</v>
      </c>
      <c r="W35" s="667">
        <f t="shared" si="11"/>
        <v>100</v>
      </c>
      <c r="X35" s="1263"/>
      <c r="Y35" s="3443"/>
      <c r="Z35" s="1262" t="str">
        <f t="shared" si="15"/>
        <v>噪音污染</v>
      </c>
      <c r="AA35" s="1262">
        <f t="shared" si="12"/>
        <v>1</v>
      </c>
      <c r="AB35" s="1262">
        <f t="shared" si="13"/>
        <v>1</v>
      </c>
      <c r="AC35" s="1262">
        <f t="shared" si="14"/>
        <v>1</v>
      </c>
    </row>
    <row r="36" spans="1:29" ht="15">
      <c r="A36" s="408"/>
      <c r="B36" s="363" t="s">
        <v>1699</v>
      </c>
      <c r="C36" s="1757" t="s">
        <v>3411</v>
      </c>
      <c r="D36" s="373">
        <v>100</v>
      </c>
      <c r="E36" s="1757" t="s">
        <v>3411</v>
      </c>
      <c r="F36" s="399">
        <f>SUMIF(109:109,E36,110:110)-SUMIF(109:109,C36,110:110)+100</f>
        <v>100</v>
      </c>
      <c r="G36" s="1757" t="s">
        <v>3411</v>
      </c>
      <c r="H36" s="373">
        <f>SUMIF(109:109,G36,110:110)-SUMIF(109:109,C36,110:110)+100</f>
        <v>100</v>
      </c>
      <c r="I36" s="1757" t="s">
        <v>3411</v>
      </c>
      <c r="J36" s="373">
        <f>SUMIF(109:109,I36,110:110)-SUMIF(109:109,C36,110:110)+100</f>
        <v>100</v>
      </c>
      <c r="K36" s="364"/>
      <c r="L36" s="2487"/>
      <c r="M36" s="2482"/>
      <c r="N36" s="2482"/>
      <c r="O36" s="2482"/>
      <c r="P36" s="3441"/>
      <c r="Q36" s="1261" t="str">
        <f t="shared" si="8"/>
        <v>公共部分装修</v>
      </c>
      <c r="R36" s="666" t="s">
        <v>18</v>
      </c>
      <c r="S36" s="667">
        <f t="shared" si="9"/>
        <v>100</v>
      </c>
      <c r="T36" s="666" t="s">
        <v>18</v>
      </c>
      <c r="U36" s="667">
        <f t="shared" si="10"/>
        <v>100</v>
      </c>
      <c r="V36" s="666" t="s">
        <v>18</v>
      </c>
      <c r="W36" s="667">
        <f t="shared" si="11"/>
        <v>100</v>
      </c>
      <c r="X36" s="1263"/>
      <c r="Y36" s="3443"/>
      <c r="Z36" s="1262" t="str">
        <f t="shared" si="15"/>
        <v>公共部分装修</v>
      </c>
      <c r="AA36" s="1262">
        <f t="shared" si="12"/>
        <v>1</v>
      </c>
      <c r="AB36" s="1262">
        <f t="shared" si="13"/>
        <v>1</v>
      </c>
      <c r="AC36" s="1262">
        <f t="shared" si="14"/>
        <v>1</v>
      </c>
    </row>
    <row r="37" spans="1:29" s="101" customFormat="1" ht="15">
      <c r="A37" s="409"/>
      <c r="B37" s="3179" t="s">
        <v>3463</v>
      </c>
      <c r="C37" s="3180">
        <v>1989</v>
      </c>
      <c r="D37" s="118">
        <v>100</v>
      </c>
      <c r="E37" s="3180">
        <f>案例!I2</f>
        <v>1989</v>
      </c>
      <c r="F37" s="363">
        <f>LOOKUP(E37,112:112,113:113)-LOOKUP(C37,112:112,113:113)+100</f>
        <v>100</v>
      </c>
      <c r="G37" s="3180">
        <f>案例!I3</f>
        <v>1989</v>
      </c>
      <c r="H37" s="118">
        <f>LOOKUP(G37,112:112,113:113)-LOOKUP(C37,112:112,113:113)+100</f>
        <v>100</v>
      </c>
      <c r="I37" s="3180">
        <f>案例!I4</f>
        <v>1987</v>
      </c>
      <c r="J37" s="118">
        <f>D37-2*K37</f>
        <v>99</v>
      </c>
      <c r="K37" s="364">
        <v>0.5</v>
      </c>
      <c r="L37" s="2483"/>
      <c r="M37" s="2434"/>
      <c r="N37" s="2434"/>
      <c r="O37" s="2434"/>
      <c r="P37" s="3441"/>
      <c r="Q37" s="529" t="str">
        <f t="shared" si="8"/>
        <v>建成年代</v>
      </c>
      <c r="R37" s="663" t="s">
        <v>18</v>
      </c>
      <c r="S37" s="664">
        <f t="shared" si="9"/>
        <v>100</v>
      </c>
      <c r="T37" s="663" t="s">
        <v>18</v>
      </c>
      <c r="U37" s="664">
        <f t="shared" si="10"/>
        <v>100</v>
      </c>
      <c r="V37" s="663" t="s">
        <v>18</v>
      </c>
      <c r="W37" s="664">
        <f t="shared" si="11"/>
        <v>99</v>
      </c>
      <c r="X37" s="665"/>
      <c r="Y37" s="3443"/>
      <c r="Z37" s="50" t="str">
        <f t="shared" si="15"/>
        <v>建成年代</v>
      </c>
      <c r="AA37" s="50">
        <f t="shared" si="12"/>
        <v>1</v>
      </c>
      <c r="AB37" s="50">
        <f t="shared" si="13"/>
        <v>1</v>
      </c>
      <c r="AC37" s="50">
        <f t="shared" si="14"/>
        <v>1.0101010101010102</v>
      </c>
    </row>
    <row r="38" spans="1:29" ht="15">
      <c r="A38" s="408"/>
      <c r="B38" s="363" t="s">
        <v>1700</v>
      </c>
      <c r="C38" s="1757" t="s">
        <v>3462</v>
      </c>
      <c r="D38" s="373">
        <v>100</v>
      </c>
      <c r="E38" s="1757" t="s">
        <v>3462</v>
      </c>
      <c r="F38" s="399">
        <f>SUMIF(114:114,E38,115:115)-SUMIF(114:114,C38,115:115)+100</f>
        <v>100</v>
      </c>
      <c r="G38" s="1757" t="s">
        <v>3462</v>
      </c>
      <c r="H38" s="373">
        <f>SUMIF(114:114,G38,115:115)-SUMIF(114:114,C38,115:115)+100</f>
        <v>100</v>
      </c>
      <c r="I38" s="1757" t="s">
        <v>3462</v>
      </c>
      <c r="J38" s="373">
        <f>SUMIF(114:114,I38,115:115)-SUMIF(114:114,C38,115:115)+100</f>
        <v>100</v>
      </c>
      <c r="K38" s="364">
        <v>1</v>
      </c>
      <c r="L38" s="2487"/>
      <c r="M38" s="2482"/>
      <c r="N38" s="2482"/>
      <c r="O38" s="2482"/>
      <c r="P38" s="3441" t="s">
        <v>1696</v>
      </c>
      <c r="Q38" s="1261" t="str">
        <f t="shared" si="8"/>
        <v>物业管理</v>
      </c>
      <c r="R38" s="666" t="s">
        <v>18</v>
      </c>
      <c r="S38" s="667">
        <f t="shared" si="9"/>
        <v>100</v>
      </c>
      <c r="T38" s="666" t="s">
        <v>18</v>
      </c>
      <c r="U38" s="667">
        <f t="shared" si="10"/>
        <v>100</v>
      </c>
      <c r="V38" s="666" t="s">
        <v>18</v>
      </c>
      <c r="W38" s="667">
        <f t="shared" si="11"/>
        <v>100</v>
      </c>
      <c r="X38" s="1263"/>
      <c r="Y38" s="3443" t="s">
        <v>1696</v>
      </c>
      <c r="Z38" s="1262" t="str">
        <f t="shared" si="15"/>
        <v>物业管理</v>
      </c>
      <c r="AA38" s="1262">
        <f t="shared" si="12"/>
        <v>1</v>
      </c>
      <c r="AB38" s="1262">
        <f t="shared" si="13"/>
        <v>1</v>
      </c>
      <c r="AC38" s="1262">
        <f t="shared" si="14"/>
        <v>1</v>
      </c>
    </row>
    <row r="39" spans="1:29" ht="15">
      <c r="A39" s="408"/>
      <c r="B39" s="363" t="s">
        <v>1701</v>
      </c>
      <c r="C39" s="1757" t="s">
        <v>3412</v>
      </c>
      <c r="D39" s="373">
        <v>100</v>
      </c>
      <c r="E39" s="1757" t="s">
        <v>3412</v>
      </c>
      <c r="F39" s="399">
        <f>SUMIF(116:116,E39,117:117)-SUMIF(116:116,C39,117:117)+100</f>
        <v>100</v>
      </c>
      <c r="G39" s="1757" t="s">
        <v>3412</v>
      </c>
      <c r="H39" s="373">
        <f>SUMIF(116:116,G39,117:117)-SUMIF(116:116,C39,117:117)+100</f>
        <v>100</v>
      </c>
      <c r="I39" s="1757" t="s">
        <v>3412</v>
      </c>
      <c r="J39" s="373">
        <f>SUMIF(116:116,I39,117:117)-SUMIF(116:116,C39,117:117)+100</f>
        <v>100</v>
      </c>
      <c r="K39" s="364"/>
      <c r="L39" s="2487"/>
      <c r="M39" s="2482"/>
      <c r="N39" s="2482"/>
      <c r="O39" s="2482"/>
      <c r="P39" s="3441"/>
      <c r="Q39" s="1261" t="str">
        <f t="shared" si="8"/>
        <v>市政基础设施</v>
      </c>
      <c r="R39" s="666" t="s">
        <v>18</v>
      </c>
      <c r="S39" s="667">
        <f t="shared" si="9"/>
        <v>100</v>
      </c>
      <c r="T39" s="666" t="s">
        <v>18</v>
      </c>
      <c r="U39" s="667">
        <f t="shared" si="10"/>
        <v>100</v>
      </c>
      <c r="V39" s="666" t="s">
        <v>18</v>
      </c>
      <c r="W39" s="667">
        <f t="shared" si="11"/>
        <v>100</v>
      </c>
      <c r="X39" s="1263"/>
      <c r="Y39" s="3443"/>
      <c r="Z39" s="1262" t="str">
        <f t="shared" si="15"/>
        <v>市政基础设施</v>
      </c>
      <c r="AA39" s="1262">
        <f t="shared" si="12"/>
        <v>1</v>
      </c>
      <c r="AB39" s="1262">
        <f t="shared" si="13"/>
        <v>1</v>
      </c>
      <c r="AC39" s="1262">
        <f t="shared" si="14"/>
        <v>1</v>
      </c>
    </row>
    <row r="40" spans="1:29" ht="15" hidden="1">
      <c r="A40" s="408"/>
      <c r="B40" s="363" t="s">
        <v>1702</v>
      </c>
      <c r="C40" s="1757" t="s">
        <v>3418</v>
      </c>
      <c r="D40" s="373">
        <v>100</v>
      </c>
      <c r="E40" s="1757" t="s">
        <v>3418</v>
      </c>
      <c r="F40" s="399">
        <f>SUMIF(118:118,E40,119:119)-SUMIF(118:118,C40,119:119)+100</f>
        <v>100</v>
      </c>
      <c r="G40" s="1757" t="s">
        <v>3418</v>
      </c>
      <c r="H40" s="373">
        <f>SUMIF(118:118,G40,119:119)-SUMIF(118:118,C40,119:119)+100</f>
        <v>100</v>
      </c>
      <c r="I40" s="1757" t="s">
        <v>3418</v>
      </c>
      <c r="J40" s="373">
        <f>SUMIF(118:118,I40,119:119)-SUMIF(118:118,C40,119:119)+100</f>
        <v>100</v>
      </c>
      <c r="K40" s="364"/>
      <c r="L40" s="2487"/>
      <c r="M40" s="2482"/>
      <c r="N40" s="2482"/>
      <c r="O40" s="2482"/>
      <c r="P40" s="3441"/>
      <c r="Q40" s="1261" t="str">
        <f t="shared" si="8"/>
        <v>房型</v>
      </c>
      <c r="R40" s="666" t="s">
        <v>18</v>
      </c>
      <c r="S40" s="667">
        <f t="shared" si="9"/>
        <v>100</v>
      </c>
      <c r="T40" s="666" t="s">
        <v>18</v>
      </c>
      <c r="U40" s="667">
        <f t="shared" si="10"/>
        <v>100</v>
      </c>
      <c r="V40" s="666" t="s">
        <v>18</v>
      </c>
      <c r="W40" s="667">
        <f t="shared" si="11"/>
        <v>100</v>
      </c>
      <c r="X40" s="1263"/>
      <c r="Y40" s="3443"/>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1"/>
      <c r="Q41" s="530" t="str">
        <f t="shared" si="8"/>
        <v>单套/主力户型建筑面积</v>
      </c>
      <c r="R41" s="668" t="s">
        <v>18</v>
      </c>
      <c r="S41" s="669">
        <f t="shared" si="9"/>
        <v>100</v>
      </c>
      <c r="T41" s="668" t="s">
        <v>18</v>
      </c>
      <c r="U41" s="669">
        <f t="shared" si="10"/>
        <v>100</v>
      </c>
      <c r="V41" s="668" t="s">
        <v>18</v>
      </c>
      <c r="W41" s="669">
        <f t="shared" si="11"/>
        <v>100</v>
      </c>
      <c r="X41" s="670"/>
      <c r="Y41" s="3443"/>
      <c r="Z41" s="671" t="str">
        <f t="shared" si="15"/>
        <v>单套/主力户型建筑面积</v>
      </c>
      <c r="AA41" s="1262">
        <f t="shared" si="12"/>
        <v>1</v>
      </c>
      <c r="AB41" s="1262">
        <f t="shared" si="13"/>
        <v>1</v>
      </c>
      <c r="AC41" s="1262">
        <f t="shared" si="14"/>
        <v>1</v>
      </c>
    </row>
    <row r="42" spans="1:29" ht="15">
      <c r="A42" s="408"/>
      <c r="B42" s="363" t="s">
        <v>1704</v>
      </c>
      <c r="C42" s="1757" t="s">
        <v>3411</v>
      </c>
      <c r="D42" s="373">
        <v>100</v>
      </c>
      <c r="E42" s="1757" t="s">
        <v>3411</v>
      </c>
      <c r="F42" s="399">
        <f>SUMIF(122:122,E42,123:123)-SUMIF(122:122,C42,123:123)+100</f>
        <v>100</v>
      </c>
      <c r="G42" s="1757" t="s">
        <v>3411</v>
      </c>
      <c r="H42" s="373">
        <f>SUMIF(122:122,G42,123:123)-SUMIF(122:122,C42,123:123)+100</f>
        <v>100</v>
      </c>
      <c r="I42" s="1757" t="s">
        <v>3411</v>
      </c>
      <c r="J42" s="373">
        <f>SUMIF(122:122,I42,123:123)-SUMIF(122:122,C42,123:123)+100</f>
        <v>100</v>
      </c>
      <c r="K42" s="364">
        <v>1</v>
      </c>
      <c r="L42" s="2487"/>
      <c r="M42" s="2482"/>
      <c r="N42" s="2482"/>
      <c r="O42" s="2482"/>
      <c r="P42" s="3441"/>
      <c r="Q42" s="1261" t="str">
        <f t="shared" si="8"/>
        <v>内部装修</v>
      </c>
      <c r="R42" s="666" t="s">
        <v>18</v>
      </c>
      <c r="S42" s="667">
        <f t="shared" si="9"/>
        <v>100</v>
      </c>
      <c r="T42" s="666" t="s">
        <v>18</v>
      </c>
      <c r="U42" s="667">
        <f t="shared" si="10"/>
        <v>100</v>
      </c>
      <c r="V42" s="666" t="s">
        <v>18</v>
      </c>
      <c r="W42" s="667">
        <f t="shared" si="11"/>
        <v>100</v>
      </c>
      <c r="X42" s="1263"/>
      <c r="Y42" s="3443"/>
      <c r="Z42" s="1262" t="str">
        <f t="shared" si="15"/>
        <v>内部装修</v>
      </c>
      <c r="AA42" s="1262">
        <f t="shared" si="12"/>
        <v>1</v>
      </c>
      <c r="AB42" s="1262">
        <f t="shared" si="13"/>
        <v>1</v>
      </c>
      <c r="AC42" s="1262">
        <f t="shared" si="14"/>
        <v>1</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41"/>
      <c r="Q43" s="1261" t="str">
        <f t="shared" si="8"/>
        <v>内部装修维护情况</v>
      </c>
      <c r="R43" s="666" t="s">
        <v>18</v>
      </c>
      <c r="S43" s="667">
        <f t="shared" si="9"/>
        <v>100</v>
      </c>
      <c r="T43" s="666" t="s">
        <v>18</v>
      </c>
      <c r="U43" s="667">
        <f t="shared" si="10"/>
        <v>100</v>
      </c>
      <c r="V43" s="666" t="s">
        <v>18</v>
      </c>
      <c r="W43" s="667">
        <f t="shared" si="11"/>
        <v>100</v>
      </c>
      <c r="X43" s="1263"/>
      <c r="Y43" s="3443"/>
      <c r="Z43" s="1262" t="str">
        <f t="shared" si="15"/>
        <v>内部装修维护情况</v>
      </c>
      <c r="AA43" s="1262">
        <f t="shared" si="12"/>
        <v>1</v>
      </c>
      <c r="AB43" s="1262">
        <f t="shared" si="13"/>
        <v>1</v>
      </c>
      <c r="AC43" s="1262">
        <f t="shared" si="14"/>
        <v>1</v>
      </c>
    </row>
    <row r="44" spans="1:29" s="101" customFormat="1" ht="15">
      <c r="A44" s="409"/>
      <c r="B44" s="1065">
        <v>111</v>
      </c>
      <c r="C44" s="3163"/>
      <c r="D44" s="118">
        <v>100</v>
      </c>
      <c r="E44" s="406"/>
      <c r="F44" s="363">
        <f>SUMIF(126:126,E44,127:127)-SUMIF(126:126,C44,127:127)+100</f>
        <v>100</v>
      </c>
      <c r="G44" s="3163"/>
      <c r="H44" s="118">
        <f>SUMIF(126:126,G44,127:127)-SUMIF(126:126,C44,127:127)+100</f>
        <v>100</v>
      </c>
      <c r="I44" s="406"/>
      <c r="J44" s="118">
        <f>SUMIF(126:126,I44,127:127)-SUMIF(126:126,C44,127:127)+100</f>
        <v>100</v>
      </c>
      <c r="K44" s="1745"/>
      <c r="L44" s="2483"/>
      <c r="M44" s="2434"/>
      <c r="N44" s="2434"/>
      <c r="O44" s="2434"/>
      <c r="P44" s="3441"/>
      <c r="Q44" s="529">
        <f t="shared" si="8"/>
        <v>111</v>
      </c>
      <c r="R44" s="663" t="s">
        <v>18</v>
      </c>
      <c r="S44" s="664">
        <f t="shared" si="9"/>
        <v>100</v>
      </c>
      <c r="T44" s="663" t="s">
        <v>18</v>
      </c>
      <c r="U44" s="664">
        <f t="shared" si="10"/>
        <v>100</v>
      </c>
      <c r="V44" s="663" t="s">
        <v>18</v>
      </c>
      <c r="W44" s="664">
        <f t="shared" si="11"/>
        <v>100</v>
      </c>
      <c r="X44" s="665"/>
      <c r="Y44" s="3443"/>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41"/>
      <c r="Q45" s="1261">
        <f t="shared" si="8"/>
        <v>111</v>
      </c>
      <c r="R45" s="666" t="s">
        <v>18</v>
      </c>
      <c r="S45" s="667">
        <f t="shared" si="9"/>
        <v>100</v>
      </c>
      <c r="T45" s="666" t="s">
        <v>18</v>
      </c>
      <c r="U45" s="667">
        <f t="shared" si="10"/>
        <v>100</v>
      </c>
      <c r="V45" s="666" t="s">
        <v>18</v>
      </c>
      <c r="W45" s="667">
        <f t="shared" si="11"/>
        <v>100</v>
      </c>
      <c r="X45" s="1263"/>
      <c r="Y45" s="3443"/>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2"/>
      <c r="Q46" s="1261">
        <f t="shared" si="8"/>
        <v>111</v>
      </c>
      <c r="R46" s="666" t="s">
        <v>17</v>
      </c>
      <c r="S46" s="667">
        <f t="shared" si="9"/>
        <v>100</v>
      </c>
      <c r="T46" s="666" t="s">
        <v>17</v>
      </c>
      <c r="U46" s="667">
        <f t="shared" si="10"/>
        <v>100</v>
      </c>
      <c r="V46" s="666" t="s">
        <v>17</v>
      </c>
      <c r="W46" s="667">
        <f t="shared" si="11"/>
        <v>100</v>
      </c>
      <c r="X46" s="1263"/>
      <c r="Y46" s="3444"/>
      <c r="Z46" s="1262">
        <f t="shared" si="15"/>
        <v>111</v>
      </c>
      <c r="AA46" s="1262">
        <f t="shared" si="12"/>
        <v>1</v>
      </c>
      <c r="AB46" s="1262">
        <f t="shared" si="13"/>
        <v>1</v>
      </c>
      <c r="AC46" s="1262">
        <f t="shared" si="14"/>
        <v>1</v>
      </c>
    </row>
    <row r="47" spans="1:29" ht="15">
      <c r="A47" s="415" t="s">
        <v>1706</v>
      </c>
      <c r="B47" s="416"/>
      <c r="C47" s="1080" t="s">
        <v>16</v>
      </c>
      <c r="D47" s="417"/>
      <c r="E47" s="418">
        <f>案例!J2</f>
        <v>83192</v>
      </c>
      <c r="F47" s="419"/>
      <c r="G47" s="420">
        <f>案例!$J$3</f>
        <v>81943</v>
      </c>
      <c r="H47" s="421"/>
      <c r="I47" s="418">
        <f>案例!$J$4</f>
        <v>91991</v>
      </c>
      <c r="J47" s="421"/>
      <c r="K47" s="1762"/>
      <c r="L47" s="2489"/>
      <c r="M47" s="2482"/>
      <c r="N47" s="2482"/>
      <c r="O47" s="2482"/>
      <c r="P47" s="3437" t="str">
        <f>A47</f>
        <v>成交单价（元/平方米）</v>
      </c>
      <c r="Q47" s="3437"/>
      <c r="R47" s="3432">
        <f>E47</f>
        <v>83192</v>
      </c>
      <c r="S47" s="3432"/>
      <c r="T47" s="3432">
        <f>G47</f>
        <v>81943</v>
      </c>
      <c r="U47" s="3432"/>
      <c r="V47" s="3432">
        <f>I47</f>
        <v>91991</v>
      </c>
      <c r="W47" s="3432"/>
      <c r="X47" s="384"/>
      <c r="Y47" s="672"/>
      <c r="Z47" s="384"/>
      <c r="AA47" s="384"/>
      <c r="AB47" s="384"/>
      <c r="AC47" s="384"/>
    </row>
    <row r="48" spans="1:29" ht="15.75" thickBot="1">
      <c r="A48" s="422" t="s">
        <v>1707</v>
      </c>
      <c r="B48" s="423"/>
      <c r="C48" s="1081">
        <f>R49</f>
        <v>87175</v>
      </c>
      <c r="D48" s="2136" t="s">
        <v>2135</v>
      </c>
      <c r="E48" s="1082">
        <f>R48</f>
        <v>85157</v>
      </c>
      <c r="F48" s="2137"/>
      <c r="G48" s="1081">
        <f>T48</f>
        <v>84472</v>
      </c>
      <c r="H48" s="2137"/>
      <c r="I48" s="1082">
        <f>V48</f>
        <v>91895</v>
      </c>
      <c r="J48" s="2137"/>
      <c r="K48" s="2138">
        <f>F48+H48+J48</f>
        <v>0</v>
      </c>
      <c r="L48" s="2489"/>
      <c r="M48" s="2482"/>
      <c r="N48" s="2482"/>
      <c r="O48" s="2482"/>
      <c r="P48" s="3437" t="str">
        <f>A48</f>
        <v>比较价值（元/平方米）</v>
      </c>
      <c r="Q48" s="3437"/>
      <c r="R48" s="3432">
        <f>IF(F1="售价",ROUND(PRODUCT(R47,AA7:AA46),0),ROUND(PRODUCT(R47,AA7:AA46),1))</f>
        <v>85157</v>
      </c>
      <c r="S48" s="3432"/>
      <c r="T48" s="3432">
        <f>IF(F1="售价",ROUND(PRODUCT(T47,AB7:AB46),0),ROUND(PRODUCT(T47,AB7:AB46),1))</f>
        <v>84472</v>
      </c>
      <c r="U48" s="3432"/>
      <c r="V48" s="3432">
        <f>IF(F1="售价",ROUND(PRODUCT(V47,AC7:AC46),0),ROUND(PRODUCT(V47,AC7:AC46),1))</f>
        <v>91895</v>
      </c>
      <c r="W48" s="3432"/>
      <c r="X48" s="384"/>
      <c r="Y48" s="384"/>
      <c r="Z48" s="384"/>
      <c r="AA48" s="384"/>
      <c r="AB48" s="384"/>
      <c r="AC48" s="384"/>
    </row>
    <row r="49" spans="1:29" ht="15.75" thickBot="1">
      <c r="A49" s="426" t="s">
        <v>1708</v>
      </c>
      <c r="B49" s="427"/>
      <c r="C49" s="1083">
        <f>R49</f>
        <v>87175</v>
      </c>
      <c r="D49" s="350"/>
      <c r="E49" s="350"/>
      <c r="F49" s="350"/>
      <c r="G49" s="350"/>
      <c r="H49" s="350"/>
      <c r="I49" s="350"/>
      <c r="J49" s="350"/>
      <c r="K49" s="1763"/>
      <c r="L49" s="2489"/>
      <c r="M49" s="2482"/>
      <c r="N49" s="2482"/>
      <c r="O49" s="2482"/>
      <c r="P49" s="3434" t="str">
        <f>A49</f>
        <v>估价对象XX用房的比较价值（楼面单价，元/平方米）</v>
      </c>
      <c r="Q49" s="3435"/>
      <c r="R49" s="3436">
        <f>IF(F1="售价",ROUND(IF(D48="简单平均",AVERAGE(R48:V48),R48*F48+T48*H48+V48*J48),0),ROUND(IF(D48="简单平均",AVERAGE(R48:V48),R48*F48+T48*H48+V48*J48),1))</f>
        <v>87175</v>
      </c>
      <c r="S49" s="3436"/>
      <c r="T49" s="3436"/>
      <c r="U49" s="3436"/>
      <c r="V49" s="3436"/>
      <c r="W49" s="3436"/>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2.3620059621117351E-2</v>
      </c>
      <c r="F52" s="434" t="str">
        <f>IF(OR(E52&gt;=0.3,E52&lt;=-0.3),"超过30%","")</f>
        <v/>
      </c>
      <c r="G52" s="433">
        <f>IF(G47&lt;G48,G48/G47-1,G47/G48-1)</f>
        <v>3.0862916905654014E-2</v>
      </c>
      <c r="H52" s="434" t="str">
        <f>IF(OR(G52&gt;=0.3,G52&lt;=-0.3),"超过30%","")</f>
        <v/>
      </c>
      <c r="I52" s="433">
        <f>IF(I47&lt;I48,I48/I47-1,I47/I48-1)</f>
        <v>1.044670547907911E-3</v>
      </c>
      <c r="J52" s="434" t="str">
        <f>IF(OR(I52&gt;=0.3,I52&lt;=-0.3),"超过30%","")</f>
        <v/>
      </c>
      <c r="K52" s="2494"/>
      <c r="L52" s="2490"/>
      <c r="M52" s="2482"/>
      <c r="N52" s="2482"/>
      <c r="O52" s="2482"/>
    </row>
    <row r="53" spans="1:29" ht="13.5" customHeight="1">
      <c r="A53" s="2482"/>
      <c r="B53" s="2482"/>
      <c r="C53" s="431" t="s">
        <v>1710</v>
      </c>
      <c r="D53" s="435"/>
      <c r="E53" s="433">
        <f>IF(E48&lt;G48,G48/E48-1,E48/G48-1)</f>
        <v>8.1091959465857677E-3</v>
      </c>
      <c r="F53" s="434" t="str">
        <f>IF(OR(E53&gt;=0.2,E53&lt;=-0.2),"超过20%","")</f>
        <v/>
      </c>
      <c r="G53" s="433">
        <f>IF(G48&lt;I48,I48/G48-1,G48/I48-1)</f>
        <v>8.7875272279571925E-2</v>
      </c>
      <c r="H53" s="434" t="str">
        <f>IF(OR(G53&gt;=0.2,G53&lt;=-0.2),"超过20%","")</f>
        <v/>
      </c>
      <c r="I53" s="433">
        <f>IF(I48&lt;E48,E48/I48-1,I48/E48-1)</f>
        <v>7.9124440738870483E-2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1.5242302576180977E-2</v>
      </c>
      <c r="F54" s="434" t="str">
        <f>IF(OR(E54&gt;=0.3,E54&lt;=-0.3),"超过30%","")</f>
        <v/>
      </c>
      <c r="G54" s="433">
        <f>IF(G47&lt;I47,I47/G47-1,G47/I47-1)</f>
        <v>0.12262182248636244</v>
      </c>
      <c r="H54" s="434" t="str">
        <f>IF(OR(G54&gt;=0.3,G54&lt;=-0.3),"超过30%","")</f>
        <v/>
      </c>
      <c r="I54" s="433">
        <f>IF(I47&lt;E47,E47/I47-1,I47/E47-1)</f>
        <v>0.10576738147898834</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2023-12</v>
      </c>
      <c r="D58" s="1102">
        <f>EDATE(C58,-1)</f>
        <v>45231</v>
      </c>
      <c r="E58" s="1102">
        <f>EDATE(D58,-1)</f>
        <v>45200</v>
      </c>
      <c r="F58" s="1102">
        <f t="shared" ref="F58:O58" si="16">EDATE(E58,-1)</f>
        <v>45170</v>
      </c>
      <c r="G58" s="1102">
        <f t="shared" si="16"/>
        <v>45139</v>
      </c>
      <c r="H58" s="1102">
        <f t="shared" si="16"/>
        <v>45108</v>
      </c>
      <c r="I58" s="1102">
        <f t="shared" si="16"/>
        <v>45078</v>
      </c>
      <c r="J58" s="1102">
        <f t="shared" si="16"/>
        <v>45047</v>
      </c>
      <c r="K58" s="1102">
        <f t="shared" si="16"/>
        <v>45017</v>
      </c>
      <c r="L58" s="1102">
        <f t="shared" si="16"/>
        <v>44986</v>
      </c>
      <c r="M58" s="1102">
        <f t="shared" si="16"/>
        <v>44958</v>
      </c>
      <c r="N58" s="1102">
        <f t="shared" si="16"/>
        <v>44927</v>
      </c>
      <c r="O58" s="1102">
        <f t="shared" si="16"/>
        <v>44896</v>
      </c>
      <c r="P58" s="3145">
        <f t="shared" ref="P58:AB58" si="17">EDATE(O58,-1)</f>
        <v>44866</v>
      </c>
      <c r="Q58" s="3145">
        <f t="shared" si="17"/>
        <v>44835</v>
      </c>
      <c r="R58" s="3145">
        <f t="shared" si="17"/>
        <v>44805</v>
      </c>
      <c r="S58" s="3145">
        <f t="shared" si="17"/>
        <v>44774</v>
      </c>
      <c r="T58" s="3145">
        <f t="shared" si="17"/>
        <v>44743</v>
      </c>
      <c r="U58" s="3145">
        <f t="shared" si="17"/>
        <v>44713</v>
      </c>
      <c r="V58" s="3145">
        <f t="shared" si="17"/>
        <v>44682</v>
      </c>
      <c r="W58" s="3145">
        <f t="shared" si="17"/>
        <v>44652</v>
      </c>
      <c r="X58" s="3145">
        <f t="shared" si="17"/>
        <v>44621</v>
      </c>
      <c r="Y58" s="3145">
        <f t="shared" si="17"/>
        <v>44593</v>
      </c>
      <c r="Z58" s="3145">
        <f t="shared" si="17"/>
        <v>44562</v>
      </c>
      <c r="AA58" s="3145">
        <f t="shared" si="17"/>
        <v>44531</v>
      </c>
      <c r="AB58" s="3145">
        <f t="shared" si="17"/>
        <v>44501</v>
      </c>
    </row>
    <row r="59" spans="1:29" s="101" customFormat="1" ht="15">
      <c r="A59" s="442"/>
      <c r="B59" s="1767"/>
      <c r="C59" s="1100">
        <v>100</v>
      </c>
      <c r="D59" s="444">
        <f>C59</f>
        <v>100</v>
      </c>
      <c r="E59" s="445">
        <f>C59</f>
        <v>100</v>
      </c>
      <c r="F59" s="445">
        <f>E59+$C$60</f>
        <v>100.3</v>
      </c>
      <c r="G59" s="445">
        <f>F59</f>
        <v>100.3</v>
      </c>
      <c r="H59" s="445">
        <f>F59</f>
        <v>100.3</v>
      </c>
      <c r="I59" s="445">
        <f>H59+$C$60</f>
        <v>100.6</v>
      </c>
      <c r="J59" s="445">
        <f>I59</f>
        <v>100.6</v>
      </c>
      <c r="K59" s="445">
        <f>I59</f>
        <v>100.6</v>
      </c>
      <c r="L59" s="445">
        <f>K59+$C$60</f>
        <v>100.89999999999999</v>
      </c>
      <c r="M59" s="446">
        <f>L59</f>
        <v>100.89999999999999</v>
      </c>
      <c r="N59" s="445">
        <f>L59</f>
        <v>100.89999999999999</v>
      </c>
      <c r="O59" s="446"/>
      <c r="P59" s="446">
        <f>O59-C60</f>
        <v>-0.3</v>
      </c>
      <c r="Q59" s="446">
        <f>P59</f>
        <v>-0.3</v>
      </c>
      <c r="R59" s="101">
        <f>P59</f>
        <v>-0.3</v>
      </c>
      <c r="S59" s="101">
        <f>R59-C60</f>
        <v>-0.6</v>
      </c>
      <c r="T59" s="101">
        <f>S59</f>
        <v>-0.6</v>
      </c>
      <c r="U59" s="101">
        <f>T59</f>
        <v>-0.6</v>
      </c>
      <c r="V59" s="101">
        <f>U59-C60</f>
        <v>-0.89999999999999991</v>
      </c>
      <c r="W59" s="101">
        <f>V59</f>
        <v>-0.89999999999999991</v>
      </c>
      <c r="X59" s="101">
        <f>V59</f>
        <v>-0.89999999999999991</v>
      </c>
      <c r="Y59" s="101">
        <f>X59-C60</f>
        <v>-1.2</v>
      </c>
      <c r="Z59" s="101">
        <f>Y59</f>
        <v>-1.2</v>
      </c>
      <c r="AA59" s="101">
        <f>Y59</f>
        <v>-1.2</v>
      </c>
      <c r="AB59" s="101">
        <f>AA59-C60</f>
        <v>-1.5</v>
      </c>
    </row>
    <row r="60" spans="1:29" s="101" customFormat="1" ht="15.75" thickBot="1">
      <c r="A60" s="448" t="s">
        <v>1714</v>
      </c>
      <c r="B60" s="449"/>
      <c r="C60" s="450">
        <v>0.3</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7" t="s">
        <v>3484</v>
      </c>
      <c r="D65" s="3147" t="s">
        <v>3485</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1"/>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60" t="s">
        <v>3434</v>
      </c>
      <c r="D88" s="3147" t="s">
        <v>3435</v>
      </c>
      <c r="E88" s="3147" t="s">
        <v>3436</v>
      </c>
      <c r="F88" s="3147" t="s">
        <v>3437</v>
      </c>
      <c r="G88" s="3147" t="s">
        <v>3461</v>
      </c>
      <c r="H88" s="3147" t="s">
        <v>3438</v>
      </c>
      <c r="I88" s="3147" t="s">
        <v>3439</v>
      </c>
      <c r="J88" s="3161" t="s">
        <v>3440</v>
      </c>
      <c r="K88" s="3161" t="s">
        <v>3441</v>
      </c>
      <c r="L88" s="3147" t="s">
        <v>3442</v>
      </c>
      <c r="M88" s="3147" t="s">
        <v>3443</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8" t="s">
        <v>3476</v>
      </c>
      <c r="D90" s="3178" t="s">
        <v>3477</v>
      </c>
      <c r="E90" s="3178" t="s">
        <v>3478</v>
      </c>
      <c r="F90" s="484"/>
      <c r="G90" s="484"/>
      <c r="H90" s="485"/>
      <c r="I90" s="485"/>
      <c r="J90" s="485"/>
      <c r="K90" s="485"/>
      <c r="L90" s="486"/>
      <c r="M90" s="487"/>
      <c r="N90" s="880"/>
      <c r="O90" s="880"/>
      <c r="P90" s="1771"/>
      <c r="Q90" s="489"/>
    </row>
    <row r="91" spans="1:17" s="407" customFormat="1" ht="15.75" thickBot="1">
      <c r="A91" s="483"/>
      <c r="B91" s="473"/>
      <c r="C91" s="490">
        <f>100+1*$H$91</f>
        <v>105</v>
      </c>
      <c r="D91" s="490">
        <f>100+0.5*$H$91</f>
        <v>102.5</v>
      </c>
      <c r="E91" s="490">
        <f>100+2*$H$91</f>
        <v>110</v>
      </c>
      <c r="F91" s="490"/>
      <c r="G91" s="490"/>
      <c r="H91" s="492">
        <v>5</v>
      </c>
      <c r="I91" s="492"/>
      <c r="J91" s="492"/>
      <c r="K91" s="492"/>
      <c r="L91" s="492"/>
      <c r="M91" s="493"/>
      <c r="N91" s="880"/>
      <c r="O91" s="880"/>
      <c r="P91" s="1771"/>
      <c r="Q91" s="489"/>
    </row>
    <row r="92" spans="1:17" ht="15.75" thickTop="1">
      <c r="A92" s="366"/>
      <c r="B92" s="468" t="str">
        <f>B28</f>
        <v>道路级别</v>
      </c>
      <c r="C92" s="3141" t="s">
        <v>3447</v>
      </c>
      <c r="D92" s="3141" t="s">
        <v>3446</v>
      </c>
      <c r="E92" s="3141" t="s">
        <v>3449</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6" t="s">
        <v>3454</v>
      </c>
      <c r="D100" s="3146" t="s">
        <v>3455</v>
      </c>
      <c r="E100" s="3146" t="s">
        <v>3444</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v>
      </c>
      <c r="H102" s="508" t="str">
        <f t="shared" si="23"/>
        <v>(含)-</v>
      </c>
      <c r="I102" s="508" t="str">
        <f t="shared" si="23"/>
        <v>(含)-</v>
      </c>
      <c r="J102" s="508" t="str">
        <f t="shared" si="23"/>
        <v>(含)-</v>
      </c>
      <c r="K102" s="508" t="str">
        <f>K103&amp;"(含)"&amp;"-"&amp;L103</f>
        <v>(含)-0.2</v>
      </c>
      <c r="L102" s="508" t="str">
        <f t="shared" si="23"/>
        <v>0.2(含)-</v>
      </c>
      <c r="M102" s="508" t="str">
        <f>M103&amp;"(含)"&amp;"-"&amp;P103</f>
        <v>(含)-</v>
      </c>
      <c r="N102" s="877"/>
      <c r="O102" s="877"/>
      <c r="P102" s="1770"/>
      <c r="Q102" s="438"/>
    </row>
    <row r="103" spans="1:17" s="407" customFormat="1">
      <c r="A103" s="405"/>
      <c r="B103" s="522"/>
      <c r="C103" s="6">
        <v>0</v>
      </c>
      <c r="D103" s="6">
        <v>40</v>
      </c>
      <c r="E103" s="6">
        <v>50</v>
      </c>
      <c r="F103" s="6">
        <v>60</v>
      </c>
      <c r="G103" s="6">
        <v>70</v>
      </c>
      <c r="H103" s="6"/>
      <c r="I103" s="6"/>
      <c r="J103" s="523"/>
      <c r="K103" s="523"/>
      <c r="L103" s="523">
        <v>0.2</v>
      </c>
      <c r="M103" s="525"/>
      <c r="N103" s="880"/>
      <c r="O103" s="880"/>
      <c r="P103" s="1771"/>
      <c r="Q103" s="489"/>
    </row>
    <row r="104" spans="1:17" s="407" customFormat="1" ht="15.75" thickBot="1">
      <c r="A104" s="483"/>
      <c r="B104" s="473"/>
      <c r="C104" s="466">
        <f>D104+$L$103</f>
        <v>100.2</v>
      </c>
      <c r="D104" s="466">
        <v>100</v>
      </c>
      <c r="E104" s="466">
        <f>D104-$L$103</f>
        <v>99.8</v>
      </c>
      <c r="F104" s="466">
        <f t="shared" ref="F104:G104" si="24">E104-$L$103</f>
        <v>99.6</v>
      </c>
      <c r="G104" s="466">
        <f t="shared" si="24"/>
        <v>99.399999999999991</v>
      </c>
      <c r="H104" s="466"/>
      <c r="I104" s="3170"/>
      <c r="J104" s="466"/>
      <c r="K104" s="466"/>
      <c r="L104" s="466"/>
      <c r="M104" s="466"/>
      <c r="N104" s="879"/>
      <c r="O104" s="879"/>
      <c r="P104" s="1771"/>
      <c r="Q104" s="489"/>
    </row>
    <row r="105" spans="1:17" ht="15" thickTop="1">
      <c r="A105" s="408"/>
      <c r="B105" s="468" t="s">
        <v>1736</v>
      </c>
      <c r="C105" s="3141" t="s">
        <v>3413</v>
      </c>
      <c r="D105" s="3141" t="s">
        <v>3451</v>
      </c>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72" t="s">
        <v>3456</v>
      </c>
      <c r="C107" s="3162" t="s">
        <v>1719</v>
      </c>
      <c r="D107" s="3162" t="s">
        <v>1720</v>
      </c>
      <c r="E107" s="3162" t="s">
        <v>1721</v>
      </c>
      <c r="F107" s="3162" t="s">
        <v>1722</v>
      </c>
      <c r="G107" s="3162"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1" t="s">
        <v>3414</v>
      </c>
      <c r="D109" s="3141" t="s">
        <v>3464</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1" t="s">
        <v>3415</v>
      </c>
      <c r="D114" s="3141" t="s">
        <v>3450</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1" t="s">
        <v>3416</v>
      </c>
      <c r="D116" s="3141" t="s">
        <v>3417</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7" t="s">
        <v>3419</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1" t="s">
        <v>3420</v>
      </c>
      <c r="D122" s="3141" t="s">
        <v>3421</v>
      </c>
      <c r="E122" s="3141" t="s">
        <v>3464</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4">
        <f t="shared" si="30"/>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111</v>
      </c>
      <c r="C126" s="3141">
        <f>C44</f>
        <v>0</v>
      </c>
      <c r="D126" s="3141">
        <f>G44</f>
        <v>0</v>
      </c>
      <c r="E126" s="484">
        <f>E44</f>
        <v>0</v>
      </c>
      <c r="F126" s="484">
        <f>I44</f>
        <v>0</v>
      </c>
      <c r="G126" s="484"/>
      <c r="H126" s="485"/>
      <c r="I126" s="485">
        <v>4</v>
      </c>
      <c r="J126" s="485"/>
      <c r="K126" s="485"/>
      <c r="L126" s="486"/>
      <c r="M126" s="487"/>
      <c r="N126" s="880"/>
      <c r="O126" s="880"/>
      <c r="P126" s="1771"/>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9"/>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45.34</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3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32"/>
      <c r="AC5" s="340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28"/>
      <c r="Q6" s="3429"/>
      <c r="R6" s="3408"/>
      <c r="S6" s="3409"/>
      <c r="T6" s="3430"/>
      <c r="U6" s="3431"/>
      <c r="V6" s="3432"/>
      <c r="W6" s="3432"/>
      <c r="X6" s="1263"/>
      <c r="Y6" s="3430"/>
      <c r="Z6" s="3431"/>
      <c r="AA6" s="3403"/>
      <c r="AB6" s="3432"/>
      <c r="AC6" s="3403"/>
    </row>
    <row r="7" spans="1:29" s="101" customFormat="1" ht="15.75" thickBot="1">
      <c r="A7" s="351" t="s">
        <v>1679</v>
      </c>
      <c r="B7" s="352"/>
      <c r="C7" s="353">
        <f>'数据-取费表'!B2</f>
        <v>45288</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4"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4" t="s">
        <v>1683</v>
      </c>
      <c r="Q8" s="3405"/>
      <c r="R8" s="663" t="s">
        <v>14</v>
      </c>
      <c r="S8" s="664">
        <f t="shared" si="0"/>
        <v>100</v>
      </c>
      <c r="T8" s="663" t="s">
        <v>14</v>
      </c>
      <c r="U8" s="664">
        <f t="shared" si="1"/>
        <v>100</v>
      </c>
      <c r="V8" s="663" t="s">
        <v>14</v>
      </c>
      <c r="W8" s="664">
        <f t="shared" si="2"/>
        <v>100</v>
      </c>
      <c r="X8" s="665"/>
      <c r="Y8" s="3404" t="s">
        <v>1683</v>
      </c>
      <c r="Z8" s="3405"/>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9"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419"/>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9"/>
      <c r="Q11" s="529" t="str">
        <f t="shared" si="6"/>
        <v>容积率</v>
      </c>
      <c r="R11" s="663" t="s">
        <v>14</v>
      </c>
      <c r="S11" s="664" t="e">
        <f t="shared" si="0"/>
        <v>#N/A</v>
      </c>
      <c r="T11" s="663" t="s">
        <v>14</v>
      </c>
      <c r="U11" s="664" t="e">
        <f t="shared" si="1"/>
        <v>#N/A</v>
      </c>
      <c r="V11" s="663" t="s">
        <v>14</v>
      </c>
      <c r="W11" s="664" t="e">
        <f t="shared" si="2"/>
        <v>#N/A</v>
      </c>
      <c r="X11" s="665"/>
      <c r="Y11" s="3348"/>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9"/>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9"/>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9"/>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5" t="s">
        <v>1691</v>
      </c>
      <c r="Q15" s="1261" t="str">
        <f t="shared" si="6"/>
        <v>商业繁华度</v>
      </c>
      <c r="R15" s="666" t="s">
        <v>14</v>
      </c>
      <c r="S15" s="667">
        <f t="shared" si="0"/>
        <v>100</v>
      </c>
      <c r="T15" s="666" t="s">
        <v>14</v>
      </c>
      <c r="U15" s="667">
        <f t="shared" si="1"/>
        <v>100</v>
      </c>
      <c r="V15" s="666" t="s">
        <v>14</v>
      </c>
      <c r="W15" s="667">
        <f t="shared" si="2"/>
        <v>100</v>
      </c>
      <c r="X15" s="1263"/>
      <c r="Y15" s="3438"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6"/>
      <c r="Q16" s="1261"/>
      <c r="R16" s="666"/>
      <c r="S16" s="667"/>
      <c r="T16" s="666"/>
      <c r="U16" s="667"/>
      <c r="V16" s="666"/>
      <c r="W16" s="667"/>
      <c r="X16" s="1263"/>
      <c r="Y16" s="3439"/>
      <c r="Z16" s="1262"/>
      <c r="AA16" s="1262">
        <v>1</v>
      </c>
      <c r="AB16" s="1262">
        <v>1</v>
      </c>
      <c r="AC16" s="1262">
        <v>1</v>
      </c>
    </row>
    <row r="17" spans="1:29" ht="114">
      <c r="A17" s="366"/>
      <c r="B17" s="389" t="s">
        <v>1259</v>
      </c>
      <c r="C17" s="1751" t="str">
        <f>估价对象房地状况!C6</f>
        <v>周边有300路、302路、328路、361路等多条公交线路及地铁8号线与10号线换乘站北土城站，综合评价交通便捷度较好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6"/>
      <c r="Q17" s="1261" t="str">
        <f>B17</f>
        <v>交通便捷度</v>
      </c>
      <c r="R17" s="666" t="s">
        <v>14</v>
      </c>
      <c r="S17" s="667">
        <f>F17</f>
        <v>100</v>
      </c>
      <c r="T17" s="666" t="s">
        <v>14</v>
      </c>
      <c r="U17" s="667">
        <f>H17</f>
        <v>100</v>
      </c>
      <c r="V17" s="666" t="s">
        <v>14</v>
      </c>
      <c r="W17" s="667">
        <f>J17</f>
        <v>100</v>
      </c>
      <c r="X17" s="1263"/>
      <c r="Y17" s="3439"/>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6"/>
      <c r="Q18" s="1261"/>
      <c r="R18" s="666"/>
      <c r="S18" s="667"/>
      <c r="T18" s="666"/>
      <c r="U18" s="667"/>
      <c r="V18" s="666"/>
      <c r="W18" s="667"/>
      <c r="X18" s="1263"/>
      <c r="Y18" s="3439"/>
      <c r="Z18" s="1262"/>
      <c r="AA18" s="1262">
        <v>1</v>
      </c>
      <c r="AB18" s="1262">
        <v>1</v>
      </c>
      <c r="AC18" s="1262">
        <v>1</v>
      </c>
    </row>
    <row r="19" spans="1:29" ht="327.75">
      <c r="A19" s="366"/>
      <c r="B19" s="389" t="s">
        <v>1775</v>
      </c>
      <c r="C19" s="1751"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6"/>
      <c r="Q19" s="1261" t="str">
        <f>B19</f>
        <v>公共配套设施</v>
      </c>
      <c r="R19" s="666" t="s">
        <v>14</v>
      </c>
      <c r="S19" s="667">
        <f>F19</f>
        <v>100</v>
      </c>
      <c r="T19" s="666" t="s">
        <v>14</v>
      </c>
      <c r="U19" s="667">
        <f>H19</f>
        <v>100</v>
      </c>
      <c r="V19" s="666" t="s">
        <v>14</v>
      </c>
      <c r="W19" s="667">
        <f>J19</f>
        <v>100</v>
      </c>
      <c r="X19" s="1263"/>
      <c r="Y19" s="3439"/>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6"/>
      <c r="Q20" s="1261"/>
      <c r="R20" s="666"/>
      <c r="S20" s="667"/>
      <c r="T20" s="666"/>
      <c r="U20" s="667"/>
      <c r="V20" s="666"/>
      <c r="W20" s="667"/>
      <c r="X20" s="1263"/>
      <c r="Y20" s="3439"/>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6"/>
      <c r="Q21" s="1261" t="str">
        <f>B21</f>
        <v>基础设施水平</v>
      </c>
      <c r="R21" s="666" t="s">
        <v>14</v>
      </c>
      <c r="S21" s="667">
        <f>F21</f>
        <v>100</v>
      </c>
      <c r="T21" s="666" t="s">
        <v>14</v>
      </c>
      <c r="U21" s="667">
        <f>H21</f>
        <v>100</v>
      </c>
      <c r="V21" s="666" t="s">
        <v>14</v>
      </c>
      <c r="W21" s="667">
        <f>J21</f>
        <v>100</v>
      </c>
      <c r="X21" s="1263"/>
      <c r="Y21" s="3439"/>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6"/>
      <c r="Q22" s="1261"/>
      <c r="R22" s="666"/>
      <c r="S22" s="667"/>
      <c r="T22" s="666"/>
      <c r="U22" s="667"/>
      <c r="V22" s="666"/>
      <c r="W22" s="667"/>
      <c r="X22" s="1263"/>
      <c r="Y22" s="3439"/>
      <c r="Z22" s="1262"/>
      <c r="AA22" s="1262">
        <v>1</v>
      </c>
      <c r="AB22" s="1262">
        <v>1</v>
      </c>
      <c r="AC22" s="1262">
        <v>1</v>
      </c>
    </row>
    <row r="23" spans="1:29" ht="142.5">
      <c r="A23" s="366"/>
      <c r="B23" s="389" t="s">
        <v>1261</v>
      </c>
      <c r="C23" s="1801" t="str">
        <f>估价对象房地状况!C9</f>
        <v>自然环境：柳荫公园、土城沟水系等自然水系景观；
人文环境：西黄寺、元大都城垣遗址公园等人文场所；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6"/>
      <c r="Q23" s="1261" t="str">
        <f>B23</f>
        <v>自然及人文环境</v>
      </c>
      <c r="R23" s="666" t="s">
        <v>14</v>
      </c>
      <c r="S23" s="667">
        <f>F23</f>
        <v>100</v>
      </c>
      <c r="T23" s="666" t="s">
        <v>14</v>
      </c>
      <c r="U23" s="667">
        <f>H23</f>
        <v>100</v>
      </c>
      <c r="V23" s="666" t="s">
        <v>14</v>
      </c>
      <c r="W23" s="667">
        <f>J23</f>
        <v>100</v>
      </c>
      <c r="X23" s="1263"/>
      <c r="Y23" s="3439"/>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6"/>
      <c r="Q24" s="1261"/>
      <c r="R24" s="666"/>
      <c r="S24" s="667"/>
      <c r="T24" s="666"/>
      <c r="U24" s="667"/>
      <c r="V24" s="666"/>
      <c r="W24" s="667"/>
      <c r="X24" s="1263"/>
      <c r="Y24" s="3439"/>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6"/>
      <c r="Q25" s="1261" t="str">
        <f t="shared" ref="Q25:Q46" si="8">B25</f>
        <v>临街状况</v>
      </c>
      <c r="R25" s="666" t="s">
        <v>14</v>
      </c>
      <c r="S25" s="667">
        <f>F25</f>
        <v>100</v>
      </c>
      <c r="T25" s="666" t="s">
        <v>14</v>
      </c>
      <c r="U25" s="667">
        <f>H25</f>
        <v>100</v>
      </c>
      <c r="V25" s="666" t="s">
        <v>14</v>
      </c>
      <c r="W25" s="667">
        <f>J25</f>
        <v>100</v>
      </c>
      <c r="X25" s="1263"/>
      <c r="Y25" s="3439"/>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6"/>
      <c r="Q26" s="1261" t="str">
        <f t="shared" si="8"/>
        <v>平面位置/可视性</v>
      </c>
      <c r="R26" s="666" t="s">
        <v>14</v>
      </c>
      <c r="S26" s="667">
        <f>F26</f>
        <v>100</v>
      </c>
      <c r="T26" s="666" t="s">
        <v>14</v>
      </c>
      <c r="U26" s="667">
        <f>H26</f>
        <v>100</v>
      </c>
      <c r="V26" s="666" t="s">
        <v>14</v>
      </c>
      <c r="W26" s="667">
        <f>J26</f>
        <v>100</v>
      </c>
      <c r="X26" s="1263"/>
      <c r="Y26" s="3439"/>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6"/>
      <c r="Q27" s="529" t="str">
        <f t="shared" si="8"/>
        <v>人流量</v>
      </c>
      <c r="R27" s="663" t="s">
        <v>14</v>
      </c>
      <c r="S27" s="664">
        <f>F27</f>
        <v>100</v>
      </c>
      <c r="T27" s="663" t="s">
        <v>14</v>
      </c>
      <c r="U27" s="664">
        <f>H27</f>
        <v>100</v>
      </c>
      <c r="V27" s="663" t="s">
        <v>14</v>
      </c>
      <c r="W27" s="664">
        <f>J27</f>
        <v>100</v>
      </c>
      <c r="X27" s="665"/>
      <c r="Y27" s="3439"/>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6"/>
      <c r="Q28" s="1261" t="str">
        <f t="shared" si="8"/>
        <v>楼层</v>
      </c>
      <c r="R28" s="666" t="s">
        <v>14</v>
      </c>
      <c r="S28" s="667">
        <f t="shared" ref="S28:S46" si="9">F28</f>
        <v>100</v>
      </c>
      <c r="T28" s="666" t="s">
        <v>14</v>
      </c>
      <c r="U28" s="667">
        <f t="shared" ref="U28:U46" si="10">H28</f>
        <v>100</v>
      </c>
      <c r="V28" s="666" t="s">
        <v>14</v>
      </c>
      <c r="W28" s="667">
        <f t="shared" ref="W28:W46" si="11">J28</f>
        <v>100</v>
      </c>
      <c r="X28" s="1263"/>
      <c r="Y28" s="3439"/>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6"/>
      <c r="Q29" s="1261">
        <f t="shared" si="8"/>
        <v>111</v>
      </c>
      <c r="R29" s="666" t="s">
        <v>14</v>
      </c>
      <c r="S29" s="667">
        <f t="shared" si="9"/>
        <v>100</v>
      </c>
      <c r="T29" s="666" t="s">
        <v>14</v>
      </c>
      <c r="U29" s="667">
        <f t="shared" si="10"/>
        <v>100</v>
      </c>
      <c r="V29" s="666" t="s">
        <v>14</v>
      </c>
      <c r="W29" s="667">
        <f t="shared" si="11"/>
        <v>100</v>
      </c>
      <c r="X29" s="1263"/>
      <c r="Y29" s="3439"/>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6"/>
      <c r="Q30" s="1261">
        <f t="shared" si="8"/>
        <v>111</v>
      </c>
      <c r="R30" s="666" t="s">
        <v>14</v>
      </c>
      <c r="S30" s="667">
        <f t="shared" si="9"/>
        <v>100</v>
      </c>
      <c r="T30" s="666" t="s">
        <v>14</v>
      </c>
      <c r="U30" s="667">
        <f t="shared" si="10"/>
        <v>100</v>
      </c>
      <c r="V30" s="666" t="s">
        <v>14</v>
      </c>
      <c r="W30" s="667">
        <f t="shared" si="11"/>
        <v>100</v>
      </c>
      <c r="X30" s="1263"/>
      <c r="Y30" s="3439"/>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6"/>
      <c r="Q31" s="1261">
        <f t="shared" si="8"/>
        <v>111</v>
      </c>
      <c r="R31" s="666" t="s">
        <v>14</v>
      </c>
      <c r="S31" s="667">
        <f t="shared" si="9"/>
        <v>100</v>
      </c>
      <c r="T31" s="666" t="s">
        <v>14</v>
      </c>
      <c r="U31" s="667">
        <f t="shared" si="10"/>
        <v>100</v>
      </c>
      <c r="V31" s="666" t="s">
        <v>14</v>
      </c>
      <c r="W31" s="667">
        <f t="shared" si="11"/>
        <v>100</v>
      </c>
      <c r="X31" s="1263"/>
      <c r="Y31" s="3439"/>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0" t="s">
        <v>1696</v>
      </c>
      <c r="Q32" s="1261" t="str">
        <f t="shared" si="8"/>
        <v>商业类型</v>
      </c>
      <c r="R32" s="666" t="s">
        <v>14</v>
      </c>
      <c r="S32" s="667">
        <f t="shared" si="9"/>
        <v>100</v>
      </c>
      <c r="T32" s="666" t="s">
        <v>14</v>
      </c>
      <c r="U32" s="667">
        <f t="shared" si="10"/>
        <v>100</v>
      </c>
      <c r="V32" s="666" t="s">
        <v>14</v>
      </c>
      <c r="W32" s="667">
        <f t="shared" si="11"/>
        <v>100</v>
      </c>
      <c r="X32" s="1263"/>
      <c r="Y32" s="3443"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1"/>
      <c r="Q33" s="530" t="str">
        <f t="shared" si="8"/>
        <v>项目建筑规模</v>
      </c>
      <c r="R33" s="668" t="s">
        <v>14</v>
      </c>
      <c r="S33" s="669" t="e">
        <f t="shared" si="9"/>
        <v>#N/A</v>
      </c>
      <c r="T33" s="668" t="s">
        <v>14</v>
      </c>
      <c r="U33" s="669" t="e">
        <f t="shared" si="10"/>
        <v>#N/A</v>
      </c>
      <c r="V33" s="668" t="s">
        <v>14</v>
      </c>
      <c r="W33" s="669" t="e">
        <f t="shared" si="11"/>
        <v>#N/A</v>
      </c>
      <c r="X33" s="670"/>
      <c r="Y33" s="3443"/>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1"/>
      <c r="Q34" s="1261" t="str">
        <f t="shared" si="8"/>
        <v>建筑结构</v>
      </c>
      <c r="R34" s="666" t="s">
        <v>14</v>
      </c>
      <c r="S34" s="667">
        <f t="shared" si="9"/>
        <v>100</v>
      </c>
      <c r="T34" s="666" t="s">
        <v>14</v>
      </c>
      <c r="U34" s="667">
        <f t="shared" si="10"/>
        <v>100</v>
      </c>
      <c r="V34" s="666" t="s">
        <v>14</v>
      </c>
      <c r="W34" s="667">
        <f t="shared" si="11"/>
        <v>100</v>
      </c>
      <c r="X34" s="1263"/>
      <c r="Y34" s="3443"/>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1"/>
      <c r="Q35" s="1261" t="str">
        <f t="shared" si="8"/>
        <v>公共部分装修</v>
      </c>
      <c r="R35" s="666" t="s">
        <v>14</v>
      </c>
      <c r="S35" s="667">
        <f t="shared" si="9"/>
        <v>100</v>
      </c>
      <c r="T35" s="666" t="s">
        <v>14</v>
      </c>
      <c r="U35" s="667">
        <f t="shared" si="10"/>
        <v>100</v>
      </c>
      <c r="V35" s="666" t="s">
        <v>14</v>
      </c>
      <c r="W35" s="667">
        <f t="shared" si="11"/>
        <v>100</v>
      </c>
      <c r="X35" s="1263"/>
      <c r="Y35" s="3443"/>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1"/>
      <c r="Q36" s="1261" t="str">
        <f t="shared" si="8"/>
        <v>成新度</v>
      </c>
      <c r="R36" s="666" t="s">
        <v>14</v>
      </c>
      <c r="S36" s="667" t="e">
        <f t="shared" si="9"/>
        <v>#N/A</v>
      </c>
      <c r="T36" s="666" t="s">
        <v>14</v>
      </c>
      <c r="U36" s="667" t="e">
        <f t="shared" si="10"/>
        <v>#N/A</v>
      </c>
      <c r="V36" s="666" t="s">
        <v>14</v>
      </c>
      <c r="W36" s="667" t="e">
        <f t="shared" si="11"/>
        <v>#N/A</v>
      </c>
      <c r="X36" s="1263"/>
      <c r="Y36" s="3443"/>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1"/>
      <c r="Q37" s="529" t="str">
        <f t="shared" si="8"/>
        <v>市政基础设施</v>
      </c>
      <c r="R37" s="663" t="s">
        <v>14</v>
      </c>
      <c r="S37" s="664">
        <f t="shared" si="9"/>
        <v>100</v>
      </c>
      <c r="T37" s="663" t="s">
        <v>14</v>
      </c>
      <c r="U37" s="664">
        <f t="shared" si="10"/>
        <v>100</v>
      </c>
      <c r="V37" s="663" t="s">
        <v>14</v>
      </c>
      <c r="W37" s="664">
        <f t="shared" si="11"/>
        <v>100</v>
      </c>
      <c r="X37" s="665"/>
      <c r="Y37" s="3443"/>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1" t="s">
        <v>1696</v>
      </c>
      <c r="Q38" s="1261" t="str">
        <f t="shared" si="8"/>
        <v>业态</v>
      </c>
      <c r="R38" s="666" t="s">
        <v>14</v>
      </c>
      <c r="S38" s="667">
        <f t="shared" si="9"/>
        <v>100</v>
      </c>
      <c r="T38" s="666" t="s">
        <v>14</v>
      </c>
      <c r="U38" s="667">
        <f t="shared" si="10"/>
        <v>100</v>
      </c>
      <c r="V38" s="666" t="s">
        <v>14</v>
      </c>
      <c r="W38" s="667">
        <f t="shared" si="11"/>
        <v>100</v>
      </c>
      <c r="X38" s="1263"/>
      <c r="Y38" s="3443"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1"/>
      <c r="Q39" s="1261" t="str">
        <f t="shared" si="8"/>
        <v>层高</v>
      </c>
      <c r="R39" s="666" t="s">
        <v>14</v>
      </c>
      <c r="S39" s="667">
        <f t="shared" si="9"/>
        <v>100</v>
      </c>
      <c r="T39" s="666" t="s">
        <v>14</v>
      </c>
      <c r="U39" s="667">
        <f t="shared" si="10"/>
        <v>100</v>
      </c>
      <c r="V39" s="666" t="s">
        <v>14</v>
      </c>
      <c r="W39" s="667">
        <f t="shared" si="11"/>
        <v>100</v>
      </c>
      <c r="X39" s="1263"/>
      <c r="Y39" s="3443"/>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1"/>
      <c r="Q40" s="1261" t="str">
        <f t="shared" si="8"/>
        <v>单套建筑面积</v>
      </c>
      <c r="R40" s="666" t="s">
        <v>14</v>
      </c>
      <c r="S40" s="667">
        <f t="shared" si="9"/>
        <v>100</v>
      </c>
      <c r="T40" s="666" t="s">
        <v>14</v>
      </c>
      <c r="U40" s="667">
        <f t="shared" si="10"/>
        <v>100</v>
      </c>
      <c r="V40" s="666" t="s">
        <v>14</v>
      </c>
      <c r="W40" s="667">
        <f t="shared" si="11"/>
        <v>100</v>
      </c>
      <c r="X40" s="1263"/>
      <c r="Y40" s="3443"/>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1"/>
      <c r="Q41" s="530" t="str">
        <f t="shared" si="8"/>
        <v>进深比</v>
      </c>
      <c r="R41" s="668" t="s">
        <v>14</v>
      </c>
      <c r="S41" s="669">
        <f t="shared" si="9"/>
        <v>100</v>
      </c>
      <c r="T41" s="668" t="s">
        <v>14</v>
      </c>
      <c r="U41" s="669">
        <f t="shared" si="10"/>
        <v>100</v>
      </c>
      <c r="V41" s="668" t="s">
        <v>14</v>
      </c>
      <c r="W41" s="669">
        <f t="shared" si="11"/>
        <v>100</v>
      </c>
      <c r="X41" s="670"/>
      <c r="Y41" s="3443"/>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1"/>
      <c r="Q42" s="1261" t="str">
        <f t="shared" si="8"/>
        <v>内部装修</v>
      </c>
      <c r="R42" s="666" t="s">
        <v>14</v>
      </c>
      <c r="S42" s="667">
        <f t="shared" si="9"/>
        <v>100</v>
      </c>
      <c r="T42" s="666" t="s">
        <v>14</v>
      </c>
      <c r="U42" s="667">
        <f t="shared" si="10"/>
        <v>100</v>
      </c>
      <c r="V42" s="666" t="s">
        <v>14</v>
      </c>
      <c r="W42" s="667">
        <f t="shared" si="11"/>
        <v>100</v>
      </c>
      <c r="X42" s="1263"/>
      <c r="Y42" s="3443"/>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1"/>
      <c r="Q43" s="1261" t="str">
        <f t="shared" si="8"/>
        <v>内部装修维护情况</v>
      </c>
      <c r="R43" s="666" t="s">
        <v>14</v>
      </c>
      <c r="S43" s="667">
        <f t="shared" si="9"/>
        <v>100</v>
      </c>
      <c r="T43" s="666" t="s">
        <v>14</v>
      </c>
      <c r="U43" s="667">
        <f t="shared" si="10"/>
        <v>100</v>
      </c>
      <c r="V43" s="666" t="s">
        <v>14</v>
      </c>
      <c r="W43" s="667">
        <f t="shared" si="11"/>
        <v>100</v>
      </c>
      <c r="X43" s="1263"/>
      <c r="Y43" s="3443"/>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1"/>
      <c r="Q44" s="529">
        <f t="shared" si="8"/>
        <v>111</v>
      </c>
      <c r="R44" s="663" t="s">
        <v>14</v>
      </c>
      <c r="S44" s="664">
        <f t="shared" si="9"/>
        <v>100</v>
      </c>
      <c r="T44" s="663" t="s">
        <v>14</v>
      </c>
      <c r="U44" s="664">
        <f t="shared" si="10"/>
        <v>100</v>
      </c>
      <c r="V44" s="663" t="s">
        <v>14</v>
      </c>
      <c r="W44" s="664">
        <f t="shared" si="11"/>
        <v>100</v>
      </c>
      <c r="X44" s="665"/>
      <c r="Y44" s="3443"/>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1"/>
      <c r="Q45" s="1261">
        <f t="shared" si="8"/>
        <v>111</v>
      </c>
      <c r="R45" s="666" t="s">
        <v>14</v>
      </c>
      <c r="S45" s="667">
        <f t="shared" si="9"/>
        <v>100</v>
      </c>
      <c r="T45" s="666" t="s">
        <v>14</v>
      </c>
      <c r="U45" s="667">
        <f t="shared" si="10"/>
        <v>100</v>
      </c>
      <c r="V45" s="666" t="s">
        <v>14</v>
      </c>
      <c r="W45" s="667">
        <f t="shared" si="11"/>
        <v>100</v>
      </c>
      <c r="X45" s="1263"/>
      <c r="Y45" s="3443"/>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2"/>
      <c r="Q46" s="1261">
        <f t="shared" si="8"/>
        <v>111</v>
      </c>
      <c r="R46" s="666" t="s">
        <v>14</v>
      </c>
      <c r="S46" s="667">
        <f t="shared" si="9"/>
        <v>100</v>
      </c>
      <c r="T46" s="666" t="s">
        <v>14</v>
      </c>
      <c r="U46" s="667">
        <f t="shared" si="10"/>
        <v>100</v>
      </c>
      <c r="V46" s="666" t="s">
        <v>14</v>
      </c>
      <c r="W46" s="667">
        <f t="shared" si="11"/>
        <v>100</v>
      </c>
      <c r="X46" s="1263"/>
      <c r="Y46" s="3444"/>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7" t="str">
        <f>A47</f>
        <v>成交单价（元/平方米）</v>
      </c>
      <c r="Q47" s="3437"/>
      <c r="R47" s="3432">
        <f>E47</f>
        <v>0</v>
      </c>
      <c r="S47" s="3432"/>
      <c r="T47" s="3432">
        <f>G47</f>
        <v>0</v>
      </c>
      <c r="U47" s="3432"/>
      <c r="V47" s="3432">
        <f>I47</f>
        <v>0</v>
      </c>
      <c r="W47" s="3432"/>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7" t="str">
        <f>A48</f>
        <v>比较价值（元/平方米）</v>
      </c>
      <c r="Q48" s="3437"/>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2023-12</v>
      </c>
      <c r="D58" s="1102">
        <f>EDATE(C58,-1)</f>
        <v>45231</v>
      </c>
      <c r="E58" s="1102">
        <f t="shared" ref="E58:N58" si="13">EDATE(D58,-1)</f>
        <v>45200</v>
      </c>
      <c r="F58" s="1102">
        <f t="shared" si="13"/>
        <v>45170</v>
      </c>
      <c r="G58" s="1102">
        <f t="shared" si="13"/>
        <v>45139</v>
      </c>
      <c r="H58" s="1102">
        <f t="shared" si="13"/>
        <v>45108</v>
      </c>
      <c r="I58" s="1102">
        <f t="shared" si="13"/>
        <v>45078</v>
      </c>
      <c r="J58" s="1102">
        <f t="shared" si="13"/>
        <v>45047</v>
      </c>
      <c r="K58" s="1102">
        <f t="shared" si="13"/>
        <v>45017</v>
      </c>
      <c r="L58" s="1102">
        <f t="shared" si="13"/>
        <v>44986</v>
      </c>
      <c r="M58" s="1102">
        <f t="shared" si="13"/>
        <v>44958</v>
      </c>
      <c r="N58" s="1102">
        <f t="shared" si="13"/>
        <v>44927</v>
      </c>
      <c r="O58" s="1102">
        <f>EDATE(N58,-1)</f>
        <v>44896</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45.34</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54" t="s">
        <v>1772</v>
      </c>
      <c r="Q4" s="3455"/>
      <c r="R4" s="3449" t="s">
        <v>1768</v>
      </c>
      <c r="S4" s="3450"/>
      <c r="T4" s="3449" t="s">
        <v>1769</v>
      </c>
      <c r="U4" s="3450"/>
      <c r="V4" s="3458" t="s">
        <v>1770</v>
      </c>
      <c r="W4" s="3458"/>
      <c r="X4" s="1804"/>
      <c r="Y4" s="3449" t="s">
        <v>1772</v>
      </c>
      <c r="Z4" s="3450"/>
      <c r="AA4" s="3448" t="s">
        <v>1768</v>
      </c>
      <c r="AB4" s="3448" t="s">
        <v>1769</v>
      </c>
      <c r="AC4" s="3451" t="s">
        <v>1770</v>
      </c>
    </row>
    <row r="5" spans="1:29" ht="15">
      <c r="A5" s="347"/>
      <c r="B5" s="348"/>
      <c r="C5" s="3416" t="s">
        <v>1673</v>
      </c>
      <c r="D5" s="3413"/>
      <c r="E5" s="3447" t="s">
        <v>1674</v>
      </c>
      <c r="F5" s="3411"/>
      <c r="G5" s="3416" t="s">
        <v>1675</v>
      </c>
      <c r="H5" s="3413"/>
      <c r="I5" s="3416" t="s">
        <v>1676</v>
      </c>
      <c r="J5" s="3413"/>
      <c r="K5" s="536"/>
      <c r="L5" s="2481"/>
      <c r="M5" s="2482"/>
      <c r="N5" s="2482"/>
      <c r="O5" s="2482"/>
      <c r="P5" s="3456"/>
      <c r="Q5" s="3427"/>
      <c r="R5" s="3408"/>
      <c r="S5" s="3409"/>
      <c r="T5" s="3408"/>
      <c r="U5" s="3409"/>
      <c r="V5" s="3432"/>
      <c r="W5" s="3432"/>
      <c r="X5" s="1263"/>
      <c r="Y5" s="3408"/>
      <c r="Z5" s="3409"/>
      <c r="AA5" s="3402"/>
      <c r="AB5" s="3402"/>
      <c r="AC5" s="345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57"/>
      <c r="Q6" s="3429"/>
      <c r="R6" s="3408"/>
      <c r="S6" s="3409"/>
      <c r="T6" s="3430"/>
      <c r="U6" s="3431"/>
      <c r="V6" s="3432"/>
      <c r="W6" s="3432"/>
      <c r="X6" s="1263"/>
      <c r="Y6" s="3430"/>
      <c r="Z6" s="3431"/>
      <c r="AA6" s="3403"/>
      <c r="AB6" s="3403"/>
      <c r="AC6" s="3453"/>
    </row>
    <row r="7" spans="1:29" s="101" customFormat="1" ht="15.75" thickBot="1">
      <c r="A7" s="351" t="s">
        <v>1679</v>
      </c>
      <c r="B7" s="352"/>
      <c r="C7" s="353">
        <f>'数据-取费表'!B2</f>
        <v>45288</v>
      </c>
      <c r="D7" s="354">
        <v>100</v>
      </c>
      <c r="E7" s="355"/>
      <c r="F7" s="356">
        <f>SUMIF(59:59,YEAR(E7)&amp;"-"&amp;MONTH(E7),60:60)</f>
        <v>0</v>
      </c>
      <c r="G7" s="355"/>
      <c r="H7" s="354">
        <f>SUMIF(59:59,YEAR(G7)&amp;"-"&amp;MONTH(G7),60:60)</f>
        <v>0</v>
      </c>
      <c r="I7" s="355"/>
      <c r="J7" s="354">
        <f>SUMIF(59:59,YEAR(I7)&amp;"-"&amp;MONTH(I7),60:60)</f>
        <v>0</v>
      </c>
      <c r="K7" s="38"/>
      <c r="L7" s="2483"/>
      <c r="M7" s="2434"/>
      <c r="N7" s="2434"/>
      <c r="O7" s="2434"/>
      <c r="P7" s="3459"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59" t="s">
        <v>1683</v>
      </c>
      <c r="Q8" s="3405"/>
      <c r="R8" s="663" t="s">
        <v>14</v>
      </c>
      <c r="S8" s="664">
        <f t="shared" si="0"/>
        <v>100</v>
      </c>
      <c r="T8" s="663" t="s">
        <v>14</v>
      </c>
      <c r="U8" s="664">
        <f t="shared" si="1"/>
        <v>100</v>
      </c>
      <c r="V8" s="663" t="s">
        <v>14</v>
      </c>
      <c r="W8" s="664">
        <f t="shared" si="2"/>
        <v>100</v>
      </c>
      <c r="X8" s="665"/>
      <c r="Y8" s="3404" t="s">
        <v>1683</v>
      </c>
      <c r="Z8" s="3405"/>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9"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801">
        <f t="shared" si="5"/>
        <v>1</v>
      </c>
    </row>
    <row r="10" spans="1:29" s="365" customFormat="1" ht="27">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4"/>
      <c r="M10" s="2485"/>
      <c r="N10" s="2485"/>
      <c r="O10" s="2485"/>
      <c r="P10" s="3419"/>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9"/>
      <c r="Q11" s="529" t="str">
        <f t="shared" si="6"/>
        <v>容积率</v>
      </c>
      <c r="R11" s="663" t="s">
        <v>14</v>
      </c>
      <c r="S11" s="664">
        <f t="shared" si="0"/>
        <v>100</v>
      </c>
      <c r="T11" s="663" t="s">
        <v>14</v>
      </c>
      <c r="U11" s="664">
        <f t="shared" si="1"/>
        <v>100</v>
      </c>
      <c r="V11" s="663" t="s">
        <v>14</v>
      </c>
      <c r="W11" s="664">
        <f t="shared" si="2"/>
        <v>100</v>
      </c>
      <c r="X11" s="665"/>
      <c r="Y11" s="3348"/>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9"/>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9"/>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9"/>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5" t="s">
        <v>1691</v>
      </c>
      <c r="Q15" s="1261" t="str">
        <f t="shared" si="6"/>
        <v>办公集聚程度</v>
      </c>
      <c r="R15" s="666" t="s">
        <v>14</v>
      </c>
      <c r="S15" s="667">
        <f t="shared" si="0"/>
        <v>100</v>
      </c>
      <c r="T15" s="666" t="s">
        <v>14</v>
      </c>
      <c r="U15" s="667">
        <f t="shared" si="1"/>
        <v>100</v>
      </c>
      <c r="V15" s="666" t="s">
        <v>14</v>
      </c>
      <c r="W15" s="667">
        <f t="shared" si="2"/>
        <v>100</v>
      </c>
      <c r="X15" s="1263"/>
      <c r="Y15" s="3438"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6"/>
      <c r="Q16" s="1261"/>
      <c r="R16" s="666"/>
      <c r="S16" s="667"/>
      <c r="T16" s="666"/>
      <c r="U16" s="667"/>
      <c r="V16" s="666"/>
      <c r="W16" s="667"/>
      <c r="X16" s="1263"/>
      <c r="Y16" s="3439"/>
      <c r="Z16" s="1262"/>
      <c r="AA16" s="1262">
        <v>1</v>
      </c>
      <c r="AB16" s="1262">
        <v>1</v>
      </c>
      <c r="AC16" s="1807">
        <v>1</v>
      </c>
    </row>
    <row r="17" spans="1:29" ht="99.75">
      <c r="A17" s="366"/>
      <c r="B17" s="555" t="s">
        <v>1259</v>
      </c>
      <c r="C17" s="1808" t="str">
        <f>估价对象房地状况!C6</f>
        <v>周边有300路、302路、328路、361路等多条公交线路及地铁8号线与10号线换乘站北土城站，综合评价交通便捷度较好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6"/>
      <c r="Q17" s="1261" t="str">
        <f>B17</f>
        <v>交通便捷度</v>
      </c>
      <c r="R17" s="666" t="s">
        <v>14</v>
      </c>
      <c r="S17" s="667">
        <f>F17</f>
        <v>100</v>
      </c>
      <c r="T17" s="666" t="s">
        <v>14</v>
      </c>
      <c r="U17" s="667">
        <f>H17</f>
        <v>100</v>
      </c>
      <c r="V17" s="666" t="s">
        <v>14</v>
      </c>
      <c r="W17" s="667">
        <f>J17</f>
        <v>100</v>
      </c>
      <c r="X17" s="1263"/>
      <c r="Y17" s="3439"/>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6"/>
      <c r="Q18" s="1261"/>
      <c r="R18" s="666"/>
      <c r="S18" s="667"/>
      <c r="T18" s="666"/>
      <c r="U18" s="667"/>
      <c r="V18" s="666"/>
      <c r="W18" s="667"/>
      <c r="X18" s="1263"/>
      <c r="Y18" s="3439"/>
      <c r="Z18" s="1262"/>
      <c r="AA18" s="1262">
        <v>1</v>
      </c>
      <c r="AB18" s="1262">
        <v>1</v>
      </c>
      <c r="AC18" s="1807">
        <v>1</v>
      </c>
    </row>
    <row r="19" spans="1:29" ht="256.5">
      <c r="A19" s="366"/>
      <c r="B19" s="555" t="s">
        <v>1809</v>
      </c>
      <c r="C19" s="1808"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6"/>
      <c r="Q19" s="1261" t="str">
        <f>B19</f>
        <v>公共配套设施</v>
      </c>
      <c r="R19" s="666" t="s">
        <v>14</v>
      </c>
      <c r="S19" s="667">
        <f>F19</f>
        <v>100</v>
      </c>
      <c r="T19" s="666" t="s">
        <v>14</v>
      </c>
      <c r="U19" s="667">
        <f>H19</f>
        <v>100</v>
      </c>
      <c r="V19" s="666" t="s">
        <v>14</v>
      </c>
      <c r="W19" s="667">
        <f>J19</f>
        <v>100</v>
      </c>
      <c r="X19" s="1263"/>
      <c r="Y19" s="3439"/>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6"/>
      <c r="Q20" s="1261"/>
      <c r="R20" s="666"/>
      <c r="S20" s="667"/>
      <c r="T20" s="666"/>
      <c r="U20" s="667"/>
      <c r="V20" s="666"/>
      <c r="W20" s="667"/>
      <c r="X20" s="1263"/>
      <c r="Y20" s="3439"/>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6"/>
      <c r="Q21" s="1261" t="str">
        <f>B21</f>
        <v>基础设施水平</v>
      </c>
      <c r="R21" s="666" t="s">
        <v>14</v>
      </c>
      <c r="S21" s="667">
        <f>F21</f>
        <v>100</v>
      </c>
      <c r="T21" s="666" t="s">
        <v>14</v>
      </c>
      <c r="U21" s="667">
        <f>H21</f>
        <v>100</v>
      </c>
      <c r="V21" s="666" t="s">
        <v>14</v>
      </c>
      <c r="W21" s="667">
        <f>J21</f>
        <v>100</v>
      </c>
      <c r="X21" s="1263"/>
      <c r="Y21" s="3439"/>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6"/>
      <c r="Q22" s="1261"/>
      <c r="R22" s="666"/>
      <c r="S22" s="667"/>
      <c r="T22" s="666"/>
      <c r="U22" s="667"/>
      <c r="V22" s="666"/>
      <c r="W22" s="667"/>
      <c r="X22" s="1263"/>
      <c r="Y22" s="3439"/>
      <c r="Z22" s="1262"/>
      <c r="AA22" s="1262">
        <v>1</v>
      </c>
      <c r="AB22" s="1262">
        <v>1</v>
      </c>
      <c r="AC22" s="1807">
        <v>1</v>
      </c>
    </row>
    <row r="23" spans="1:29" ht="114">
      <c r="A23" s="366"/>
      <c r="B23" s="555" t="s">
        <v>1811</v>
      </c>
      <c r="C23" s="1808" t="str">
        <f>估价对象房地状况!C9</f>
        <v>自然环境：柳荫公园、土城沟水系等自然水系景观；
人文环境：西黄寺、元大都城垣遗址公园等人文场所；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6"/>
      <c r="Q23" s="1261" t="str">
        <f>B23</f>
        <v>环境质量</v>
      </c>
      <c r="R23" s="666" t="s">
        <v>14</v>
      </c>
      <c r="S23" s="667">
        <f>F23</f>
        <v>100</v>
      </c>
      <c r="T23" s="666" t="s">
        <v>14</v>
      </c>
      <c r="U23" s="667">
        <f>H23</f>
        <v>100</v>
      </c>
      <c r="V23" s="666" t="s">
        <v>14</v>
      </c>
      <c r="W23" s="667">
        <f>J23</f>
        <v>100</v>
      </c>
      <c r="X23" s="1263"/>
      <c r="Y23" s="3439"/>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6"/>
      <c r="Q24" s="1261"/>
      <c r="R24" s="666"/>
      <c r="S24" s="667"/>
      <c r="T24" s="666"/>
      <c r="U24" s="667"/>
      <c r="V24" s="666"/>
      <c r="W24" s="667"/>
      <c r="X24" s="1263"/>
      <c r="Y24" s="3439"/>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6"/>
      <c r="Q25" s="1261" t="str">
        <f>B25</f>
        <v>毗邻道路的类型与等级</v>
      </c>
      <c r="R25" s="666" t="s">
        <v>14</v>
      </c>
      <c r="S25" s="667">
        <f>F25</f>
        <v>100</v>
      </c>
      <c r="T25" s="666" t="s">
        <v>14</v>
      </c>
      <c r="U25" s="667">
        <f>H25</f>
        <v>100</v>
      </c>
      <c r="V25" s="666" t="s">
        <v>14</v>
      </c>
      <c r="W25" s="667">
        <f>J25</f>
        <v>100</v>
      </c>
      <c r="X25" s="1263"/>
      <c r="Y25" s="3439"/>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6"/>
      <c r="Q26" s="1261"/>
      <c r="R26" s="666"/>
      <c r="S26" s="667"/>
      <c r="T26" s="666"/>
      <c r="U26" s="667"/>
      <c r="V26" s="666"/>
      <c r="W26" s="667"/>
      <c r="X26" s="1263"/>
      <c r="Y26" s="3439"/>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6"/>
      <c r="Q27" s="1261" t="str">
        <f t="shared" ref="Q27:Q47" si="8">B27</f>
        <v>楼层</v>
      </c>
      <c r="R27" s="666" t="s">
        <v>14</v>
      </c>
      <c r="S27" s="667">
        <f>F27</f>
        <v>100</v>
      </c>
      <c r="T27" s="666" t="s">
        <v>14</v>
      </c>
      <c r="U27" s="667">
        <f>H27</f>
        <v>100</v>
      </c>
      <c r="V27" s="666" t="s">
        <v>14</v>
      </c>
      <c r="W27" s="667">
        <f>J27</f>
        <v>100</v>
      </c>
      <c r="X27" s="1263"/>
      <c r="Y27" s="3439"/>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6"/>
      <c r="Q28" s="529" t="str">
        <f t="shared" si="8"/>
        <v>朝向</v>
      </c>
      <c r="R28" s="663" t="s">
        <v>14</v>
      </c>
      <c r="S28" s="664">
        <f>F28</f>
        <v>100</v>
      </c>
      <c r="T28" s="663" t="s">
        <v>14</v>
      </c>
      <c r="U28" s="664">
        <f>H28</f>
        <v>100</v>
      </c>
      <c r="V28" s="663" t="s">
        <v>14</v>
      </c>
      <c r="W28" s="664">
        <f>J28</f>
        <v>100</v>
      </c>
      <c r="X28" s="665"/>
      <c r="Y28" s="3439"/>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6"/>
      <c r="Q29" s="1261">
        <f t="shared" si="8"/>
        <v>111</v>
      </c>
      <c r="R29" s="666" t="s">
        <v>14</v>
      </c>
      <c r="S29" s="667">
        <f t="shared" ref="S29:S47" si="9">F29</f>
        <v>100</v>
      </c>
      <c r="T29" s="666" t="s">
        <v>14</v>
      </c>
      <c r="U29" s="667">
        <f t="shared" ref="U29:U47" si="10">H29</f>
        <v>100</v>
      </c>
      <c r="V29" s="666" t="s">
        <v>14</v>
      </c>
      <c r="W29" s="667">
        <f t="shared" ref="W29:W47" si="11">J29</f>
        <v>100</v>
      </c>
      <c r="X29" s="1263"/>
      <c r="Y29" s="3439"/>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6"/>
      <c r="Q30" s="1261">
        <f t="shared" si="8"/>
        <v>111</v>
      </c>
      <c r="R30" s="666" t="s">
        <v>14</v>
      </c>
      <c r="S30" s="667">
        <f t="shared" si="9"/>
        <v>100</v>
      </c>
      <c r="T30" s="666" t="s">
        <v>14</v>
      </c>
      <c r="U30" s="667">
        <f t="shared" si="10"/>
        <v>100</v>
      </c>
      <c r="V30" s="666" t="s">
        <v>14</v>
      </c>
      <c r="W30" s="667">
        <f t="shared" si="11"/>
        <v>100</v>
      </c>
      <c r="X30" s="1263"/>
      <c r="Y30" s="3439"/>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6"/>
      <c r="Q31" s="1261">
        <f t="shared" si="8"/>
        <v>111</v>
      </c>
      <c r="R31" s="666" t="s">
        <v>14</v>
      </c>
      <c r="S31" s="667">
        <f t="shared" si="9"/>
        <v>100</v>
      </c>
      <c r="T31" s="666" t="s">
        <v>14</v>
      </c>
      <c r="U31" s="667">
        <f t="shared" si="10"/>
        <v>100</v>
      </c>
      <c r="V31" s="666" t="s">
        <v>14</v>
      </c>
      <c r="W31" s="667">
        <f t="shared" si="11"/>
        <v>100</v>
      </c>
      <c r="X31" s="1263"/>
      <c r="Y31" s="3439"/>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6"/>
      <c r="Q32" s="1261">
        <f t="shared" si="8"/>
        <v>111</v>
      </c>
      <c r="R32" s="666" t="s">
        <v>14</v>
      </c>
      <c r="S32" s="667">
        <f t="shared" si="9"/>
        <v>100</v>
      </c>
      <c r="T32" s="666" t="s">
        <v>14</v>
      </c>
      <c r="U32" s="667">
        <f t="shared" si="10"/>
        <v>100</v>
      </c>
      <c r="V32" s="666" t="s">
        <v>14</v>
      </c>
      <c r="W32" s="667">
        <f t="shared" si="11"/>
        <v>100</v>
      </c>
      <c r="X32" s="1263"/>
      <c r="Y32" s="3439"/>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0" t="s">
        <v>1696</v>
      </c>
      <c r="Q33" s="1261" t="str">
        <f t="shared" si="8"/>
        <v>建筑类型</v>
      </c>
      <c r="R33" s="666" t="s">
        <v>14</v>
      </c>
      <c r="S33" s="667">
        <f t="shared" si="9"/>
        <v>100</v>
      </c>
      <c r="T33" s="666" t="s">
        <v>14</v>
      </c>
      <c r="U33" s="667">
        <f t="shared" si="10"/>
        <v>100</v>
      </c>
      <c r="V33" s="666" t="s">
        <v>14</v>
      </c>
      <c r="W33" s="667">
        <f t="shared" si="11"/>
        <v>100</v>
      </c>
      <c r="X33" s="1263"/>
      <c r="Y33" s="3443"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1"/>
      <c r="Q34" s="530" t="str">
        <f t="shared" si="8"/>
        <v>项目建筑规模</v>
      </c>
      <c r="R34" s="668" t="s">
        <v>14</v>
      </c>
      <c r="S34" s="669" t="e">
        <f t="shared" si="9"/>
        <v>#N/A</v>
      </c>
      <c r="T34" s="668" t="s">
        <v>14</v>
      </c>
      <c r="U34" s="669" t="e">
        <f t="shared" si="10"/>
        <v>#N/A</v>
      </c>
      <c r="V34" s="668" t="s">
        <v>14</v>
      </c>
      <c r="W34" s="669" t="e">
        <f t="shared" si="11"/>
        <v>#N/A</v>
      </c>
      <c r="X34" s="670"/>
      <c r="Y34" s="3443"/>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1"/>
      <c r="Q35" s="1261" t="str">
        <f t="shared" si="8"/>
        <v>建筑结构</v>
      </c>
      <c r="R35" s="666" t="s">
        <v>14</v>
      </c>
      <c r="S35" s="667">
        <f t="shared" si="9"/>
        <v>100</v>
      </c>
      <c r="T35" s="666" t="s">
        <v>14</v>
      </c>
      <c r="U35" s="667">
        <f t="shared" si="10"/>
        <v>100</v>
      </c>
      <c r="V35" s="666" t="s">
        <v>14</v>
      </c>
      <c r="W35" s="667">
        <f t="shared" si="11"/>
        <v>100</v>
      </c>
      <c r="X35" s="1263"/>
      <c r="Y35" s="3443"/>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1"/>
      <c r="Q36" s="1261" t="str">
        <f t="shared" si="8"/>
        <v>公共部分装修</v>
      </c>
      <c r="R36" s="666" t="s">
        <v>14</v>
      </c>
      <c r="S36" s="667">
        <f t="shared" si="9"/>
        <v>100</v>
      </c>
      <c r="T36" s="666" t="s">
        <v>14</v>
      </c>
      <c r="U36" s="667">
        <f t="shared" si="10"/>
        <v>100</v>
      </c>
      <c r="V36" s="666" t="s">
        <v>14</v>
      </c>
      <c r="W36" s="667">
        <f t="shared" si="11"/>
        <v>100</v>
      </c>
      <c r="X36" s="1263"/>
      <c r="Y36" s="3443"/>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1"/>
      <c r="Q37" s="1261" t="str">
        <f t="shared" si="8"/>
        <v>成新度</v>
      </c>
      <c r="R37" s="666" t="s">
        <v>14</v>
      </c>
      <c r="S37" s="667" t="e">
        <f t="shared" si="9"/>
        <v>#N/A</v>
      </c>
      <c r="T37" s="666" t="s">
        <v>14</v>
      </c>
      <c r="U37" s="667" t="e">
        <f t="shared" si="10"/>
        <v>#N/A</v>
      </c>
      <c r="V37" s="666" t="s">
        <v>14</v>
      </c>
      <c r="W37" s="667" t="e">
        <f t="shared" si="11"/>
        <v>#N/A</v>
      </c>
      <c r="X37" s="1263"/>
      <c r="Y37" s="3443"/>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1"/>
      <c r="Q38" s="529" t="str">
        <f t="shared" si="8"/>
        <v>写字楼等级</v>
      </c>
      <c r="R38" s="663" t="s">
        <v>14</v>
      </c>
      <c r="S38" s="664">
        <f t="shared" si="9"/>
        <v>100</v>
      </c>
      <c r="T38" s="663" t="s">
        <v>14</v>
      </c>
      <c r="U38" s="664">
        <f t="shared" si="10"/>
        <v>100</v>
      </c>
      <c r="V38" s="663" t="s">
        <v>14</v>
      </c>
      <c r="W38" s="664">
        <f t="shared" si="11"/>
        <v>100</v>
      </c>
      <c r="X38" s="665"/>
      <c r="Y38" s="3443"/>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1" t="s">
        <v>1696</v>
      </c>
      <c r="Q39" s="1261" t="str">
        <f t="shared" si="8"/>
        <v>物业管理</v>
      </c>
      <c r="R39" s="666" t="s">
        <v>14</v>
      </c>
      <c r="S39" s="667">
        <f t="shared" si="9"/>
        <v>100</v>
      </c>
      <c r="T39" s="666" t="s">
        <v>14</v>
      </c>
      <c r="U39" s="667">
        <f t="shared" si="10"/>
        <v>100</v>
      </c>
      <c r="V39" s="666" t="s">
        <v>14</v>
      </c>
      <c r="W39" s="667">
        <f t="shared" si="11"/>
        <v>100</v>
      </c>
      <c r="X39" s="1263"/>
      <c r="Y39" s="3443"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1"/>
      <c r="Q40" s="1261" t="str">
        <f t="shared" si="8"/>
        <v>市政基础设施</v>
      </c>
      <c r="R40" s="666" t="s">
        <v>14</v>
      </c>
      <c r="S40" s="667">
        <f t="shared" si="9"/>
        <v>100</v>
      </c>
      <c r="T40" s="666" t="s">
        <v>14</v>
      </c>
      <c r="U40" s="667">
        <f t="shared" si="10"/>
        <v>100</v>
      </c>
      <c r="V40" s="666" t="s">
        <v>14</v>
      </c>
      <c r="W40" s="667">
        <f t="shared" si="11"/>
        <v>100</v>
      </c>
      <c r="X40" s="1263"/>
      <c r="Y40" s="3443"/>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1"/>
      <c r="Q41" s="1261" t="str">
        <f t="shared" si="8"/>
        <v>层高</v>
      </c>
      <c r="R41" s="666" t="s">
        <v>14</v>
      </c>
      <c r="S41" s="667">
        <f t="shared" si="9"/>
        <v>100</v>
      </c>
      <c r="T41" s="666" t="s">
        <v>14</v>
      </c>
      <c r="U41" s="667">
        <f t="shared" si="10"/>
        <v>100</v>
      </c>
      <c r="V41" s="666" t="s">
        <v>14</v>
      </c>
      <c r="W41" s="667">
        <f t="shared" si="11"/>
        <v>100</v>
      </c>
      <c r="X41" s="1263"/>
      <c r="Y41" s="3443"/>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1"/>
      <c r="Q42" s="530" t="str">
        <f t="shared" si="8"/>
        <v>单套建筑面积</v>
      </c>
      <c r="R42" s="668" t="s">
        <v>14</v>
      </c>
      <c r="S42" s="669">
        <f t="shared" si="9"/>
        <v>100</v>
      </c>
      <c r="T42" s="668" t="s">
        <v>14</v>
      </c>
      <c r="U42" s="669">
        <f t="shared" si="10"/>
        <v>100</v>
      </c>
      <c r="V42" s="668" t="s">
        <v>14</v>
      </c>
      <c r="W42" s="669">
        <f t="shared" si="11"/>
        <v>100</v>
      </c>
      <c r="X42" s="670"/>
      <c r="Y42" s="3443"/>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1"/>
      <c r="Q43" s="1261" t="str">
        <f t="shared" si="8"/>
        <v>内部装修</v>
      </c>
      <c r="R43" s="666" t="s">
        <v>14</v>
      </c>
      <c r="S43" s="667">
        <f t="shared" si="9"/>
        <v>100</v>
      </c>
      <c r="T43" s="666" t="s">
        <v>14</v>
      </c>
      <c r="U43" s="667">
        <f t="shared" si="10"/>
        <v>100</v>
      </c>
      <c r="V43" s="666" t="s">
        <v>14</v>
      </c>
      <c r="W43" s="667">
        <f t="shared" si="11"/>
        <v>100</v>
      </c>
      <c r="X43" s="1263"/>
      <c r="Y43" s="3443"/>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1"/>
      <c r="Q44" s="1261" t="str">
        <f t="shared" si="8"/>
        <v>内部装修维护情况</v>
      </c>
      <c r="R44" s="666" t="s">
        <v>14</v>
      </c>
      <c r="S44" s="667">
        <f t="shared" si="9"/>
        <v>100</v>
      </c>
      <c r="T44" s="666" t="s">
        <v>14</v>
      </c>
      <c r="U44" s="667">
        <f t="shared" si="10"/>
        <v>100</v>
      </c>
      <c r="V44" s="666" t="s">
        <v>14</v>
      </c>
      <c r="W44" s="667">
        <f t="shared" si="11"/>
        <v>100</v>
      </c>
      <c r="X44" s="1263"/>
      <c r="Y44" s="3443"/>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1"/>
      <c r="Q45" s="529">
        <f t="shared" si="8"/>
        <v>111</v>
      </c>
      <c r="R45" s="663" t="s">
        <v>14</v>
      </c>
      <c r="S45" s="664">
        <f t="shared" si="9"/>
        <v>100</v>
      </c>
      <c r="T45" s="663" t="s">
        <v>14</v>
      </c>
      <c r="U45" s="664">
        <f t="shared" si="10"/>
        <v>100</v>
      </c>
      <c r="V45" s="663" t="s">
        <v>14</v>
      </c>
      <c r="W45" s="664">
        <f t="shared" si="11"/>
        <v>100</v>
      </c>
      <c r="X45" s="665"/>
      <c r="Y45" s="3443"/>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1"/>
      <c r="Q46" s="1261">
        <f t="shared" si="8"/>
        <v>111</v>
      </c>
      <c r="R46" s="666" t="s">
        <v>14</v>
      </c>
      <c r="S46" s="667">
        <f t="shared" si="9"/>
        <v>100</v>
      </c>
      <c r="T46" s="666" t="s">
        <v>14</v>
      </c>
      <c r="U46" s="667">
        <f t="shared" si="10"/>
        <v>100</v>
      </c>
      <c r="V46" s="666" t="s">
        <v>14</v>
      </c>
      <c r="W46" s="667">
        <f t="shared" si="11"/>
        <v>100</v>
      </c>
      <c r="X46" s="1263"/>
      <c r="Y46" s="3443"/>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2"/>
      <c r="Q47" s="1261">
        <f t="shared" si="8"/>
        <v>111</v>
      </c>
      <c r="R47" s="666" t="s">
        <v>14</v>
      </c>
      <c r="S47" s="667">
        <f t="shared" si="9"/>
        <v>100</v>
      </c>
      <c r="T47" s="666" t="s">
        <v>14</v>
      </c>
      <c r="U47" s="667">
        <f t="shared" si="10"/>
        <v>100</v>
      </c>
      <c r="V47" s="666" t="s">
        <v>14</v>
      </c>
      <c r="W47" s="667">
        <f t="shared" si="11"/>
        <v>100</v>
      </c>
      <c r="X47" s="1263"/>
      <c r="Y47" s="3444"/>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9" t="str">
        <f>A48</f>
        <v>成交单价（元/平方米）</v>
      </c>
      <c r="Q48" s="3437"/>
      <c r="R48" s="3432">
        <f>E48</f>
        <v>0</v>
      </c>
      <c r="S48" s="3432"/>
      <c r="T48" s="3432">
        <f>G48</f>
        <v>0</v>
      </c>
      <c r="U48" s="3432"/>
      <c r="V48" s="3432">
        <f>I48</f>
        <v>0</v>
      </c>
      <c r="W48" s="3432"/>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9" t="str">
        <f>A49</f>
        <v>比较价值（元/平方米）</v>
      </c>
      <c r="Q49" s="3437"/>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2023-12</v>
      </c>
      <c r="D59" s="1102">
        <f>EDATE(C59,-1)</f>
        <v>45231</v>
      </c>
      <c r="E59" s="1102">
        <f>EDATE(D59,-1)</f>
        <v>45200</v>
      </c>
      <c r="F59" s="1102">
        <f t="shared" ref="F59:O59" si="13">EDATE(E59,-1)</f>
        <v>45170</v>
      </c>
      <c r="G59" s="1102">
        <f t="shared" si="13"/>
        <v>45139</v>
      </c>
      <c r="H59" s="1102">
        <f t="shared" si="13"/>
        <v>45108</v>
      </c>
      <c r="I59" s="1102">
        <f t="shared" si="13"/>
        <v>45078</v>
      </c>
      <c r="J59" s="1102">
        <f t="shared" si="13"/>
        <v>45047</v>
      </c>
      <c r="K59" s="1102">
        <f t="shared" si="13"/>
        <v>45017</v>
      </c>
      <c r="L59" s="1102">
        <f t="shared" si="13"/>
        <v>44986</v>
      </c>
      <c r="M59" s="1102">
        <f t="shared" si="13"/>
        <v>44958</v>
      </c>
      <c r="N59" s="1102">
        <f t="shared" si="13"/>
        <v>44927</v>
      </c>
      <c r="O59" s="1102">
        <f t="shared" si="13"/>
        <v>44896</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45.34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859"/>
      <c r="M4" s="860"/>
      <c r="N4" s="860"/>
      <c r="O4" s="860"/>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859"/>
      <c r="M5" s="860"/>
      <c r="N5" s="860"/>
      <c r="O5" s="860"/>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536" t="s">
        <v>1678</v>
      </c>
      <c r="L6" s="859"/>
      <c r="M6" s="860"/>
      <c r="N6" s="860"/>
      <c r="O6" s="860"/>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45288</v>
      </c>
      <c r="D7" s="354">
        <v>100</v>
      </c>
      <c r="E7" s="355"/>
      <c r="F7" s="356">
        <f>SUMIF(52:52,YEAR(E7)&amp;"-"&amp;MONTH(E7),53:53)</f>
        <v>0</v>
      </c>
      <c r="G7" s="355"/>
      <c r="H7" s="354">
        <f>SUMIF(52:52,YEAR(G7)&amp;"-"&amp;MONTH(G7),53:53)</f>
        <v>0</v>
      </c>
      <c r="I7" s="355"/>
      <c r="J7" s="354">
        <f>SUMIF(52:52,YEAR(I7)&amp;"-"&amp;MONTH(I7),53:53)</f>
        <v>0</v>
      </c>
      <c r="K7" s="38"/>
      <c r="L7" s="861"/>
      <c r="M7" s="862"/>
      <c r="N7" s="862"/>
      <c r="O7" s="862"/>
      <c r="P7" s="3404"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4" t="s">
        <v>1683</v>
      </c>
      <c r="Q8" s="3405"/>
      <c r="R8" s="663" t="s">
        <v>14</v>
      </c>
      <c r="S8" s="664">
        <f t="shared" si="0"/>
        <v>100</v>
      </c>
      <c r="T8" s="663" t="s">
        <v>14</v>
      </c>
      <c r="U8" s="664">
        <f t="shared" si="1"/>
        <v>100</v>
      </c>
      <c r="V8" s="663" t="s">
        <v>14</v>
      </c>
      <c r="W8" s="664">
        <f t="shared" si="2"/>
        <v>100</v>
      </c>
      <c r="X8" s="665"/>
      <c r="Y8" s="3404" t="s">
        <v>1683</v>
      </c>
      <c r="Z8" s="3405"/>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7"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4"/>
      <c r="M10" s="865"/>
      <c r="N10" s="865"/>
      <c r="O10" s="866"/>
      <c r="P10" s="3437"/>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7"/>
      <c r="Q11" s="529" t="str">
        <f t="shared" si="6"/>
        <v>容积率</v>
      </c>
      <c r="R11" s="663" t="s">
        <v>14</v>
      </c>
      <c r="S11" s="664">
        <f t="shared" si="0"/>
        <v>100</v>
      </c>
      <c r="T11" s="663" t="s">
        <v>14</v>
      </c>
      <c r="U11" s="664">
        <f t="shared" si="1"/>
        <v>100</v>
      </c>
      <c r="V11" s="663" t="s">
        <v>14</v>
      </c>
      <c r="W11" s="664">
        <f t="shared" si="2"/>
        <v>100</v>
      </c>
      <c r="X11" s="665"/>
      <c r="Y11" s="334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7"/>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7"/>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8" t="s">
        <v>1691</v>
      </c>
      <c r="Q15" s="1261" t="str">
        <f t="shared" si="6"/>
        <v>产业集聚程度</v>
      </c>
      <c r="R15" s="666" t="s">
        <v>14</v>
      </c>
      <c r="S15" s="667">
        <f t="shared" si="0"/>
        <v>100</v>
      </c>
      <c r="T15" s="666" t="s">
        <v>14</v>
      </c>
      <c r="U15" s="667">
        <f t="shared" si="1"/>
        <v>100</v>
      </c>
      <c r="V15" s="666" t="s">
        <v>14</v>
      </c>
      <c r="W15" s="667">
        <f t="shared" si="2"/>
        <v>100</v>
      </c>
      <c r="X15" s="1263"/>
      <c r="Y15" s="3438"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39"/>
      <c r="Q16" s="1261"/>
      <c r="R16" s="666"/>
      <c r="S16" s="667"/>
      <c r="T16" s="666"/>
      <c r="U16" s="667"/>
      <c r="V16" s="666"/>
      <c r="W16" s="667"/>
      <c r="X16" s="1263"/>
      <c r="Y16" s="3439"/>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9"/>
      <c r="Q17" s="1261" t="str">
        <f>B17</f>
        <v>交通便捷度</v>
      </c>
      <c r="R17" s="666" t="s">
        <v>14</v>
      </c>
      <c r="S17" s="667">
        <f>F17</f>
        <v>100</v>
      </c>
      <c r="T17" s="666" t="s">
        <v>14</v>
      </c>
      <c r="U17" s="667">
        <f>H17</f>
        <v>100</v>
      </c>
      <c r="V17" s="666" t="s">
        <v>14</v>
      </c>
      <c r="W17" s="667">
        <f>J17</f>
        <v>100</v>
      </c>
      <c r="X17" s="1263"/>
      <c r="Y17" s="3439"/>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39"/>
      <c r="Q18" s="1261"/>
      <c r="R18" s="666"/>
      <c r="S18" s="667"/>
      <c r="T18" s="666"/>
      <c r="U18" s="667"/>
      <c r="V18" s="666"/>
      <c r="W18" s="667"/>
      <c r="X18" s="1263"/>
      <c r="Y18" s="3439"/>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9"/>
      <c r="Q19" s="1261" t="str">
        <f>B19</f>
        <v>公共配套设施</v>
      </c>
      <c r="R19" s="666" t="s">
        <v>14</v>
      </c>
      <c r="S19" s="667">
        <f>F19</f>
        <v>100</v>
      </c>
      <c r="T19" s="666" t="s">
        <v>14</v>
      </c>
      <c r="U19" s="667">
        <f>H19</f>
        <v>100</v>
      </c>
      <c r="V19" s="666" t="s">
        <v>14</v>
      </c>
      <c r="W19" s="667">
        <f>J19</f>
        <v>100</v>
      </c>
      <c r="X19" s="1263"/>
      <c r="Y19" s="3439"/>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39"/>
      <c r="Q20" s="1261"/>
      <c r="R20" s="666"/>
      <c r="S20" s="667"/>
      <c r="T20" s="666"/>
      <c r="U20" s="667"/>
      <c r="V20" s="666"/>
      <c r="W20" s="667"/>
      <c r="X20" s="1263"/>
      <c r="Y20" s="3439"/>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9"/>
      <c r="Q21" s="1261" t="str">
        <f>B21</f>
        <v>基础设施水平</v>
      </c>
      <c r="R21" s="666" t="s">
        <v>14</v>
      </c>
      <c r="S21" s="667">
        <f>F21</f>
        <v>100</v>
      </c>
      <c r="T21" s="666" t="s">
        <v>14</v>
      </c>
      <c r="U21" s="667">
        <f>H21</f>
        <v>100</v>
      </c>
      <c r="V21" s="666" t="s">
        <v>14</v>
      </c>
      <c r="W21" s="667">
        <f>J21</f>
        <v>100</v>
      </c>
      <c r="X21" s="1263"/>
      <c r="Y21" s="3439"/>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39"/>
      <c r="Q22" s="1261"/>
      <c r="R22" s="666"/>
      <c r="S22" s="667"/>
      <c r="T22" s="666"/>
      <c r="U22" s="667"/>
      <c r="V22" s="666"/>
      <c r="W22" s="667"/>
      <c r="X22" s="1263"/>
      <c r="Y22" s="3439"/>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9"/>
      <c r="Q23" s="1261" t="str">
        <f>B23</f>
        <v>环境质量</v>
      </c>
      <c r="R23" s="666" t="s">
        <v>14</v>
      </c>
      <c r="S23" s="667">
        <f>F23</f>
        <v>100</v>
      </c>
      <c r="T23" s="666" t="s">
        <v>14</v>
      </c>
      <c r="U23" s="667">
        <f>H23</f>
        <v>100</v>
      </c>
      <c r="V23" s="666" t="s">
        <v>14</v>
      </c>
      <c r="W23" s="667">
        <f>J23</f>
        <v>100</v>
      </c>
      <c r="X23" s="1263"/>
      <c r="Y23" s="3439"/>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39"/>
      <c r="Q24" s="1261"/>
      <c r="R24" s="666"/>
      <c r="S24" s="667"/>
      <c r="T24" s="666"/>
      <c r="U24" s="667"/>
      <c r="V24" s="666"/>
      <c r="W24" s="667"/>
      <c r="X24" s="1263"/>
      <c r="Y24" s="3439"/>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9"/>
      <c r="Q25" s="1261">
        <f>B25</f>
        <v>111</v>
      </c>
      <c r="R25" s="666" t="s">
        <v>14</v>
      </c>
      <c r="S25" s="667">
        <f>F25</f>
        <v>100</v>
      </c>
      <c r="T25" s="666" t="s">
        <v>14</v>
      </c>
      <c r="U25" s="667">
        <f>H25</f>
        <v>100</v>
      </c>
      <c r="V25" s="666" t="s">
        <v>14</v>
      </c>
      <c r="W25" s="667">
        <f>J25</f>
        <v>100</v>
      </c>
      <c r="X25" s="1263"/>
      <c r="Y25" s="3439"/>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9"/>
      <c r="Q26" s="1261">
        <f t="shared" ref="Q26:Q40" si="8">B26</f>
        <v>111</v>
      </c>
      <c r="R26" s="666" t="s">
        <v>14</v>
      </c>
      <c r="S26" s="667">
        <f>F26</f>
        <v>100</v>
      </c>
      <c r="T26" s="666" t="s">
        <v>14</v>
      </c>
      <c r="U26" s="667">
        <f>H26</f>
        <v>100</v>
      </c>
      <c r="V26" s="666" t="s">
        <v>14</v>
      </c>
      <c r="W26" s="667">
        <f>J26</f>
        <v>100</v>
      </c>
      <c r="X26" s="1263"/>
      <c r="Y26" s="3439"/>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9"/>
      <c r="Q27" s="529">
        <f t="shared" si="8"/>
        <v>111</v>
      </c>
      <c r="R27" s="663" t="s">
        <v>14</v>
      </c>
      <c r="S27" s="664">
        <f>F27</f>
        <v>100</v>
      </c>
      <c r="T27" s="663" t="s">
        <v>14</v>
      </c>
      <c r="U27" s="664">
        <f>H27</f>
        <v>100</v>
      </c>
      <c r="V27" s="663" t="s">
        <v>14</v>
      </c>
      <c r="W27" s="664">
        <f>J27</f>
        <v>100</v>
      </c>
      <c r="X27" s="665"/>
      <c r="Y27" s="3439"/>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9"/>
      <c r="Q28" s="1261">
        <f t="shared" si="8"/>
        <v>111</v>
      </c>
      <c r="R28" s="666" t="s">
        <v>14</v>
      </c>
      <c r="S28" s="667">
        <f t="shared" ref="S28:S40" si="9">F28</f>
        <v>100</v>
      </c>
      <c r="T28" s="666" t="s">
        <v>14</v>
      </c>
      <c r="U28" s="667">
        <f t="shared" ref="U28:U40" si="10">H28</f>
        <v>100</v>
      </c>
      <c r="V28" s="666" t="s">
        <v>14</v>
      </c>
      <c r="W28" s="667">
        <f t="shared" ref="W28:W40" si="11">J28</f>
        <v>100</v>
      </c>
      <c r="X28" s="1263"/>
      <c r="Y28" s="3439"/>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3" t="s">
        <v>1696</v>
      </c>
      <c r="Q29" s="1261" t="str">
        <f t="shared" si="8"/>
        <v>建筑类型</v>
      </c>
      <c r="R29" s="666" t="s">
        <v>14</v>
      </c>
      <c r="S29" s="667">
        <f t="shared" si="9"/>
        <v>100</v>
      </c>
      <c r="T29" s="666" t="s">
        <v>14</v>
      </c>
      <c r="U29" s="667">
        <f t="shared" si="10"/>
        <v>100</v>
      </c>
      <c r="V29" s="666" t="s">
        <v>14</v>
      </c>
      <c r="W29" s="667">
        <f t="shared" si="11"/>
        <v>100</v>
      </c>
      <c r="X29" s="1263"/>
      <c r="Y29" s="3443"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3"/>
      <c r="Q30" s="530" t="str">
        <f t="shared" si="8"/>
        <v>项目建筑规模</v>
      </c>
      <c r="R30" s="668" t="s">
        <v>14</v>
      </c>
      <c r="S30" s="669" t="e">
        <f t="shared" si="9"/>
        <v>#N/A</v>
      </c>
      <c r="T30" s="668" t="s">
        <v>14</v>
      </c>
      <c r="U30" s="669" t="e">
        <f t="shared" si="10"/>
        <v>#N/A</v>
      </c>
      <c r="V30" s="668" t="s">
        <v>14</v>
      </c>
      <c r="W30" s="669" t="e">
        <f t="shared" si="11"/>
        <v>#N/A</v>
      </c>
      <c r="X30" s="670"/>
      <c r="Y30" s="3443"/>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3"/>
      <c r="Q31" s="1261" t="str">
        <f t="shared" si="8"/>
        <v>建筑结构</v>
      </c>
      <c r="R31" s="666" t="s">
        <v>14</v>
      </c>
      <c r="S31" s="667">
        <f t="shared" si="9"/>
        <v>100</v>
      </c>
      <c r="T31" s="666" t="s">
        <v>14</v>
      </c>
      <c r="U31" s="667">
        <f t="shared" si="10"/>
        <v>100</v>
      </c>
      <c r="V31" s="666" t="s">
        <v>14</v>
      </c>
      <c r="W31" s="667">
        <f t="shared" si="11"/>
        <v>100</v>
      </c>
      <c r="X31" s="1263"/>
      <c r="Y31" s="3443"/>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3"/>
      <c r="Q32" s="1261" t="str">
        <f t="shared" si="8"/>
        <v>公共部分装修</v>
      </c>
      <c r="R32" s="666" t="s">
        <v>14</v>
      </c>
      <c r="S32" s="667">
        <f t="shared" si="9"/>
        <v>100</v>
      </c>
      <c r="T32" s="666" t="s">
        <v>14</v>
      </c>
      <c r="U32" s="667">
        <f t="shared" si="10"/>
        <v>100</v>
      </c>
      <c r="V32" s="666" t="s">
        <v>14</v>
      </c>
      <c r="W32" s="667">
        <f t="shared" si="11"/>
        <v>100</v>
      </c>
      <c r="X32" s="1263"/>
      <c r="Y32" s="3443"/>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3"/>
      <c r="Q33" s="1261" t="str">
        <f t="shared" si="8"/>
        <v>成新度</v>
      </c>
      <c r="R33" s="666" t="s">
        <v>14</v>
      </c>
      <c r="S33" s="667" t="e">
        <f t="shared" si="9"/>
        <v>#N/A</v>
      </c>
      <c r="T33" s="666" t="s">
        <v>14</v>
      </c>
      <c r="U33" s="667" t="e">
        <f t="shared" si="10"/>
        <v>#N/A</v>
      </c>
      <c r="V33" s="666" t="s">
        <v>14</v>
      </c>
      <c r="W33" s="667" t="e">
        <f t="shared" si="11"/>
        <v>#N/A</v>
      </c>
      <c r="X33" s="1263"/>
      <c r="Y33" s="3443"/>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3"/>
      <c r="Q34" s="529" t="str">
        <f t="shared" si="8"/>
        <v>物业管理</v>
      </c>
      <c r="R34" s="663" t="s">
        <v>14</v>
      </c>
      <c r="S34" s="664">
        <f t="shared" si="9"/>
        <v>100</v>
      </c>
      <c r="T34" s="663" t="s">
        <v>14</v>
      </c>
      <c r="U34" s="664">
        <f t="shared" si="10"/>
        <v>100</v>
      </c>
      <c r="V34" s="663" t="s">
        <v>14</v>
      </c>
      <c r="W34" s="664">
        <f t="shared" si="11"/>
        <v>100</v>
      </c>
      <c r="X34" s="665"/>
      <c r="Y34" s="3443"/>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3" t="s">
        <v>1696</v>
      </c>
      <c r="Q35" s="1261" t="str">
        <f t="shared" si="8"/>
        <v>市政基础设施</v>
      </c>
      <c r="R35" s="666" t="s">
        <v>14</v>
      </c>
      <c r="S35" s="667">
        <f t="shared" si="9"/>
        <v>100</v>
      </c>
      <c r="T35" s="666" t="s">
        <v>14</v>
      </c>
      <c r="U35" s="667">
        <f t="shared" si="10"/>
        <v>100</v>
      </c>
      <c r="V35" s="666" t="s">
        <v>14</v>
      </c>
      <c r="W35" s="667">
        <f t="shared" si="11"/>
        <v>100</v>
      </c>
      <c r="X35" s="1263"/>
      <c r="Y35" s="3443"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3"/>
      <c r="Q36" s="1261" t="str">
        <f t="shared" si="8"/>
        <v>内部装修</v>
      </c>
      <c r="R36" s="666" t="s">
        <v>14</v>
      </c>
      <c r="S36" s="667">
        <f t="shared" si="9"/>
        <v>100</v>
      </c>
      <c r="T36" s="666" t="s">
        <v>14</v>
      </c>
      <c r="U36" s="667">
        <f t="shared" si="10"/>
        <v>100</v>
      </c>
      <c r="V36" s="666" t="s">
        <v>14</v>
      </c>
      <c r="W36" s="667">
        <f t="shared" si="11"/>
        <v>100</v>
      </c>
      <c r="X36" s="1263"/>
      <c r="Y36" s="3443"/>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3"/>
      <c r="Q37" s="1261" t="str">
        <f t="shared" si="8"/>
        <v>内部装修状况</v>
      </c>
      <c r="R37" s="666" t="s">
        <v>14</v>
      </c>
      <c r="S37" s="667">
        <f t="shared" si="9"/>
        <v>100</v>
      </c>
      <c r="T37" s="666" t="s">
        <v>14</v>
      </c>
      <c r="U37" s="667">
        <f t="shared" si="10"/>
        <v>100</v>
      </c>
      <c r="V37" s="666" t="s">
        <v>14</v>
      </c>
      <c r="W37" s="667">
        <f t="shared" si="11"/>
        <v>100</v>
      </c>
      <c r="X37" s="1263"/>
      <c r="Y37" s="3443"/>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3"/>
      <c r="Q38" s="530">
        <f t="shared" si="8"/>
        <v>111</v>
      </c>
      <c r="R38" s="668" t="s">
        <v>14</v>
      </c>
      <c r="S38" s="669">
        <f t="shared" si="9"/>
        <v>100</v>
      </c>
      <c r="T38" s="668" t="s">
        <v>14</v>
      </c>
      <c r="U38" s="669">
        <f t="shared" si="10"/>
        <v>100</v>
      </c>
      <c r="V38" s="668" t="s">
        <v>14</v>
      </c>
      <c r="W38" s="669">
        <f t="shared" si="11"/>
        <v>100</v>
      </c>
      <c r="X38" s="670"/>
      <c r="Y38" s="3443"/>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3"/>
      <c r="Q39" s="1261">
        <f t="shared" si="8"/>
        <v>111</v>
      </c>
      <c r="R39" s="666" t="s">
        <v>14</v>
      </c>
      <c r="S39" s="667">
        <f t="shared" si="9"/>
        <v>100</v>
      </c>
      <c r="T39" s="666" t="s">
        <v>14</v>
      </c>
      <c r="U39" s="667">
        <f t="shared" si="10"/>
        <v>100</v>
      </c>
      <c r="V39" s="666" t="s">
        <v>14</v>
      </c>
      <c r="W39" s="667">
        <f t="shared" si="11"/>
        <v>100</v>
      </c>
      <c r="X39" s="1263"/>
      <c r="Y39" s="3443"/>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4"/>
      <c r="Q40" s="1261">
        <f t="shared" si="8"/>
        <v>111</v>
      </c>
      <c r="R40" s="666" t="s">
        <v>14</v>
      </c>
      <c r="S40" s="667">
        <f t="shared" si="9"/>
        <v>100</v>
      </c>
      <c r="T40" s="666" t="s">
        <v>14</v>
      </c>
      <c r="U40" s="667">
        <f t="shared" si="10"/>
        <v>100</v>
      </c>
      <c r="V40" s="666" t="s">
        <v>14</v>
      </c>
      <c r="W40" s="667">
        <f t="shared" si="11"/>
        <v>100</v>
      </c>
      <c r="X40" s="1263"/>
      <c r="Y40" s="3444"/>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7" t="str">
        <f>A41</f>
        <v>成交单价（元/平方米）</v>
      </c>
      <c r="Q41" s="3437"/>
      <c r="R41" s="3432">
        <f>E41</f>
        <v>0</v>
      </c>
      <c r="S41" s="3432"/>
      <c r="T41" s="3432">
        <f>G41</f>
        <v>0</v>
      </c>
      <c r="U41" s="3432"/>
      <c r="V41" s="3432">
        <f>I41</f>
        <v>0</v>
      </c>
      <c r="W41" s="3432"/>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7" t="str">
        <f>A42</f>
        <v>比较价值（元/平方米）</v>
      </c>
      <c r="Q42" s="3437"/>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2023-12</v>
      </c>
      <c r="D52" s="1102">
        <f>EDATE(C52,-1)</f>
        <v>45231</v>
      </c>
      <c r="E52" s="1102">
        <f t="shared" ref="E52:O52" si="13">EDATE(D52,-1)</f>
        <v>45200</v>
      </c>
      <c r="F52" s="1102">
        <f t="shared" si="13"/>
        <v>45170</v>
      </c>
      <c r="G52" s="1102">
        <f t="shared" si="13"/>
        <v>45139</v>
      </c>
      <c r="H52" s="1102">
        <f t="shared" si="13"/>
        <v>45108</v>
      </c>
      <c r="I52" s="1102">
        <f t="shared" si="13"/>
        <v>45078</v>
      </c>
      <c r="J52" s="1102">
        <f t="shared" si="13"/>
        <v>45047</v>
      </c>
      <c r="K52" s="1102">
        <f t="shared" si="13"/>
        <v>45017</v>
      </c>
      <c r="L52" s="1102">
        <f t="shared" si="13"/>
        <v>44986</v>
      </c>
      <c r="M52" s="1102">
        <f t="shared" si="13"/>
        <v>44958</v>
      </c>
      <c r="N52" s="1102">
        <f t="shared" si="13"/>
        <v>44927</v>
      </c>
      <c r="O52" s="1102">
        <f t="shared" si="13"/>
        <v>44896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6"/>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45288</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4" t="s">
        <v>1680</v>
      </c>
      <c r="Q7" s="3433"/>
      <c r="R7" s="663" t="s">
        <v>14</v>
      </c>
      <c r="S7" s="664">
        <f t="shared" ref="S7:S14" si="0">F7</f>
        <v>0</v>
      </c>
      <c r="T7" s="663" t="s">
        <v>14</v>
      </c>
      <c r="U7" s="664">
        <f t="shared" ref="U7:U14" si="1">H7</f>
        <v>0</v>
      </c>
      <c r="V7" s="663" t="s">
        <v>14</v>
      </c>
      <c r="W7" s="664">
        <f t="shared" ref="W7:W14" si="2">J7</f>
        <v>0</v>
      </c>
      <c r="X7" s="665"/>
      <c r="Y7" s="3404" t="s">
        <v>1680</v>
      </c>
      <c r="Z7" s="3405"/>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4" t="s">
        <v>1683</v>
      </c>
      <c r="Q8" s="3405"/>
      <c r="R8" s="663" t="s">
        <v>14</v>
      </c>
      <c r="S8" s="664">
        <f t="shared" si="0"/>
        <v>100</v>
      </c>
      <c r="T8" s="663" t="s">
        <v>14</v>
      </c>
      <c r="U8" s="664">
        <f t="shared" si="1"/>
        <v>100</v>
      </c>
      <c r="V8" s="663" t="s">
        <v>14</v>
      </c>
      <c r="W8" s="664">
        <f t="shared" si="2"/>
        <v>100</v>
      </c>
      <c r="X8" s="665"/>
      <c r="Y8" s="3404" t="s">
        <v>1683</v>
      </c>
      <c r="Z8" s="3405"/>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7" t="s">
        <v>1686</v>
      </c>
      <c r="Q9" s="529" t="str">
        <f t="shared" ref="Q9:Q14" si="6">B9</f>
        <v>用途</v>
      </c>
      <c r="R9" s="663" t="s">
        <v>14</v>
      </c>
      <c r="S9" s="664">
        <f t="shared" si="0"/>
        <v>100</v>
      </c>
      <c r="T9" s="663" t="s">
        <v>14</v>
      </c>
      <c r="U9" s="664">
        <f t="shared" si="1"/>
        <v>100</v>
      </c>
      <c r="V9" s="663" t="s">
        <v>14</v>
      </c>
      <c r="W9" s="664">
        <f t="shared" si="2"/>
        <v>100</v>
      </c>
      <c r="X9" s="665"/>
      <c r="Y9" s="3348" t="s">
        <v>1687</v>
      </c>
      <c r="Z9" s="50" t="str">
        <f t="shared" ref="Z9:Z14" si="7">Q9</f>
        <v>用途</v>
      </c>
      <c r="AA9" s="50">
        <f t="shared" si="3"/>
        <v>1</v>
      </c>
      <c r="AB9" s="50">
        <f t="shared" si="4"/>
        <v>1</v>
      </c>
      <c r="AC9" s="50">
        <f t="shared" si="5"/>
        <v>1</v>
      </c>
    </row>
    <row r="10" spans="1:29" s="365" customFormat="1" ht="27">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4"/>
      <c r="M10" s="2485"/>
      <c r="N10" s="2485"/>
      <c r="O10" s="2485"/>
      <c r="P10" s="3437"/>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7"/>
      <c r="Q11" s="529">
        <f t="shared" si="6"/>
        <v>111</v>
      </c>
      <c r="R11" s="663" t="s">
        <v>14</v>
      </c>
      <c r="S11" s="664">
        <f t="shared" si="0"/>
        <v>100</v>
      </c>
      <c r="T11" s="663" t="s">
        <v>14</v>
      </c>
      <c r="U11" s="664">
        <f t="shared" si="1"/>
        <v>100</v>
      </c>
      <c r="V11" s="663" t="s">
        <v>14</v>
      </c>
      <c r="W11" s="664">
        <f t="shared" si="2"/>
        <v>100</v>
      </c>
      <c r="X11" s="665"/>
      <c r="Y11" s="3348"/>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7"/>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14">
      <c r="A14" s="344" t="s">
        <v>1690</v>
      </c>
      <c r="B14" s="553" t="s">
        <v>1830</v>
      </c>
      <c r="C14" s="1814" t="str">
        <f>IF(B1="工业",估价对象房地状况!G4,估价对象房地状况!C6)</f>
        <v>周边有300路、302路、328路、361路等多条公交线路及地铁8号线与10号线换乘站北土城站，综合评价交通便捷度较好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8" t="s">
        <v>1691</v>
      </c>
      <c r="Q14" s="1261" t="str">
        <f t="shared" si="6"/>
        <v>交通便捷度</v>
      </c>
      <c r="R14" s="666" t="s">
        <v>14</v>
      </c>
      <c r="S14" s="667">
        <f t="shared" si="0"/>
        <v>100</v>
      </c>
      <c r="T14" s="666" t="s">
        <v>14</v>
      </c>
      <c r="U14" s="667">
        <f t="shared" si="1"/>
        <v>100</v>
      </c>
      <c r="V14" s="666" t="s">
        <v>14</v>
      </c>
      <c r="W14" s="667">
        <f t="shared" si="2"/>
        <v>100</v>
      </c>
      <c r="X14" s="1263"/>
      <c r="Y14" s="3438"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39"/>
      <c r="Q15" s="1261"/>
      <c r="R15" s="666"/>
      <c r="S15" s="667"/>
      <c r="T15" s="666"/>
      <c r="U15" s="667"/>
      <c r="V15" s="666"/>
      <c r="W15" s="667"/>
      <c r="X15" s="1263"/>
      <c r="Y15" s="3439"/>
      <c r="Z15" s="1262"/>
      <c r="AA15" s="1262">
        <v>1</v>
      </c>
      <c r="AB15" s="1262">
        <v>1</v>
      </c>
      <c r="AC15" s="1262">
        <v>1</v>
      </c>
    </row>
    <row r="16" spans="1:29" ht="327.75">
      <c r="A16" s="347"/>
      <c r="B16" s="555" t="s">
        <v>1809</v>
      </c>
      <c r="C16" s="1751"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39"/>
      <c r="Q16" s="1261" t="str">
        <f>B16</f>
        <v>公共配套设施</v>
      </c>
      <c r="R16" s="666" t="s">
        <v>14</v>
      </c>
      <c r="S16" s="667">
        <f>F16</f>
        <v>100</v>
      </c>
      <c r="T16" s="666" t="s">
        <v>14</v>
      </c>
      <c r="U16" s="667">
        <f>H16</f>
        <v>100</v>
      </c>
      <c r="V16" s="666" t="s">
        <v>14</v>
      </c>
      <c r="W16" s="667">
        <f>J16</f>
        <v>100</v>
      </c>
      <c r="X16" s="1263"/>
      <c r="Y16" s="3439"/>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39"/>
      <c r="Q17" s="1261"/>
      <c r="R17" s="666"/>
      <c r="S17" s="667"/>
      <c r="T17" s="666"/>
      <c r="U17" s="667"/>
      <c r="V17" s="666"/>
      <c r="W17" s="667"/>
      <c r="X17" s="1263"/>
      <c r="Y17" s="3439"/>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39"/>
      <c r="Q18" s="1261" t="str">
        <f>B18</f>
        <v>基础设施水平</v>
      </c>
      <c r="R18" s="666" t="s">
        <v>14</v>
      </c>
      <c r="S18" s="667">
        <f>F18</f>
        <v>100</v>
      </c>
      <c r="T18" s="666" t="s">
        <v>14</v>
      </c>
      <c r="U18" s="667">
        <f>H18</f>
        <v>100</v>
      </c>
      <c r="V18" s="666" t="s">
        <v>14</v>
      </c>
      <c r="W18" s="667">
        <f>J18</f>
        <v>100</v>
      </c>
      <c r="X18" s="1263"/>
      <c r="Y18" s="3439"/>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39"/>
      <c r="Q19" s="1261"/>
      <c r="R19" s="666"/>
      <c r="S19" s="667"/>
      <c r="T19" s="666"/>
      <c r="U19" s="667"/>
      <c r="V19" s="666"/>
      <c r="W19" s="667"/>
      <c r="X19" s="1263"/>
      <c r="Y19" s="3439"/>
      <c r="Z19" s="1262"/>
      <c r="AA19" s="1262">
        <v>1</v>
      </c>
      <c r="AB19" s="1262">
        <v>1</v>
      </c>
      <c r="AC19" s="1262">
        <v>1</v>
      </c>
    </row>
    <row r="20" spans="1:29" ht="142.5">
      <c r="A20" s="347"/>
      <c r="B20" s="555" t="s">
        <v>1831</v>
      </c>
      <c r="C20" s="1751" t="str">
        <f>IF(B1="工业",估价对象房地状况!G7,估价对象房地状况!C9)</f>
        <v>自然环境：柳荫公园、土城沟水系等自然水系景观；
人文环境：西黄寺、元大都城垣遗址公园等人文场所；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39"/>
      <c r="Q20" s="1261" t="str">
        <f>B20</f>
        <v>自然及人文环境</v>
      </c>
      <c r="R20" s="666" t="s">
        <v>14</v>
      </c>
      <c r="S20" s="667">
        <f>F20</f>
        <v>100</v>
      </c>
      <c r="T20" s="666" t="s">
        <v>14</v>
      </c>
      <c r="U20" s="667">
        <f>H20</f>
        <v>100</v>
      </c>
      <c r="V20" s="666" t="s">
        <v>14</v>
      </c>
      <c r="W20" s="667">
        <f>J20</f>
        <v>100</v>
      </c>
      <c r="X20" s="1263"/>
      <c r="Y20" s="3439"/>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39"/>
      <c r="Q21" s="1261"/>
      <c r="R21" s="666"/>
      <c r="S21" s="667"/>
      <c r="T21" s="666"/>
      <c r="U21" s="667"/>
      <c r="V21" s="666"/>
      <c r="W21" s="667"/>
      <c r="X21" s="1263"/>
      <c r="Y21" s="3439"/>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39"/>
      <c r="Q22" s="1261" t="str">
        <f>B22</f>
        <v>楼层</v>
      </c>
      <c r="R22" s="666" t="s">
        <v>14</v>
      </c>
      <c r="S22" s="667">
        <f>F22</f>
        <v>100</v>
      </c>
      <c r="T22" s="666" t="s">
        <v>14</v>
      </c>
      <c r="U22" s="667">
        <f>H22</f>
        <v>100</v>
      </c>
      <c r="V22" s="666" t="s">
        <v>14</v>
      </c>
      <c r="W22" s="667">
        <f>J22</f>
        <v>100</v>
      </c>
      <c r="X22" s="1263"/>
      <c r="Y22" s="3439"/>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39"/>
      <c r="Q23" s="1261">
        <f>B23</f>
        <v>111</v>
      </c>
      <c r="R23" s="666" t="s">
        <v>14</v>
      </c>
      <c r="S23" s="667">
        <f>F23</f>
        <v>100</v>
      </c>
      <c r="T23" s="666" t="s">
        <v>14</v>
      </c>
      <c r="U23" s="667">
        <f>H23</f>
        <v>100</v>
      </c>
      <c r="V23" s="666" t="s">
        <v>14</v>
      </c>
      <c r="W23" s="667">
        <f>J23</f>
        <v>100</v>
      </c>
      <c r="X23" s="1263"/>
      <c r="Y23" s="3439"/>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39"/>
      <c r="Q24" s="1261">
        <f t="shared" ref="Q24:Q36" si="8">B24</f>
        <v>111</v>
      </c>
      <c r="R24" s="666" t="s">
        <v>14</v>
      </c>
      <c r="S24" s="667">
        <f>F24</f>
        <v>100</v>
      </c>
      <c r="T24" s="666" t="s">
        <v>14</v>
      </c>
      <c r="U24" s="667">
        <f>H24</f>
        <v>100</v>
      </c>
      <c r="V24" s="666" t="s">
        <v>14</v>
      </c>
      <c r="W24" s="667">
        <f>J24</f>
        <v>100</v>
      </c>
      <c r="X24" s="1263"/>
      <c r="Y24" s="3439"/>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39"/>
      <c r="Q25" s="529">
        <f t="shared" si="8"/>
        <v>111</v>
      </c>
      <c r="R25" s="663" t="s">
        <v>14</v>
      </c>
      <c r="S25" s="664">
        <f>F25</f>
        <v>100</v>
      </c>
      <c r="T25" s="663" t="s">
        <v>14</v>
      </c>
      <c r="U25" s="664">
        <f>H25</f>
        <v>100</v>
      </c>
      <c r="V25" s="663" t="s">
        <v>14</v>
      </c>
      <c r="W25" s="664">
        <f>J25</f>
        <v>100</v>
      </c>
      <c r="X25" s="665"/>
      <c r="Y25" s="3439"/>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3"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3"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3"/>
      <c r="Q27" s="530" t="str">
        <f t="shared" si="8"/>
        <v>项目停车位配比</v>
      </c>
      <c r="R27" s="668" t="s">
        <v>14</v>
      </c>
      <c r="S27" s="669">
        <f t="shared" si="9"/>
        <v>100</v>
      </c>
      <c r="T27" s="668" t="s">
        <v>14</v>
      </c>
      <c r="U27" s="669">
        <f t="shared" si="10"/>
        <v>100</v>
      </c>
      <c r="V27" s="668" t="s">
        <v>14</v>
      </c>
      <c r="W27" s="669">
        <f t="shared" si="11"/>
        <v>100</v>
      </c>
      <c r="X27" s="670"/>
      <c r="Y27" s="3443"/>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3"/>
      <c r="Q28" s="1261" t="str">
        <f t="shared" si="8"/>
        <v>公共部分装修</v>
      </c>
      <c r="R28" s="666" t="s">
        <v>14</v>
      </c>
      <c r="S28" s="667">
        <f t="shared" si="9"/>
        <v>100</v>
      </c>
      <c r="T28" s="666" t="s">
        <v>14</v>
      </c>
      <c r="U28" s="667">
        <f t="shared" si="10"/>
        <v>100</v>
      </c>
      <c r="V28" s="666" t="s">
        <v>14</v>
      </c>
      <c r="W28" s="667">
        <f t="shared" si="11"/>
        <v>100</v>
      </c>
      <c r="X28" s="1263"/>
      <c r="Y28" s="3443"/>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3"/>
      <c r="Q29" s="1261" t="str">
        <f t="shared" si="8"/>
        <v>成新率</v>
      </c>
      <c r="R29" s="666" t="s">
        <v>14</v>
      </c>
      <c r="S29" s="667" t="e">
        <f t="shared" si="9"/>
        <v>#N/A</v>
      </c>
      <c r="T29" s="666" t="s">
        <v>14</v>
      </c>
      <c r="U29" s="667" t="e">
        <f t="shared" si="10"/>
        <v>#N/A</v>
      </c>
      <c r="V29" s="666" t="s">
        <v>14</v>
      </c>
      <c r="W29" s="667" t="e">
        <f t="shared" si="11"/>
        <v>#N/A</v>
      </c>
      <c r="X29" s="1263"/>
      <c r="Y29" s="3443"/>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3"/>
      <c r="Q30" s="1261" t="str">
        <f t="shared" si="8"/>
        <v>物业等级</v>
      </c>
      <c r="R30" s="666" t="s">
        <v>14</v>
      </c>
      <c r="S30" s="667">
        <f t="shared" si="9"/>
        <v>100</v>
      </c>
      <c r="T30" s="666" t="s">
        <v>14</v>
      </c>
      <c r="U30" s="667">
        <f t="shared" si="10"/>
        <v>100</v>
      </c>
      <c r="V30" s="666" t="s">
        <v>14</v>
      </c>
      <c r="W30" s="667">
        <f t="shared" si="11"/>
        <v>100</v>
      </c>
      <c r="X30" s="1263"/>
      <c r="Y30" s="3443"/>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3"/>
      <c r="Q31" s="529" t="str">
        <f t="shared" si="8"/>
        <v>停车位面积</v>
      </c>
      <c r="R31" s="663" t="s">
        <v>14</v>
      </c>
      <c r="S31" s="664" t="e">
        <f t="shared" si="9"/>
        <v>#N/A</v>
      </c>
      <c r="T31" s="663" t="s">
        <v>14</v>
      </c>
      <c r="U31" s="664" t="e">
        <f t="shared" si="10"/>
        <v>#N/A</v>
      </c>
      <c r="V31" s="663" t="s">
        <v>14</v>
      </c>
      <c r="W31" s="664" t="e">
        <f t="shared" si="11"/>
        <v>#N/A</v>
      </c>
      <c r="X31" s="665"/>
      <c r="Y31" s="3443"/>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3" t="s">
        <v>1696</v>
      </c>
      <c r="Q32" s="1261" t="str">
        <f t="shared" si="8"/>
        <v>车位类型</v>
      </c>
      <c r="R32" s="666" t="s">
        <v>14</v>
      </c>
      <c r="S32" s="667">
        <f t="shared" si="9"/>
        <v>100</v>
      </c>
      <c r="T32" s="666" t="s">
        <v>14</v>
      </c>
      <c r="U32" s="667">
        <f t="shared" si="10"/>
        <v>100</v>
      </c>
      <c r="V32" s="666" t="s">
        <v>14</v>
      </c>
      <c r="W32" s="667">
        <f t="shared" si="11"/>
        <v>100</v>
      </c>
      <c r="X32" s="1263"/>
      <c r="Y32" s="3443"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3"/>
      <c r="Q33" s="1261" t="str">
        <f t="shared" si="8"/>
        <v>是否直接入户</v>
      </c>
      <c r="R33" s="666" t="s">
        <v>14</v>
      </c>
      <c r="S33" s="667">
        <f t="shared" si="9"/>
        <v>100</v>
      </c>
      <c r="T33" s="666" t="s">
        <v>14</v>
      </c>
      <c r="U33" s="667">
        <f t="shared" si="10"/>
        <v>100</v>
      </c>
      <c r="V33" s="666" t="s">
        <v>14</v>
      </c>
      <c r="W33" s="667">
        <f t="shared" si="11"/>
        <v>100</v>
      </c>
      <c r="X33" s="1263"/>
      <c r="Y33" s="3443"/>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3"/>
      <c r="Q34" s="1261">
        <f t="shared" si="8"/>
        <v>111</v>
      </c>
      <c r="R34" s="666" t="s">
        <v>14</v>
      </c>
      <c r="S34" s="667">
        <f t="shared" si="9"/>
        <v>100</v>
      </c>
      <c r="T34" s="666" t="s">
        <v>14</v>
      </c>
      <c r="U34" s="667">
        <f t="shared" si="10"/>
        <v>100</v>
      </c>
      <c r="V34" s="666" t="s">
        <v>14</v>
      </c>
      <c r="W34" s="667">
        <f t="shared" si="11"/>
        <v>100</v>
      </c>
      <c r="X34" s="1263"/>
      <c r="Y34" s="3443"/>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3"/>
      <c r="Q35" s="530">
        <f t="shared" si="8"/>
        <v>111</v>
      </c>
      <c r="R35" s="668" t="s">
        <v>14</v>
      </c>
      <c r="S35" s="669">
        <f t="shared" si="9"/>
        <v>100</v>
      </c>
      <c r="T35" s="668" t="s">
        <v>14</v>
      </c>
      <c r="U35" s="669">
        <f t="shared" si="10"/>
        <v>100</v>
      </c>
      <c r="V35" s="668" t="s">
        <v>14</v>
      </c>
      <c r="W35" s="669">
        <f t="shared" si="11"/>
        <v>100</v>
      </c>
      <c r="X35" s="670"/>
      <c r="Y35" s="3443"/>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3"/>
      <c r="Q36" s="1261">
        <f t="shared" si="8"/>
        <v>111</v>
      </c>
      <c r="R36" s="666" t="s">
        <v>14</v>
      </c>
      <c r="S36" s="667">
        <f t="shared" si="9"/>
        <v>100</v>
      </c>
      <c r="T36" s="666" t="s">
        <v>14</v>
      </c>
      <c r="U36" s="667">
        <f t="shared" si="10"/>
        <v>100</v>
      </c>
      <c r="V36" s="666" t="s">
        <v>14</v>
      </c>
      <c r="W36" s="667">
        <f t="shared" si="11"/>
        <v>100</v>
      </c>
      <c r="X36" s="1263"/>
      <c r="Y36" s="3443"/>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7" t="str">
        <f>A37</f>
        <v>成交单价</v>
      </c>
      <c r="Q37" s="3437"/>
      <c r="R37" s="3432">
        <f>E37</f>
        <v>0</v>
      </c>
      <c r="S37" s="3432"/>
      <c r="T37" s="3432">
        <f>G37</f>
        <v>0</v>
      </c>
      <c r="U37" s="3432"/>
      <c r="V37" s="3432">
        <f>I37</f>
        <v>0</v>
      </c>
      <c r="W37" s="3432"/>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7" t="str">
        <f>A38</f>
        <v>比较价值（元/平方米）</v>
      </c>
      <c r="Q38" s="3437"/>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4" t="str">
        <f>A39</f>
        <v>估价对象XX用房的比较价值（楼面单价，元/平方米）</v>
      </c>
      <c r="Q39" s="3435"/>
      <c r="R39" s="3464" t="e">
        <f>IF(F1="售价",ROUND(IF(D38="简单平均",AVERAGE(R38:W38),R38*F38+T38*H38+V38*J38),0),ROUND(IF(D38="简单平均",AVERAGE(R38:V38),R38*F38+T38*H38+V38*J38),1))</f>
        <v>#DIV/0!</v>
      </c>
      <c r="S39" s="3464"/>
      <c r="T39" s="3464"/>
      <c r="U39" s="3464"/>
      <c r="V39" s="3464"/>
      <c r="W39" s="3464"/>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2023-12</v>
      </c>
      <c r="D48" s="1102">
        <f>EDATE(C48,-1)</f>
        <v>45231</v>
      </c>
      <c r="E48" s="1102">
        <f t="shared" ref="E48:O48" si="13">EDATE(D48,-1)</f>
        <v>45200</v>
      </c>
      <c r="F48" s="1102">
        <f t="shared" si="13"/>
        <v>45170</v>
      </c>
      <c r="G48" s="1102">
        <f t="shared" si="13"/>
        <v>45139</v>
      </c>
      <c r="H48" s="1102">
        <f t="shared" si="13"/>
        <v>45108</v>
      </c>
      <c r="I48" s="1102">
        <f t="shared" si="13"/>
        <v>45078</v>
      </c>
      <c r="J48" s="1102">
        <f t="shared" si="13"/>
        <v>45047</v>
      </c>
      <c r="K48" s="1102">
        <f t="shared" si="13"/>
        <v>45017</v>
      </c>
      <c r="L48" s="1102">
        <f t="shared" si="13"/>
        <v>44986</v>
      </c>
      <c r="M48" s="1102">
        <f t="shared" si="13"/>
        <v>44958</v>
      </c>
      <c r="N48" s="1102">
        <f t="shared" si="13"/>
        <v>44927</v>
      </c>
      <c r="O48" s="1102">
        <f t="shared" si="13"/>
        <v>44896</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估价对象为北京市房地产，为所有。根据《国有土地使用证》[]，估价对象（分摊）出让国有建设用地使用权面积为0平方米，建筑面积为45.34平方米。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估价对象为北京市房地产,属开发建设的，该项目尚在开发建设中。根据《国有土地使用证》[]，估价对象（分摊）出让国有建设用地使用权面积为0平方米，规划建筑面积为45.34平方米。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2023年12月28日（评估专业人员实地查勘之日）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45288</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4" t="s">
        <v>1680</v>
      </c>
      <c r="Q7" s="3433"/>
      <c r="R7" s="663" t="s">
        <v>14</v>
      </c>
      <c r="S7" s="664">
        <f t="shared" ref="S7:S14" si="0">F7</f>
        <v>0</v>
      </c>
      <c r="T7" s="663" t="s">
        <v>14</v>
      </c>
      <c r="U7" s="664">
        <f t="shared" ref="U7:U14" si="1">H7</f>
        <v>0</v>
      </c>
      <c r="V7" s="663" t="s">
        <v>14</v>
      </c>
      <c r="W7" s="664">
        <f t="shared" ref="W7:W14" si="2">J7</f>
        <v>0</v>
      </c>
      <c r="X7" s="665"/>
      <c r="Y7" s="3404" t="s">
        <v>1680</v>
      </c>
      <c r="Z7" s="3405"/>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4" t="s">
        <v>1683</v>
      </c>
      <c r="Q8" s="3405"/>
      <c r="R8" s="663" t="s">
        <v>14</v>
      </c>
      <c r="S8" s="664">
        <f t="shared" si="0"/>
        <v>100</v>
      </c>
      <c r="T8" s="663" t="s">
        <v>14</v>
      </c>
      <c r="U8" s="664">
        <f t="shared" si="1"/>
        <v>100</v>
      </c>
      <c r="V8" s="663" t="s">
        <v>14</v>
      </c>
      <c r="W8" s="664">
        <f t="shared" si="2"/>
        <v>100</v>
      </c>
      <c r="X8" s="665"/>
      <c r="Y8" s="3404" t="s">
        <v>1683</v>
      </c>
      <c r="Z8" s="3405"/>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7" t="s">
        <v>1686</v>
      </c>
      <c r="Q9" s="529" t="str">
        <f t="shared" ref="Q9:Q14" si="6">B9</f>
        <v>用途</v>
      </c>
      <c r="R9" s="663" t="s">
        <v>14</v>
      </c>
      <c r="S9" s="664">
        <f t="shared" si="0"/>
        <v>100</v>
      </c>
      <c r="T9" s="663" t="s">
        <v>14</v>
      </c>
      <c r="U9" s="664">
        <f t="shared" si="1"/>
        <v>100</v>
      </c>
      <c r="V9" s="663" t="s">
        <v>14</v>
      </c>
      <c r="W9" s="664">
        <f t="shared" si="2"/>
        <v>100</v>
      </c>
      <c r="X9" s="665"/>
      <c r="Y9" s="3348" t="s">
        <v>1687</v>
      </c>
      <c r="Z9" s="50" t="str">
        <f t="shared" ref="Z9:Z14" si="7">Q9</f>
        <v>用途</v>
      </c>
      <c r="AA9" s="50">
        <f t="shared" si="3"/>
        <v>1</v>
      </c>
      <c r="AB9" s="50">
        <f t="shared" si="4"/>
        <v>1</v>
      </c>
      <c r="AC9" s="50">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4"/>
      <c r="M10" s="2485"/>
      <c r="N10" s="2485"/>
      <c r="O10" s="2536"/>
      <c r="P10" s="3437"/>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7"/>
      <c r="Q11" s="529">
        <f t="shared" si="6"/>
        <v>111</v>
      </c>
      <c r="R11" s="663" t="s">
        <v>14</v>
      </c>
      <c r="S11" s="664">
        <f t="shared" si="0"/>
        <v>100</v>
      </c>
      <c r="T11" s="663" t="s">
        <v>14</v>
      </c>
      <c r="U11" s="664">
        <f t="shared" si="1"/>
        <v>100</v>
      </c>
      <c r="V11" s="663" t="s">
        <v>14</v>
      </c>
      <c r="W11" s="664">
        <f t="shared" si="2"/>
        <v>100</v>
      </c>
      <c r="X11" s="665"/>
      <c r="Y11" s="334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7"/>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14">
      <c r="A14" s="378" t="s">
        <v>1690</v>
      </c>
      <c r="B14" s="58" t="s">
        <v>1830</v>
      </c>
      <c r="C14" s="1814" t="str">
        <f>IF(B1="工业",估价对象房地状况!G4,估价对象房地状况!C6)</f>
        <v>周边有300路、302路、328路、361路等多条公交线路及地铁8号线与10号线换乘站北土城站，综合评价交通便捷度较好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8" t="s">
        <v>1691</v>
      </c>
      <c r="Q14" s="1261" t="str">
        <f t="shared" si="6"/>
        <v>交通便捷度</v>
      </c>
      <c r="R14" s="666" t="s">
        <v>14</v>
      </c>
      <c r="S14" s="667">
        <f t="shared" si="0"/>
        <v>100</v>
      </c>
      <c r="T14" s="666" t="s">
        <v>14</v>
      </c>
      <c r="U14" s="667">
        <f t="shared" si="1"/>
        <v>100</v>
      </c>
      <c r="V14" s="666" t="s">
        <v>14</v>
      </c>
      <c r="W14" s="667">
        <f t="shared" si="2"/>
        <v>100</v>
      </c>
      <c r="X14" s="1263"/>
      <c r="Y14" s="3438"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39"/>
      <c r="Q15" s="1261"/>
      <c r="R15" s="666"/>
      <c r="S15" s="667"/>
      <c r="T15" s="666"/>
      <c r="U15" s="667"/>
      <c r="V15" s="666"/>
      <c r="W15" s="667"/>
      <c r="X15" s="1263"/>
      <c r="Y15" s="3439"/>
      <c r="Z15" s="1262"/>
      <c r="AA15" s="1262">
        <v>1</v>
      </c>
      <c r="AB15" s="1262">
        <v>1</v>
      </c>
      <c r="AC15" s="1262">
        <v>1</v>
      </c>
    </row>
    <row r="16" spans="1:29" ht="327.75">
      <c r="A16" s="366"/>
      <c r="B16" s="389" t="s">
        <v>1809</v>
      </c>
      <c r="C16" s="1751"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39"/>
      <c r="Q16" s="1261" t="str">
        <f>B16</f>
        <v>公共配套设施</v>
      </c>
      <c r="R16" s="666" t="s">
        <v>14</v>
      </c>
      <c r="S16" s="667">
        <f>F16</f>
        <v>100</v>
      </c>
      <c r="T16" s="666" t="s">
        <v>14</v>
      </c>
      <c r="U16" s="667">
        <f>H16</f>
        <v>100</v>
      </c>
      <c r="V16" s="666" t="s">
        <v>14</v>
      </c>
      <c r="W16" s="667">
        <f>J16</f>
        <v>100</v>
      </c>
      <c r="X16" s="1263"/>
      <c r="Y16" s="3439"/>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39"/>
      <c r="Q17" s="1261"/>
      <c r="R17" s="666"/>
      <c r="S17" s="667"/>
      <c r="T17" s="666"/>
      <c r="U17" s="667"/>
      <c r="V17" s="666"/>
      <c r="W17" s="667"/>
      <c r="X17" s="1263"/>
      <c r="Y17" s="3439"/>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39"/>
      <c r="Q18" s="1261" t="str">
        <f>B18</f>
        <v>基础设施水平</v>
      </c>
      <c r="R18" s="666" t="s">
        <v>14</v>
      </c>
      <c r="S18" s="667">
        <f>F18</f>
        <v>100</v>
      </c>
      <c r="T18" s="666" t="s">
        <v>14</v>
      </c>
      <c r="U18" s="667">
        <f>H18</f>
        <v>100</v>
      </c>
      <c r="V18" s="666" t="s">
        <v>14</v>
      </c>
      <c r="W18" s="667">
        <f>J18</f>
        <v>100</v>
      </c>
      <c r="X18" s="1263"/>
      <c r="Y18" s="3439"/>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39"/>
      <c r="Q19" s="1261"/>
      <c r="R19" s="666"/>
      <c r="S19" s="667"/>
      <c r="T19" s="666"/>
      <c r="U19" s="667"/>
      <c r="V19" s="666"/>
      <c r="W19" s="667"/>
      <c r="X19" s="1263"/>
      <c r="Y19" s="3439"/>
      <c r="Z19" s="1262"/>
      <c r="AA19" s="1262">
        <v>1</v>
      </c>
      <c r="AB19" s="1262">
        <v>1</v>
      </c>
      <c r="AC19" s="1262">
        <v>1</v>
      </c>
    </row>
    <row r="20" spans="1:29" ht="142.5">
      <c r="A20" s="366"/>
      <c r="B20" s="389" t="s">
        <v>1831</v>
      </c>
      <c r="C20" s="1751" t="str">
        <f>IF(B1="工业",估价对象房地状况!G7,估价对象房地状况!C9)</f>
        <v>自然环境：柳荫公园、土城沟水系等自然水系景观；
人文环境：西黄寺、元大都城垣遗址公园等人文场所；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39"/>
      <c r="Q20" s="1261" t="str">
        <f>B20</f>
        <v>自然及人文环境</v>
      </c>
      <c r="R20" s="666" t="s">
        <v>14</v>
      </c>
      <c r="S20" s="667">
        <f>F20</f>
        <v>100</v>
      </c>
      <c r="T20" s="666" t="s">
        <v>14</v>
      </c>
      <c r="U20" s="667">
        <f>H20</f>
        <v>100</v>
      </c>
      <c r="V20" s="666" t="s">
        <v>14</v>
      </c>
      <c r="W20" s="667">
        <f>J20</f>
        <v>100</v>
      </c>
      <c r="X20" s="1263"/>
      <c r="Y20" s="3439"/>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39"/>
      <c r="Q21" s="1261"/>
      <c r="R21" s="666"/>
      <c r="S21" s="667"/>
      <c r="T21" s="666"/>
      <c r="U21" s="667"/>
      <c r="V21" s="666"/>
      <c r="W21" s="667"/>
      <c r="X21" s="1263"/>
      <c r="Y21" s="3439"/>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39"/>
      <c r="Q22" s="1261" t="str">
        <f>B22</f>
        <v>楼层</v>
      </c>
      <c r="R22" s="666" t="s">
        <v>14</v>
      </c>
      <c r="S22" s="667">
        <f>F22</f>
        <v>100</v>
      </c>
      <c r="T22" s="666" t="s">
        <v>14</v>
      </c>
      <c r="U22" s="667">
        <f>H22</f>
        <v>100</v>
      </c>
      <c r="V22" s="666" t="s">
        <v>14</v>
      </c>
      <c r="W22" s="667">
        <f>J22</f>
        <v>100</v>
      </c>
      <c r="X22" s="1263"/>
      <c r="Y22" s="3439"/>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39"/>
      <c r="Q23" s="1261">
        <f>B23</f>
        <v>111</v>
      </c>
      <c r="R23" s="666" t="s">
        <v>14</v>
      </c>
      <c r="S23" s="667">
        <f>F23</f>
        <v>100</v>
      </c>
      <c r="T23" s="666" t="s">
        <v>14</v>
      </c>
      <c r="U23" s="667">
        <f>H23</f>
        <v>100</v>
      </c>
      <c r="V23" s="666" t="s">
        <v>14</v>
      </c>
      <c r="W23" s="667">
        <f>J23</f>
        <v>100</v>
      </c>
      <c r="X23" s="1263"/>
      <c r="Y23" s="3439"/>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39"/>
      <c r="Q24" s="1261">
        <f t="shared" ref="Q24:Q34" si="8">B24</f>
        <v>111</v>
      </c>
      <c r="R24" s="666" t="s">
        <v>14</v>
      </c>
      <c r="S24" s="667">
        <f>F24</f>
        <v>100</v>
      </c>
      <c r="T24" s="666" t="s">
        <v>14</v>
      </c>
      <c r="U24" s="667">
        <f>H24</f>
        <v>100</v>
      </c>
      <c r="V24" s="666" t="s">
        <v>14</v>
      </c>
      <c r="W24" s="667">
        <f>J24</f>
        <v>100</v>
      </c>
      <c r="X24" s="1263"/>
      <c r="Y24" s="3439"/>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39"/>
      <c r="Q25" s="529">
        <f t="shared" si="8"/>
        <v>111</v>
      </c>
      <c r="R25" s="663" t="s">
        <v>14</v>
      </c>
      <c r="S25" s="664">
        <f>F25</f>
        <v>100</v>
      </c>
      <c r="T25" s="663" t="s">
        <v>14</v>
      </c>
      <c r="U25" s="664">
        <f>H25</f>
        <v>100</v>
      </c>
      <c r="V25" s="663" t="s">
        <v>14</v>
      </c>
      <c r="W25" s="664">
        <f>J25</f>
        <v>100</v>
      </c>
      <c r="X25" s="665"/>
      <c r="Y25" s="3439"/>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3"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3"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3"/>
      <c r="Q27" s="530" t="str">
        <f t="shared" si="8"/>
        <v>成新率</v>
      </c>
      <c r="R27" s="668" t="s">
        <v>14</v>
      </c>
      <c r="S27" s="669" t="e">
        <f t="shared" si="9"/>
        <v>#N/A</v>
      </c>
      <c r="T27" s="668" t="s">
        <v>14</v>
      </c>
      <c r="U27" s="669" t="e">
        <f t="shared" si="10"/>
        <v>#N/A</v>
      </c>
      <c r="V27" s="668" t="s">
        <v>14</v>
      </c>
      <c r="W27" s="669" t="e">
        <f t="shared" si="11"/>
        <v>#N/A</v>
      </c>
      <c r="X27" s="670"/>
      <c r="Y27" s="3443"/>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3"/>
      <c r="Q28" s="1261" t="str">
        <f t="shared" si="8"/>
        <v>物业等级</v>
      </c>
      <c r="R28" s="666" t="s">
        <v>14</v>
      </c>
      <c r="S28" s="667">
        <f t="shared" si="9"/>
        <v>100</v>
      </c>
      <c r="T28" s="666" t="s">
        <v>14</v>
      </c>
      <c r="U28" s="667">
        <f t="shared" si="10"/>
        <v>100</v>
      </c>
      <c r="V28" s="666" t="s">
        <v>14</v>
      </c>
      <c r="W28" s="667">
        <f t="shared" si="11"/>
        <v>100</v>
      </c>
      <c r="X28" s="1263"/>
      <c r="Y28" s="3443"/>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3"/>
      <c r="Q29" s="1261" t="str">
        <f t="shared" si="8"/>
        <v>有无电梯</v>
      </c>
      <c r="R29" s="666" t="s">
        <v>14</v>
      </c>
      <c r="S29" s="667">
        <f t="shared" si="9"/>
        <v>100</v>
      </c>
      <c r="T29" s="666" t="s">
        <v>14</v>
      </c>
      <c r="U29" s="667">
        <f t="shared" si="10"/>
        <v>100</v>
      </c>
      <c r="V29" s="666" t="s">
        <v>14</v>
      </c>
      <c r="W29" s="667">
        <f t="shared" si="11"/>
        <v>100</v>
      </c>
      <c r="X29" s="1263"/>
      <c r="Y29" s="3443"/>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3"/>
      <c r="Q30" s="1261" t="str">
        <f t="shared" si="8"/>
        <v>建筑面积</v>
      </c>
      <c r="R30" s="666" t="s">
        <v>14</v>
      </c>
      <c r="S30" s="667" t="e">
        <f t="shared" si="9"/>
        <v>#N/A</v>
      </c>
      <c r="T30" s="666" t="s">
        <v>14</v>
      </c>
      <c r="U30" s="667" t="e">
        <f t="shared" si="10"/>
        <v>#N/A</v>
      </c>
      <c r="V30" s="666" t="s">
        <v>14</v>
      </c>
      <c r="W30" s="667" t="e">
        <f t="shared" si="11"/>
        <v>#N/A</v>
      </c>
      <c r="X30" s="1263"/>
      <c r="Y30" s="3443"/>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3"/>
      <c r="Q31" s="529" t="str">
        <f t="shared" si="8"/>
        <v>是否封闭</v>
      </c>
      <c r="R31" s="663" t="s">
        <v>14</v>
      </c>
      <c r="S31" s="664">
        <f t="shared" si="9"/>
        <v>100</v>
      </c>
      <c r="T31" s="663" t="s">
        <v>14</v>
      </c>
      <c r="U31" s="664">
        <f t="shared" si="10"/>
        <v>100</v>
      </c>
      <c r="V31" s="663" t="s">
        <v>14</v>
      </c>
      <c r="W31" s="664">
        <f t="shared" si="11"/>
        <v>100</v>
      </c>
      <c r="X31" s="665"/>
      <c r="Y31" s="3443"/>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3" t="s">
        <v>1696</v>
      </c>
      <c r="Q32" s="1261">
        <f t="shared" si="8"/>
        <v>111</v>
      </c>
      <c r="R32" s="666" t="s">
        <v>14</v>
      </c>
      <c r="S32" s="667">
        <f t="shared" si="9"/>
        <v>100</v>
      </c>
      <c r="T32" s="666" t="s">
        <v>14</v>
      </c>
      <c r="U32" s="667">
        <f t="shared" si="10"/>
        <v>100</v>
      </c>
      <c r="V32" s="666" t="s">
        <v>14</v>
      </c>
      <c r="W32" s="667">
        <f t="shared" si="11"/>
        <v>100</v>
      </c>
      <c r="X32" s="1263"/>
      <c r="Y32" s="3443"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3"/>
      <c r="Q33" s="1261">
        <f t="shared" si="8"/>
        <v>111</v>
      </c>
      <c r="R33" s="666" t="s">
        <v>14</v>
      </c>
      <c r="S33" s="667">
        <f t="shared" si="9"/>
        <v>100</v>
      </c>
      <c r="T33" s="666" t="s">
        <v>14</v>
      </c>
      <c r="U33" s="667">
        <f t="shared" si="10"/>
        <v>100</v>
      </c>
      <c r="V33" s="666" t="s">
        <v>14</v>
      </c>
      <c r="W33" s="667">
        <f t="shared" si="11"/>
        <v>100</v>
      </c>
      <c r="X33" s="1263"/>
      <c r="Y33" s="3443"/>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3"/>
      <c r="Q34" s="1261">
        <f t="shared" si="8"/>
        <v>111</v>
      </c>
      <c r="R34" s="666" t="s">
        <v>14</v>
      </c>
      <c r="S34" s="667">
        <f t="shared" si="9"/>
        <v>100</v>
      </c>
      <c r="T34" s="666" t="s">
        <v>14</v>
      </c>
      <c r="U34" s="667">
        <f t="shared" si="10"/>
        <v>100</v>
      </c>
      <c r="V34" s="666" t="s">
        <v>14</v>
      </c>
      <c r="W34" s="667">
        <f t="shared" si="11"/>
        <v>100</v>
      </c>
      <c r="X34" s="1263"/>
      <c r="Y34" s="3443"/>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7" t="str">
        <f>A35</f>
        <v>成交单价（元/平方米）</v>
      </c>
      <c r="Q35" s="3437"/>
      <c r="R35" s="3432">
        <f>E35</f>
        <v>0</v>
      </c>
      <c r="S35" s="3432"/>
      <c r="T35" s="3432">
        <f>G35</f>
        <v>0</v>
      </c>
      <c r="U35" s="3432"/>
      <c r="V35" s="3432">
        <f>I35</f>
        <v>0</v>
      </c>
      <c r="W35" s="3432"/>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7" t="str">
        <f>A36</f>
        <v>比较价值（元/平方米）</v>
      </c>
      <c r="Q36" s="3437"/>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4" t="str">
        <f>A37</f>
        <v>估价对象XX用房的比较价值（楼面单价，元/平方米）</v>
      </c>
      <c r="Q37" s="3435"/>
      <c r="R37" s="3464" t="e">
        <f>IF(F1="售价",ROUND(IF(D36="简单平均",AVERAGE(R36:W36),R36*F36+T36*H36+V36*J36),0),ROUND(IF(D36="简单平均",AVERAGE(R36:V36),R36*F36+T36*H36+V36*J36),1))</f>
        <v>#DIV/0!</v>
      </c>
      <c r="S37" s="3464"/>
      <c r="T37" s="3464"/>
      <c r="U37" s="3464"/>
      <c r="V37" s="3464"/>
      <c r="W37" s="3464"/>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2023-12</v>
      </c>
      <c r="D46" s="1102">
        <f>EDATE(C46,-1)</f>
        <v>45231</v>
      </c>
      <c r="E46" s="1102">
        <f t="shared" ref="E46:O46" si="13">EDATE(D46,-1)</f>
        <v>45200</v>
      </c>
      <c r="F46" s="1102">
        <f t="shared" si="13"/>
        <v>45170</v>
      </c>
      <c r="G46" s="1102">
        <f t="shared" si="13"/>
        <v>45139</v>
      </c>
      <c r="H46" s="1102">
        <f t="shared" si="13"/>
        <v>45108</v>
      </c>
      <c r="I46" s="1102">
        <f t="shared" si="13"/>
        <v>45078</v>
      </c>
      <c r="J46" s="1102">
        <f t="shared" si="13"/>
        <v>45047</v>
      </c>
      <c r="K46" s="1102">
        <f t="shared" si="13"/>
        <v>45017</v>
      </c>
      <c r="L46" s="1102">
        <f t="shared" si="13"/>
        <v>44986</v>
      </c>
      <c r="M46" s="1102">
        <f t="shared" si="13"/>
        <v>44958</v>
      </c>
      <c r="N46" s="1102">
        <f t="shared" si="13"/>
        <v>44927</v>
      </c>
      <c r="O46" s="1102">
        <f t="shared" si="13"/>
        <v>44896</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45288</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4"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4" t="s">
        <v>1683</v>
      </c>
      <c r="Q8" s="3405"/>
      <c r="R8" s="663" t="s">
        <v>14</v>
      </c>
      <c r="S8" s="664">
        <f t="shared" si="0"/>
        <v>0</v>
      </c>
      <c r="T8" s="663" t="s">
        <v>14</v>
      </c>
      <c r="U8" s="664">
        <f t="shared" si="1"/>
        <v>0</v>
      </c>
      <c r="V8" s="663" t="s">
        <v>14</v>
      </c>
      <c r="W8" s="664">
        <f t="shared" si="2"/>
        <v>0</v>
      </c>
      <c r="X8" s="665"/>
      <c r="Y8" s="3404" t="s">
        <v>1683</v>
      </c>
      <c r="Z8" s="3405"/>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7"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101</v>
      </c>
      <c r="G10" s="401"/>
      <c r="H10" s="118">
        <f>ROUND(100/'数据-取费表'!G16,0)</f>
        <v>101</v>
      </c>
      <c r="I10" s="401"/>
      <c r="J10" s="118">
        <f>ROUND(100/'数据-取费表'!G16,0)</f>
        <v>101</v>
      </c>
      <c r="K10" s="591"/>
      <c r="L10" s="2484"/>
      <c r="M10" s="2485"/>
      <c r="N10" s="2485"/>
      <c r="O10" s="2536"/>
      <c r="P10" s="3437"/>
      <c r="Q10" s="529" t="str">
        <f t="shared" si="6"/>
        <v>土地使用年限（年）</v>
      </c>
      <c r="R10" s="663" t="s">
        <v>14</v>
      </c>
      <c r="S10" s="664">
        <f t="shared" si="0"/>
        <v>101</v>
      </c>
      <c r="T10" s="663" t="s">
        <v>14</v>
      </c>
      <c r="U10" s="664">
        <f t="shared" si="1"/>
        <v>101</v>
      </c>
      <c r="V10" s="663" t="s">
        <v>14</v>
      </c>
      <c r="W10" s="664">
        <f t="shared" si="2"/>
        <v>101</v>
      </c>
      <c r="X10" s="665"/>
      <c r="Y10" s="3348"/>
      <c r="Z10" s="50" t="str">
        <f t="shared" si="7"/>
        <v>土地使用年限（年）</v>
      </c>
      <c r="AA10" s="50">
        <f t="shared" si="3"/>
        <v>0.99009900990099009</v>
      </c>
      <c r="AB10" s="50">
        <f t="shared" si="4"/>
        <v>0.99009900990099009</v>
      </c>
      <c r="AC10" s="50">
        <f t="shared" si="5"/>
        <v>0.99009900990099009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7"/>
      <c r="Q11" s="529" t="str">
        <f t="shared" si="6"/>
        <v>容积率</v>
      </c>
      <c r="R11" s="663" t="s">
        <v>14</v>
      </c>
      <c r="S11" s="664" t="e">
        <f t="shared" si="0"/>
        <v>#N/A</v>
      </c>
      <c r="T11" s="663" t="s">
        <v>14</v>
      </c>
      <c r="U11" s="664" t="e">
        <f t="shared" si="1"/>
        <v>#N/A</v>
      </c>
      <c r="V11" s="663" t="s">
        <v>14</v>
      </c>
      <c r="W11" s="664" t="e">
        <f t="shared" si="2"/>
        <v>#N/A</v>
      </c>
      <c r="X11" s="665"/>
      <c r="Y11" s="3348"/>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7"/>
      <c r="Q12" s="529" t="str">
        <f t="shared" si="6"/>
        <v>配建</v>
      </c>
      <c r="R12" s="663" t="s">
        <v>14</v>
      </c>
      <c r="S12" s="664">
        <f t="shared" si="0"/>
        <v>100</v>
      </c>
      <c r="T12" s="663" t="s">
        <v>14</v>
      </c>
      <c r="U12" s="664">
        <f t="shared" si="1"/>
        <v>100</v>
      </c>
      <c r="V12" s="663" t="s">
        <v>14</v>
      </c>
      <c r="W12" s="664">
        <f t="shared" si="2"/>
        <v>100</v>
      </c>
      <c r="X12" s="665"/>
      <c r="Y12" s="334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7"/>
      <c r="Q14" s="529">
        <f t="shared" si="6"/>
        <v>111</v>
      </c>
      <c r="R14" s="663" t="s">
        <v>14</v>
      </c>
      <c r="S14" s="664">
        <f t="shared" si="0"/>
        <v>100</v>
      </c>
      <c r="T14" s="663" t="s">
        <v>14</v>
      </c>
      <c r="U14" s="664">
        <f t="shared" si="1"/>
        <v>100</v>
      </c>
      <c r="V14" s="663" t="s">
        <v>14</v>
      </c>
      <c r="W14" s="664">
        <f t="shared" si="2"/>
        <v>100</v>
      </c>
      <c r="X14" s="665"/>
      <c r="Y14" s="3348"/>
      <c r="Z14" s="50">
        <f t="shared" si="7"/>
        <v>111</v>
      </c>
      <c r="AA14" s="50">
        <f>D14/F14</f>
        <v>1</v>
      </c>
      <c r="AB14" s="50">
        <f>D14/H14</f>
        <v>1</v>
      </c>
      <c r="AC14" s="50">
        <f>D14/J14</f>
        <v>1</v>
      </c>
    </row>
    <row r="15" spans="1:29" ht="85.5">
      <c r="A15" s="378" t="s">
        <v>1690</v>
      </c>
      <c r="B15" s="58" t="s">
        <v>1257</v>
      </c>
      <c r="C15" s="1747" t="str">
        <f>估价对象房地状况!C15</f>
        <v>周边有胜古誉园、安华里、安华西里、安贞西里等住宅小区，居住社区成熟度较好。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8" t="s">
        <v>1691</v>
      </c>
      <c r="Q15" s="1261" t="str">
        <f t="shared" si="6"/>
        <v>居住社区成熟度</v>
      </c>
      <c r="R15" s="666" t="s">
        <v>14</v>
      </c>
      <c r="S15" s="667">
        <f t="shared" si="0"/>
        <v>100</v>
      </c>
      <c r="T15" s="666" t="s">
        <v>14</v>
      </c>
      <c r="U15" s="667">
        <f t="shared" si="1"/>
        <v>100</v>
      </c>
      <c r="V15" s="666" t="s">
        <v>14</v>
      </c>
      <c r="W15" s="667">
        <f t="shared" si="2"/>
        <v>100</v>
      </c>
      <c r="X15" s="1263"/>
      <c r="Y15" s="3438"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39"/>
      <c r="Q16" s="1261"/>
      <c r="R16" s="666"/>
      <c r="S16" s="667"/>
      <c r="T16" s="666"/>
      <c r="U16" s="667"/>
      <c r="V16" s="666"/>
      <c r="W16" s="667"/>
      <c r="X16" s="1263"/>
      <c r="Y16" s="3439"/>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39"/>
      <c r="Q17" s="1261" t="str">
        <f>B17</f>
        <v>商业繁华度</v>
      </c>
      <c r="R17" s="666" t="s">
        <v>14</v>
      </c>
      <c r="S17" s="667">
        <f>F17</f>
        <v>100</v>
      </c>
      <c r="T17" s="666" t="s">
        <v>14</v>
      </c>
      <c r="U17" s="667">
        <f>H17</f>
        <v>100</v>
      </c>
      <c r="V17" s="666" t="s">
        <v>14</v>
      </c>
      <c r="W17" s="667">
        <f>J17</f>
        <v>100</v>
      </c>
      <c r="X17" s="1263"/>
      <c r="Y17" s="3439"/>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39"/>
      <c r="Q18" s="1261"/>
      <c r="R18" s="666"/>
      <c r="S18" s="667"/>
      <c r="T18" s="666"/>
      <c r="U18" s="667"/>
      <c r="V18" s="666"/>
      <c r="W18" s="667"/>
      <c r="X18" s="1263"/>
      <c r="Y18" s="3439"/>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39"/>
      <c r="Q19" s="1261" t="str">
        <f>B19</f>
        <v>办公集聚程度</v>
      </c>
      <c r="R19" s="666" t="s">
        <v>14</v>
      </c>
      <c r="S19" s="667">
        <f>F19</f>
        <v>100</v>
      </c>
      <c r="T19" s="666" t="s">
        <v>14</v>
      </c>
      <c r="U19" s="667">
        <f>H19</f>
        <v>100</v>
      </c>
      <c r="V19" s="666" t="s">
        <v>14</v>
      </c>
      <c r="W19" s="667">
        <f>J19</f>
        <v>100</v>
      </c>
      <c r="X19" s="1263"/>
      <c r="Y19" s="3439"/>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39"/>
      <c r="Q20" s="1261"/>
      <c r="R20" s="666"/>
      <c r="S20" s="667"/>
      <c r="T20" s="666"/>
      <c r="U20" s="667"/>
      <c r="V20" s="666"/>
      <c r="W20" s="667"/>
      <c r="X20" s="1263"/>
      <c r="Y20" s="3439"/>
      <c r="Z20" s="1262"/>
      <c r="AA20" s="1262">
        <v>1</v>
      </c>
      <c r="AB20" s="1262">
        <v>1</v>
      </c>
      <c r="AC20" s="1262">
        <v>1</v>
      </c>
    </row>
    <row r="21" spans="1:29" ht="114">
      <c r="A21" s="366"/>
      <c r="B21" s="389" t="s">
        <v>1830</v>
      </c>
      <c r="C21" s="1751" t="str">
        <f>估价对象房地状况!C18</f>
        <v>周边有300路、302路、328路、361路等多条公交线路及地铁8号线与10号线换乘站北土城站，综合评价交通便捷度较好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39"/>
      <c r="Q21" s="1261" t="str">
        <f>B21</f>
        <v>交通便捷度</v>
      </c>
      <c r="R21" s="666" t="s">
        <v>14</v>
      </c>
      <c r="S21" s="667">
        <f>F21</f>
        <v>100</v>
      </c>
      <c r="T21" s="666" t="s">
        <v>14</v>
      </c>
      <c r="U21" s="667">
        <f>H21</f>
        <v>100</v>
      </c>
      <c r="V21" s="666" t="s">
        <v>14</v>
      </c>
      <c r="W21" s="667">
        <f>J21</f>
        <v>100</v>
      </c>
      <c r="X21" s="1263"/>
      <c r="Y21" s="3439"/>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39"/>
      <c r="Q22" s="1261"/>
      <c r="R22" s="666"/>
      <c r="S22" s="667"/>
      <c r="T22" s="666"/>
      <c r="U22" s="667"/>
      <c r="V22" s="666"/>
      <c r="W22" s="667"/>
      <c r="X22" s="1263"/>
      <c r="Y22" s="3439"/>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39"/>
      <c r="Q23" s="1261" t="str">
        <f t="shared" ref="Q23:Q37" si="8">B23</f>
        <v>区域土地利用方向</v>
      </c>
      <c r="R23" s="666" t="s">
        <v>14</v>
      </c>
      <c r="S23" s="667">
        <f>F23</f>
        <v>100</v>
      </c>
      <c r="T23" s="666" t="s">
        <v>14</v>
      </c>
      <c r="U23" s="667">
        <f>H23</f>
        <v>100</v>
      </c>
      <c r="V23" s="666" t="s">
        <v>14</v>
      </c>
      <c r="W23" s="667">
        <f>J23</f>
        <v>100</v>
      </c>
      <c r="X23" s="1263"/>
      <c r="Y23" s="3439"/>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39"/>
      <c r="Q24" s="1261"/>
      <c r="R24" s="666"/>
      <c r="S24" s="667"/>
      <c r="T24" s="666"/>
      <c r="U24" s="667"/>
      <c r="V24" s="666"/>
      <c r="W24" s="667"/>
      <c r="X24" s="1263"/>
      <c r="Y24" s="3439"/>
      <c r="Z24" s="1262"/>
      <c r="AA24" s="1262"/>
      <c r="AB24" s="1262"/>
      <c r="AC24" s="1262"/>
    </row>
    <row r="25" spans="1:29" ht="142.5">
      <c r="A25" s="347"/>
      <c r="B25" s="585" t="s">
        <v>1869</v>
      </c>
      <c r="C25" s="1801" t="str">
        <f>估价对象房地状况!C20</f>
        <v>自然环境：柳荫公园、土城沟水系等自然水系景观；
人文环境：西黄寺、元大都城垣遗址公园等人文场所；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39"/>
      <c r="Q25" s="1261" t="str">
        <f t="shared" si="8"/>
        <v>自然及人文环境状况</v>
      </c>
      <c r="R25" s="666" t="s">
        <v>14</v>
      </c>
      <c r="S25" s="667">
        <f>F25</f>
        <v>100</v>
      </c>
      <c r="T25" s="666" t="s">
        <v>14</v>
      </c>
      <c r="U25" s="667">
        <f>H25</f>
        <v>100</v>
      </c>
      <c r="V25" s="666" t="s">
        <v>14</v>
      </c>
      <c r="W25" s="667">
        <f>J25</f>
        <v>100</v>
      </c>
      <c r="X25" s="1263"/>
      <c r="Y25" s="3439"/>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39"/>
      <c r="Q26" s="1261"/>
      <c r="R26" s="666"/>
      <c r="S26" s="667"/>
      <c r="T26" s="666"/>
      <c r="U26" s="667"/>
      <c r="V26" s="666"/>
      <c r="W26" s="667"/>
      <c r="X26" s="1263"/>
      <c r="Y26" s="3439"/>
      <c r="Z26" s="1262"/>
      <c r="AA26" s="1262">
        <v>1</v>
      </c>
      <c r="AB26" s="1262">
        <v>1</v>
      </c>
      <c r="AC26" s="1262">
        <v>1</v>
      </c>
    </row>
    <row r="27" spans="1:29" s="101" customFormat="1" ht="327.75">
      <c r="A27" s="442"/>
      <c r="B27" s="585" t="s">
        <v>1775</v>
      </c>
      <c r="C27" s="1751"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39"/>
      <c r="Q27" s="529" t="str">
        <f t="shared" si="8"/>
        <v>公共配套设施</v>
      </c>
      <c r="R27" s="663" t="s">
        <v>14</v>
      </c>
      <c r="S27" s="664">
        <f>F27</f>
        <v>100</v>
      </c>
      <c r="T27" s="663" t="s">
        <v>14</v>
      </c>
      <c r="U27" s="664">
        <f>H27</f>
        <v>100</v>
      </c>
      <c r="V27" s="663" t="s">
        <v>14</v>
      </c>
      <c r="W27" s="664">
        <f>J27</f>
        <v>100</v>
      </c>
      <c r="X27" s="665"/>
      <c r="Y27" s="3439"/>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39"/>
      <c r="Q28" s="529"/>
      <c r="R28" s="663"/>
      <c r="S28" s="664"/>
      <c r="T28" s="663"/>
      <c r="U28" s="664"/>
      <c r="V28" s="663"/>
      <c r="W28" s="664"/>
      <c r="X28" s="665"/>
      <c r="Y28" s="3439"/>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39"/>
      <c r="Q29" s="529" t="str">
        <f>B29</f>
        <v>基础设施水平</v>
      </c>
      <c r="R29" s="663" t="s">
        <v>14</v>
      </c>
      <c r="S29" s="664">
        <f>F29</f>
        <v>100</v>
      </c>
      <c r="T29" s="663" t="s">
        <v>14</v>
      </c>
      <c r="U29" s="664">
        <f>H29</f>
        <v>100</v>
      </c>
      <c r="V29" s="663" t="s">
        <v>14</v>
      </c>
      <c r="W29" s="664">
        <f>J29</f>
        <v>100</v>
      </c>
      <c r="X29" s="665"/>
      <c r="Y29" s="3439"/>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39"/>
      <c r="Q30" s="529"/>
      <c r="R30" s="663"/>
      <c r="S30" s="664"/>
      <c r="T30" s="663"/>
      <c r="U30" s="664"/>
      <c r="V30" s="663"/>
      <c r="W30" s="664"/>
      <c r="X30" s="665"/>
      <c r="Y30" s="3439"/>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39"/>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39"/>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39"/>
      <c r="Q32" s="1261" t="str">
        <f t="shared" si="8"/>
        <v>毗邻道路的类型与等级</v>
      </c>
      <c r="R32" s="666" t="s">
        <v>14</v>
      </c>
      <c r="S32" s="667">
        <f t="shared" si="9"/>
        <v>100</v>
      </c>
      <c r="T32" s="666" t="s">
        <v>14</v>
      </c>
      <c r="U32" s="667">
        <f t="shared" si="10"/>
        <v>100</v>
      </c>
      <c r="V32" s="666" t="s">
        <v>14</v>
      </c>
      <c r="W32" s="667">
        <f t="shared" si="11"/>
        <v>100</v>
      </c>
      <c r="X32" s="1263"/>
      <c r="Y32" s="3439"/>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39"/>
      <c r="Q33" s="1261"/>
      <c r="R33" s="666"/>
      <c r="S33" s="667"/>
      <c r="T33" s="666"/>
      <c r="U33" s="667"/>
      <c r="V33" s="666"/>
      <c r="W33" s="667"/>
      <c r="X33" s="1263"/>
      <c r="Y33" s="3439"/>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39"/>
      <c r="Q34" s="1261" t="str">
        <f t="shared" si="8"/>
        <v>土地级别</v>
      </c>
      <c r="R34" s="666" t="s">
        <v>14</v>
      </c>
      <c r="S34" s="667">
        <f t="shared" si="9"/>
        <v>100</v>
      </c>
      <c r="T34" s="666" t="s">
        <v>14</v>
      </c>
      <c r="U34" s="667">
        <f t="shared" si="10"/>
        <v>100</v>
      </c>
      <c r="V34" s="666" t="s">
        <v>14</v>
      </c>
      <c r="W34" s="667">
        <f t="shared" si="11"/>
        <v>100</v>
      </c>
      <c r="X34" s="1263"/>
      <c r="Y34" s="3439"/>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39"/>
      <c r="Q35" s="1261">
        <f t="shared" si="8"/>
        <v>111</v>
      </c>
      <c r="R35" s="666" t="s">
        <v>14</v>
      </c>
      <c r="S35" s="667">
        <f t="shared" si="9"/>
        <v>100</v>
      </c>
      <c r="T35" s="666" t="s">
        <v>14</v>
      </c>
      <c r="U35" s="667">
        <f t="shared" si="10"/>
        <v>100</v>
      </c>
      <c r="V35" s="666" t="s">
        <v>14</v>
      </c>
      <c r="W35" s="667">
        <f t="shared" si="11"/>
        <v>100</v>
      </c>
      <c r="X35" s="1263"/>
      <c r="Y35" s="3439"/>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3" t="s">
        <v>1696</v>
      </c>
      <c r="Q36" s="1261">
        <f t="shared" si="8"/>
        <v>111</v>
      </c>
      <c r="R36" s="666" t="s">
        <v>14</v>
      </c>
      <c r="S36" s="667">
        <f t="shared" si="9"/>
        <v>100</v>
      </c>
      <c r="T36" s="666" t="s">
        <v>14</v>
      </c>
      <c r="U36" s="667">
        <f t="shared" si="10"/>
        <v>100</v>
      </c>
      <c r="V36" s="666" t="s">
        <v>14</v>
      </c>
      <c r="W36" s="667">
        <f t="shared" si="11"/>
        <v>100</v>
      </c>
      <c r="X36" s="1263"/>
      <c r="Y36" s="3443"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3"/>
      <c r="Q37" s="1261">
        <f t="shared" si="8"/>
        <v>111</v>
      </c>
      <c r="R37" s="668" t="s">
        <v>14</v>
      </c>
      <c r="S37" s="669">
        <f t="shared" si="9"/>
        <v>100</v>
      </c>
      <c r="T37" s="668" t="s">
        <v>14</v>
      </c>
      <c r="U37" s="669">
        <f t="shared" si="10"/>
        <v>100</v>
      </c>
      <c r="V37" s="668" t="s">
        <v>14</v>
      </c>
      <c r="W37" s="669">
        <f t="shared" si="11"/>
        <v>100</v>
      </c>
      <c r="X37" s="670"/>
      <c r="Y37" s="3443"/>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3"/>
      <c r="Q38" s="1261" t="str">
        <f>B38</f>
        <v>宗地面积</v>
      </c>
      <c r="R38" s="666" t="s">
        <v>14</v>
      </c>
      <c r="S38" s="667" t="e">
        <f t="shared" si="9"/>
        <v>#N/A</v>
      </c>
      <c r="T38" s="666" t="s">
        <v>14</v>
      </c>
      <c r="U38" s="667" t="e">
        <f t="shared" si="10"/>
        <v>#N/A</v>
      </c>
      <c r="V38" s="666" t="s">
        <v>14</v>
      </c>
      <c r="W38" s="667" t="e">
        <f t="shared" si="11"/>
        <v>#N/A</v>
      </c>
      <c r="X38" s="1263"/>
      <c r="Y38" s="3443"/>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3"/>
      <c r="Q39" s="1261" t="str">
        <f t="shared" ref="Q39:Q45" si="13">B39</f>
        <v>宗地形状</v>
      </c>
      <c r="R39" s="666" t="s">
        <v>14</v>
      </c>
      <c r="S39" s="667">
        <f t="shared" si="9"/>
        <v>100</v>
      </c>
      <c r="T39" s="666" t="s">
        <v>14</v>
      </c>
      <c r="U39" s="667">
        <f t="shared" si="10"/>
        <v>100</v>
      </c>
      <c r="V39" s="666" t="s">
        <v>14</v>
      </c>
      <c r="W39" s="667">
        <f t="shared" si="11"/>
        <v>100</v>
      </c>
      <c r="X39" s="1263"/>
      <c r="Y39" s="3443"/>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3"/>
      <c r="Q40" s="1261" t="str">
        <f t="shared" si="13"/>
        <v>临街宽度及深度</v>
      </c>
      <c r="R40" s="666" t="s">
        <v>14</v>
      </c>
      <c r="S40" s="667">
        <f t="shared" si="9"/>
        <v>100</v>
      </c>
      <c r="T40" s="666" t="s">
        <v>14</v>
      </c>
      <c r="U40" s="667">
        <f t="shared" si="10"/>
        <v>100</v>
      </c>
      <c r="V40" s="666" t="s">
        <v>14</v>
      </c>
      <c r="W40" s="667">
        <f t="shared" si="11"/>
        <v>100</v>
      </c>
      <c r="X40" s="1263"/>
      <c r="Y40" s="3443"/>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3"/>
      <c r="Q41" s="1261" t="str">
        <f t="shared" si="13"/>
        <v>宗地开发程度</v>
      </c>
      <c r="R41" s="663" t="s">
        <v>14</v>
      </c>
      <c r="S41" s="664">
        <f t="shared" si="9"/>
        <v>100</v>
      </c>
      <c r="T41" s="663" t="s">
        <v>14</v>
      </c>
      <c r="U41" s="664">
        <f t="shared" si="10"/>
        <v>100</v>
      </c>
      <c r="V41" s="663" t="s">
        <v>14</v>
      </c>
      <c r="W41" s="664">
        <f t="shared" si="11"/>
        <v>100</v>
      </c>
      <c r="X41" s="665"/>
      <c r="Y41" s="3443"/>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3" t="s">
        <v>1696</v>
      </c>
      <c r="Q42" s="1261" t="str">
        <f t="shared" si="13"/>
        <v>工程地质条件</v>
      </c>
      <c r="R42" s="666" t="s">
        <v>14</v>
      </c>
      <c r="S42" s="667">
        <f t="shared" si="9"/>
        <v>100</v>
      </c>
      <c r="T42" s="666" t="s">
        <v>14</v>
      </c>
      <c r="U42" s="667">
        <f t="shared" si="10"/>
        <v>100</v>
      </c>
      <c r="V42" s="666" t="s">
        <v>14</v>
      </c>
      <c r="W42" s="667">
        <f t="shared" si="11"/>
        <v>100</v>
      </c>
      <c r="X42" s="1263"/>
      <c r="Y42" s="3443"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3"/>
      <c r="Q43" s="1261">
        <f t="shared" si="13"/>
        <v>111</v>
      </c>
      <c r="R43" s="666" t="s">
        <v>14</v>
      </c>
      <c r="S43" s="667">
        <f t="shared" si="9"/>
        <v>100</v>
      </c>
      <c r="T43" s="666" t="s">
        <v>14</v>
      </c>
      <c r="U43" s="667">
        <f t="shared" si="10"/>
        <v>100</v>
      </c>
      <c r="V43" s="666" t="s">
        <v>14</v>
      </c>
      <c r="W43" s="667">
        <f t="shared" si="11"/>
        <v>100</v>
      </c>
      <c r="X43" s="1263"/>
      <c r="Y43" s="3443"/>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3"/>
      <c r="Q44" s="1261">
        <f t="shared" si="13"/>
        <v>111</v>
      </c>
      <c r="R44" s="666" t="s">
        <v>14</v>
      </c>
      <c r="S44" s="667">
        <f t="shared" si="9"/>
        <v>100</v>
      </c>
      <c r="T44" s="666" t="s">
        <v>14</v>
      </c>
      <c r="U44" s="667">
        <f t="shared" si="10"/>
        <v>100</v>
      </c>
      <c r="V44" s="666" t="s">
        <v>14</v>
      </c>
      <c r="W44" s="667">
        <f t="shared" si="11"/>
        <v>100</v>
      </c>
      <c r="X44" s="1263"/>
      <c r="Y44" s="3443"/>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3"/>
      <c r="Q45" s="1261">
        <f t="shared" si="13"/>
        <v>111</v>
      </c>
      <c r="R45" s="668" t="s">
        <v>14</v>
      </c>
      <c r="S45" s="669">
        <f t="shared" si="9"/>
        <v>100</v>
      </c>
      <c r="T45" s="668" t="s">
        <v>14</v>
      </c>
      <c r="U45" s="669">
        <f t="shared" si="10"/>
        <v>100</v>
      </c>
      <c r="V45" s="668" t="s">
        <v>14</v>
      </c>
      <c r="W45" s="669">
        <f t="shared" si="11"/>
        <v>100</v>
      </c>
      <c r="X45" s="670"/>
      <c r="Y45" s="3443"/>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7" t="str">
        <f>A46</f>
        <v>成交单价</v>
      </c>
      <c r="Q46" s="3437"/>
      <c r="R46" s="3432">
        <f>E46</f>
        <v>0</v>
      </c>
      <c r="S46" s="3432"/>
      <c r="T46" s="3432">
        <f>G46</f>
        <v>0</v>
      </c>
      <c r="U46" s="3432"/>
      <c r="V46" s="3432">
        <f>I46</f>
        <v>0</v>
      </c>
      <c r="W46" s="3432"/>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7" t="str">
        <f>A47</f>
        <v>比较价值（元/平方米）</v>
      </c>
      <c r="Q47" s="3437"/>
      <c r="R47" s="3465" t="e">
        <f>ROUND(PRODUCT(R46,AA7:AA45),0)</f>
        <v>#DIV/0!</v>
      </c>
      <c r="S47" s="3465"/>
      <c r="T47" s="3465" t="e">
        <f>ROUND(PRODUCT(T46,AB7:AB45),0)</f>
        <v>#DIV/0!</v>
      </c>
      <c r="U47" s="3465"/>
      <c r="V47" s="3465" t="e">
        <f>ROUND(PRODUCT(V46,AC7:AC45),0)</f>
        <v>#DIV/0!</v>
      </c>
      <c r="W47" s="3465"/>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4" t="str">
        <f>A48</f>
        <v>估价对象XX用房的比较价值（楼面单价，元/平方米）</v>
      </c>
      <c r="Q48" s="3435"/>
      <c r="R48" s="3466" t="e">
        <f>ROUND(IF(D47="简单平均",AVERAGE(R47:W47),R47*F47+T47*H47+V47*J47),0)</f>
        <v>#DIV/0!</v>
      </c>
      <c r="S48" s="3466"/>
      <c r="T48" s="3466"/>
      <c r="U48" s="3466"/>
      <c r="V48" s="3466"/>
      <c r="W48" s="3466"/>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0" t="s">
        <v>1884</v>
      </c>
      <c r="H55" s="3467"/>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45.34</v>
      </c>
      <c r="F56" s="832" t="e">
        <f t="shared" ref="F56:F64" si="14">ROUND(B56*E56/10000,0)</f>
        <v>#DIV/0!</v>
      </c>
      <c r="G56" s="3419"/>
      <c r="H56" s="3437"/>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5"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6"/>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6"/>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45.34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2023-12-1</v>
      </c>
      <c r="D67" s="655">
        <f>EDATE(C67,-3)</f>
        <v>45170</v>
      </c>
      <c r="E67" s="655">
        <f>EDATE(D67,-3)</f>
        <v>45078</v>
      </c>
      <c r="F67" s="655">
        <f t="shared" ref="F67:O67" si="17">EDATE(E67,-3)</f>
        <v>44986</v>
      </c>
      <c r="G67" s="655">
        <f t="shared" si="17"/>
        <v>44896</v>
      </c>
      <c r="H67" s="655">
        <f t="shared" si="17"/>
        <v>44805</v>
      </c>
      <c r="I67" s="655">
        <f t="shared" si="17"/>
        <v>44713</v>
      </c>
      <c r="J67" s="655">
        <f t="shared" si="17"/>
        <v>44621</v>
      </c>
      <c r="K67" s="655">
        <f t="shared" si="17"/>
        <v>44531</v>
      </c>
      <c r="L67" s="655">
        <f t="shared" si="17"/>
        <v>44440</v>
      </c>
      <c r="M67" s="655">
        <f t="shared" si="17"/>
        <v>44348</v>
      </c>
      <c r="N67" s="655">
        <f t="shared" si="17"/>
        <v>44256</v>
      </c>
      <c r="O67" s="655">
        <f t="shared" si="17"/>
        <v>44166</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2023-4</v>
      </c>
      <c r="D69" s="1099" t="str">
        <f>YEAR(D67)&amp;"-"&amp;ROUNDUP(MONTH(D67)/3,0)</f>
        <v>2023-3</v>
      </c>
      <c r="E69" s="1099" t="str">
        <f t="shared" ref="E69:O69" si="18">YEAR(E67)&amp;"-"&amp;ROUNDUP(MONTH(E67)/3,0)</f>
        <v>2023-2</v>
      </c>
      <c r="F69" s="1099" t="str">
        <f t="shared" si="18"/>
        <v>2023-1</v>
      </c>
      <c r="G69" s="1099" t="str">
        <f t="shared" si="18"/>
        <v>2022-4</v>
      </c>
      <c r="H69" s="1099" t="str">
        <f t="shared" si="18"/>
        <v>2022-3</v>
      </c>
      <c r="I69" s="1099" t="str">
        <f t="shared" si="18"/>
        <v>2022-2</v>
      </c>
      <c r="J69" s="1099" t="str">
        <f t="shared" si="18"/>
        <v>2022-1</v>
      </c>
      <c r="K69" s="1099" t="str">
        <f t="shared" si="18"/>
        <v>2021-4</v>
      </c>
      <c r="L69" s="1099" t="str">
        <f t="shared" si="18"/>
        <v>2021-3</v>
      </c>
      <c r="M69" s="1099" t="str">
        <f t="shared" si="18"/>
        <v>2021-2</v>
      </c>
      <c r="N69" s="1099" t="str">
        <f t="shared" si="18"/>
        <v>2021-1</v>
      </c>
      <c r="O69" s="1099" t="str">
        <f t="shared" si="18"/>
        <v>2020-4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68" t="s">
        <v>1916</v>
      </c>
      <c r="D6" s="3469"/>
      <c r="E6" s="3470" t="s">
        <v>1916</v>
      </c>
      <c r="F6" s="3471"/>
      <c r="G6" s="3468" t="s">
        <v>1916</v>
      </c>
      <c r="H6" s="3469"/>
      <c r="I6" s="3468" t="s">
        <v>1916</v>
      </c>
      <c r="J6" s="3469"/>
      <c r="K6" s="536"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45288</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4"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4" t="s">
        <v>1683</v>
      </c>
      <c r="Q8" s="3405"/>
      <c r="R8" s="663" t="s">
        <v>14</v>
      </c>
      <c r="S8" s="664">
        <f t="shared" si="0"/>
        <v>0</v>
      </c>
      <c r="T8" s="663" t="s">
        <v>14</v>
      </c>
      <c r="U8" s="664">
        <f t="shared" si="1"/>
        <v>0</v>
      </c>
      <c r="V8" s="663" t="s">
        <v>14</v>
      </c>
      <c r="W8" s="664">
        <f t="shared" si="2"/>
        <v>0</v>
      </c>
      <c r="X8" s="665"/>
      <c r="Y8" s="3404" t="s">
        <v>1683</v>
      </c>
      <c r="Z8" s="3405"/>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7"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101</v>
      </c>
      <c r="G10" s="370"/>
      <c r="H10" s="118">
        <f>ROUND(100/'数据-取费表'!G16,0)</f>
        <v>101</v>
      </c>
      <c r="I10" s="370"/>
      <c r="J10" s="118">
        <f>ROUND(100/'数据-取费表'!G16,0)</f>
        <v>101</v>
      </c>
      <c r="K10" s="591"/>
      <c r="L10" s="2484"/>
      <c r="M10" s="2485"/>
      <c r="N10" s="2485"/>
      <c r="O10" s="2536"/>
      <c r="P10" s="3437"/>
      <c r="Q10" s="529" t="str">
        <f t="shared" si="6"/>
        <v>土地使用年限（年）</v>
      </c>
      <c r="R10" s="663" t="s">
        <v>14</v>
      </c>
      <c r="S10" s="664">
        <f t="shared" si="0"/>
        <v>101</v>
      </c>
      <c r="T10" s="663" t="s">
        <v>14</v>
      </c>
      <c r="U10" s="664">
        <f t="shared" si="1"/>
        <v>101</v>
      </c>
      <c r="V10" s="663" t="s">
        <v>14</v>
      </c>
      <c r="W10" s="664">
        <f t="shared" si="2"/>
        <v>101</v>
      </c>
      <c r="X10" s="665"/>
      <c r="Y10" s="3348"/>
      <c r="Z10" s="50" t="str">
        <f t="shared" si="7"/>
        <v>土地使用年限（年）</v>
      </c>
      <c r="AA10" s="50">
        <f t="shared" si="3"/>
        <v>0.99009900990099009</v>
      </c>
      <c r="AB10" s="50">
        <f t="shared" si="4"/>
        <v>0.99009900990099009</v>
      </c>
      <c r="AC10" s="50">
        <f t="shared" si="5"/>
        <v>0.99009900990099009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7"/>
      <c r="Q11" s="529" t="str">
        <f t="shared" si="6"/>
        <v>容积率</v>
      </c>
      <c r="R11" s="663" t="s">
        <v>14</v>
      </c>
      <c r="S11" s="664" t="e">
        <f t="shared" si="0"/>
        <v>#N/A</v>
      </c>
      <c r="T11" s="663" t="s">
        <v>14</v>
      </c>
      <c r="U11" s="664" t="e">
        <f t="shared" si="1"/>
        <v>#N/A</v>
      </c>
      <c r="V11" s="663" t="s">
        <v>14</v>
      </c>
      <c r="W11" s="664" t="e">
        <f t="shared" si="2"/>
        <v>#N/A</v>
      </c>
      <c r="X11" s="665"/>
      <c r="Y11" s="334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7"/>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7"/>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8" t="s">
        <v>1691</v>
      </c>
      <c r="Q15" s="1261" t="str">
        <f t="shared" si="6"/>
        <v>产业集聚程度</v>
      </c>
      <c r="R15" s="666" t="s">
        <v>14</v>
      </c>
      <c r="S15" s="667">
        <f t="shared" si="0"/>
        <v>100</v>
      </c>
      <c r="T15" s="666" t="s">
        <v>14</v>
      </c>
      <c r="U15" s="667">
        <f t="shared" si="1"/>
        <v>100</v>
      </c>
      <c r="V15" s="666" t="s">
        <v>14</v>
      </c>
      <c r="W15" s="667">
        <f t="shared" si="2"/>
        <v>100</v>
      </c>
      <c r="X15" s="1263"/>
      <c r="Y15" s="3438"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39"/>
      <c r="Q16" s="1261"/>
      <c r="R16" s="666"/>
      <c r="S16" s="667"/>
      <c r="T16" s="666"/>
      <c r="U16" s="667"/>
      <c r="V16" s="666"/>
      <c r="W16" s="667"/>
      <c r="X16" s="1263"/>
      <c r="Y16" s="3439"/>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39"/>
      <c r="Q17" s="1261" t="str">
        <f>B17</f>
        <v>交通便捷度</v>
      </c>
      <c r="R17" s="666" t="s">
        <v>14</v>
      </c>
      <c r="S17" s="667">
        <f>F17</f>
        <v>100</v>
      </c>
      <c r="T17" s="666" t="s">
        <v>14</v>
      </c>
      <c r="U17" s="667">
        <f>H17</f>
        <v>100</v>
      </c>
      <c r="V17" s="666" t="s">
        <v>14</v>
      </c>
      <c r="W17" s="667">
        <f>J17</f>
        <v>100</v>
      </c>
      <c r="X17" s="1263"/>
      <c r="Y17" s="3439"/>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39"/>
      <c r="Q18" s="1261"/>
      <c r="R18" s="666"/>
      <c r="S18" s="667"/>
      <c r="T18" s="666"/>
      <c r="U18" s="667"/>
      <c r="V18" s="666"/>
      <c r="W18" s="667"/>
      <c r="X18" s="1263"/>
      <c r="Y18" s="3439"/>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39"/>
      <c r="Q19" s="1261" t="str">
        <f t="shared" ref="Q19:Q33" si="8">B19</f>
        <v>区域土地利用方向</v>
      </c>
      <c r="R19" s="666" t="s">
        <v>14</v>
      </c>
      <c r="S19" s="667">
        <f>F19</f>
        <v>100</v>
      </c>
      <c r="T19" s="666" t="s">
        <v>14</v>
      </c>
      <c r="U19" s="667">
        <f>H19</f>
        <v>100</v>
      </c>
      <c r="V19" s="666" t="s">
        <v>14</v>
      </c>
      <c r="W19" s="667">
        <f>J19</f>
        <v>100</v>
      </c>
      <c r="X19" s="1263"/>
      <c r="Y19" s="3439"/>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39"/>
      <c r="Q20" s="1261"/>
      <c r="R20" s="666"/>
      <c r="S20" s="667"/>
      <c r="T20" s="666"/>
      <c r="U20" s="667"/>
      <c r="V20" s="666"/>
      <c r="W20" s="667"/>
      <c r="X20" s="1263"/>
      <c r="Y20" s="3439"/>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39"/>
      <c r="Q21" s="1261" t="str">
        <f t="shared" si="8"/>
        <v>环境状况</v>
      </c>
      <c r="R21" s="666" t="s">
        <v>14</v>
      </c>
      <c r="S21" s="667">
        <f>F21</f>
        <v>100</v>
      </c>
      <c r="T21" s="666" t="s">
        <v>14</v>
      </c>
      <c r="U21" s="667">
        <f>H21</f>
        <v>100</v>
      </c>
      <c r="V21" s="666" t="s">
        <v>14</v>
      </c>
      <c r="W21" s="667">
        <f>J21</f>
        <v>100</v>
      </c>
      <c r="X21" s="1263"/>
      <c r="Y21" s="3439"/>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39"/>
      <c r="Q22" s="1261"/>
      <c r="R22" s="666"/>
      <c r="S22" s="667"/>
      <c r="T22" s="666"/>
      <c r="U22" s="667"/>
      <c r="V22" s="666"/>
      <c r="W22" s="667"/>
      <c r="X22" s="1263"/>
      <c r="Y22" s="3439"/>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39"/>
      <c r="Q23" s="529" t="str">
        <f t="shared" si="8"/>
        <v>公共配套设施</v>
      </c>
      <c r="R23" s="663" t="s">
        <v>14</v>
      </c>
      <c r="S23" s="664">
        <f>F23</f>
        <v>100</v>
      </c>
      <c r="T23" s="663" t="s">
        <v>14</v>
      </c>
      <c r="U23" s="664">
        <f>H23</f>
        <v>100</v>
      </c>
      <c r="V23" s="663" t="s">
        <v>14</v>
      </c>
      <c r="W23" s="664">
        <f>J23</f>
        <v>100</v>
      </c>
      <c r="X23" s="665"/>
      <c r="Y23" s="3439"/>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39"/>
      <c r="Q24" s="529"/>
      <c r="R24" s="663"/>
      <c r="S24" s="664"/>
      <c r="T24" s="663"/>
      <c r="U24" s="664"/>
      <c r="V24" s="663"/>
      <c r="W24" s="664"/>
      <c r="X24" s="665"/>
      <c r="Y24" s="3439"/>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39"/>
      <c r="Q25" s="529" t="str">
        <f>B25</f>
        <v>基础设施水平</v>
      </c>
      <c r="R25" s="663" t="s">
        <v>14</v>
      </c>
      <c r="S25" s="664">
        <f>F25</f>
        <v>100</v>
      </c>
      <c r="T25" s="663" t="s">
        <v>14</v>
      </c>
      <c r="U25" s="664">
        <f>H25</f>
        <v>100</v>
      </c>
      <c r="V25" s="663" t="s">
        <v>14</v>
      </c>
      <c r="W25" s="664">
        <f>J25</f>
        <v>100</v>
      </c>
      <c r="X25" s="665"/>
      <c r="Y25" s="3439"/>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39"/>
      <c r="Q26" s="529"/>
      <c r="R26" s="663"/>
      <c r="S26" s="664"/>
      <c r="T26" s="663"/>
      <c r="U26" s="664"/>
      <c r="V26" s="663"/>
      <c r="W26" s="664"/>
      <c r="X26" s="665"/>
      <c r="Y26" s="3439"/>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39"/>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39"/>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39"/>
      <c r="Q28" s="1261" t="str">
        <f t="shared" si="8"/>
        <v>毗邻道路的类型与等级</v>
      </c>
      <c r="R28" s="666" t="s">
        <v>14</v>
      </c>
      <c r="S28" s="667">
        <f t="shared" si="9"/>
        <v>100</v>
      </c>
      <c r="T28" s="666" t="s">
        <v>14</v>
      </c>
      <c r="U28" s="667">
        <f t="shared" si="10"/>
        <v>100</v>
      </c>
      <c r="V28" s="666" t="s">
        <v>14</v>
      </c>
      <c r="W28" s="667">
        <f t="shared" si="11"/>
        <v>100</v>
      </c>
      <c r="X28" s="1263"/>
      <c r="Y28" s="3439"/>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39"/>
      <c r="Q29" s="1261"/>
      <c r="R29" s="666"/>
      <c r="S29" s="667"/>
      <c r="T29" s="666"/>
      <c r="U29" s="667"/>
      <c r="V29" s="666"/>
      <c r="W29" s="667"/>
      <c r="X29" s="1263"/>
      <c r="Y29" s="3439"/>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39"/>
      <c r="Q30" s="1261" t="str">
        <f t="shared" si="8"/>
        <v>土地级别</v>
      </c>
      <c r="R30" s="666" t="s">
        <v>14</v>
      </c>
      <c r="S30" s="667">
        <f t="shared" si="9"/>
        <v>100</v>
      </c>
      <c r="T30" s="666" t="s">
        <v>14</v>
      </c>
      <c r="U30" s="667">
        <f t="shared" si="10"/>
        <v>100</v>
      </c>
      <c r="V30" s="666" t="s">
        <v>14</v>
      </c>
      <c r="W30" s="667">
        <f t="shared" si="11"/>
        <v>100</v>
      </c>
      <c r="X30" s="1263"/>
      <c r="Y30" s="3439"/>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39"/>
      <c r="Q31" s="1261">
        <f t="shared" si="8"/>
        <v>111</v>
      </c>
      <c r="R31" s="666" t="s">
        <v>14</v>
      </c>
      <c r="S31" s="667">
        <f t="shared" si="9"/>
        <v>100</v>
      </c>
      <c r="T31" s="666" t="s">
        <v>14</v>
      </c>
      <c r="U31" s="667">
        <f t="shared" si="10"/>
        <v>100</v>
      </c>
      <c r="V31" s="666" t="s">
        <v>14</v>
      </c>
      <c r="W31" s="667">
        <f t="shared" si="11"/>
        <v>100</v>
      </c>
      <c r="X31" s="1263"/>
      <c r="Y31" s="3439"/>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3" t="s">
        <v>1696</v>
      </c>
      <c r="Q32" s="1261">
        <f t="shared" si="8"/>
        <v>111</v>
      </c>
      <c r="R32" s="666" t="s">
        <v>14</v>
      </c>
      <c r="S32" s="667">
        <f t="shared" si="9"/>
        <v>100</v>
      </c>
      <c r="T32" s="666" t="s">
        <v>14</v>
      </c>
      <c r="U32" s="667">
        <f t="shared" si="10"/>
        <v>100</v>
      </c>
      <c r="V32" s="666" t="s">
        <v>14</v>
      </c>
      <c r="W32" s="667">
        <f t="shared" si="11"/>
        <v>100</v>
      </c>
      <c r="X32" s="1263"/>
      <c r="Y32" s="3443"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3"/>
      <c r="Q33" s="1261">
        <f t="shared" si="8"/>
        <v>111</v>
      </c>
      <c r="R33" s="668" t="s">
        <v>14</v>
      </c>
      <c r="S33" s="669">
        <f t="shared" si="9"/>
        <v>100</v>
      </c>
      <c r="T33" s="668" t="s">
        <v>14</v>
      </c>
      <c r="U33" s="669">
        <f t="shared" si="10"/>
        <v>100</v>
      </c>
      <c r="V33" s="668" t="s">
        <v>14</v>
      </c>
      <c r="W33" s="669">
        <f t="shared" si="11"/>
        <v>100</v>
      </c>
      <c r="X33" s="670"/>
      <c r="Y33" s="3443"/>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3"/>
      <c r="Q34" s="1261" t="str">
        <f>B34</f>
        <v>宗地面积</v>
      </c>
      <c r="R34" s="666" t="s">
        <v>14</v>
      </c>
      <c r="S34" s="667" t="e">
        <f t="shared" si="9"/>
        <v>#N/A</v>
      </c>
      <c r="T34" s="666" t="s">
        <v>14</v>
      </c>
      <c r="U34" s="667" t="e">
        <f t="shared" si="10"/>
        <v>#N/A</v>
      </c>
      <c r="V34" s="666" t="s">
        <v>14</v>
      </c>
      <c r="W34" s="667" t="e">
        <f t="shared" si="11"/>
        <v>#N/A</v>
      </c>
      <c r="X34" s="1263"/>
      <c r="Y34" s="3443"/>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3"/>
      <c r="Q35" s="1261" t="str">
        <f t="shared" ref="Q35:Q40" si="13">B35</f>
        <v>宗地形状</v>
      </c>
      <c r="R35" s="666" t="s">
        <v>14</v>
      </c>
      <c r="S35" s="667">
        <f t="shared" si="9"/>
        <v>100</v>
      </c>
      <c r="T35" s="666" t="s">
        <v>14</v>
      </c>
      <c r="U35" s="667">
        <f t="shared" si="10"/>
        <v>100</v>
      </c>
      <c r="V35" s="666" t="s">
        <v>14</v>
      </c>
      <c r="W35" s="667">
        <f t="shared" si="11"/>
        <v>100</v>
      </c>
      <c r="X35" s="1263"/>
      <c r="Y35" s="3443"/>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3"/>
      <c r="Q36" s="1261" t="str">
        <f t="shared" si="13"/>
        <v>宗地开发程度</v>
      </c>
      <c r="R36" s="663" t="s">
        <v>14</v>
      </c>
      <c r="S36" s="664">
        <f t="shared" si="9"/>
        <v>100</v>
      </c>
      <c r="T36" s="663" t="s">
        <v>14</v>
      </c>
      <c r="U36" s="664">
        <f t="shared" si="10"/>
        <v>100</v>
      </c>
      <c r="V36" s="663" t="s">
        <v>14</v>
      </c>
      <c r="W36" s="664">
        <f t="shared" si="11"/>
        <v>100</v>
      </c>
      <c r="X36" s="665"/>
      <c r="Y36" s="3443"/>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3" t="s">
        <v>1696</v>
      </c>
      <c r="Q37" s="1261" t="str">
        <f t="shared" si="13"/>
        <v>工程地质条件</v>
      </c>
      <c r="R37" s="666" t="s">
        <v>14</v>
      </c>
      <c r="S37" s="667">
        <f t="shared" si="9"/>
        <v>100</v>
      </c>
      <c r="T37" s="666" t="s">
        <v>14</v>
      </c>
      <c r="U37" s="667">
        <f t="shared" si="10"/>
        <v>100</v>
      </c>
      <c r="V37" s="666" t="s">
        <v>14</v>
      </c>
      <c r="W37" s="667">
        <f t="shared" si="11"/>
        <v>100</v>
      </c>
      <c r="X37" s="1263"/>
      <c r="Y37" s="3443"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3"/>
      <c r="Q38" s="1261">
        <f t="shared" si="13"/>
        <v>111</v>
      </c>
      <c r="R38" s="666" t="s">
        <v>14</v>
      </c>
      <c r="S38" s="667">
        <f t="shared" si="9"/>
        <v>100</v>
      </c>
      <c r="T38" s="666" t="s">
        <v>14</v>
      </c>
      <c r="U38" s="667">
        <f t="shared" si="10"/>
        <v>100</v>
      </c>
      <c r="V38" s="666" t="s">
        <v>14</v>
      </c>
      <c r="W38" s="667">
        <f t="shared" si="11"/>
        <v>100</v>
      </c>
      <c r="X38" s="1263"/>
      <c r="Y38" s="3443"/>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3"/>
      <c r="Q39" s="1261">
        <f t="shared" si="13"/>
        <v>111</v>
      </c>
      <c r="R39" s="666" t="s">
        <v>14</v>
      </c>
      <c r="S39" s="667">
        <f t="shared" si="9"/>
        <v>100</v>
      </c>
      <c r="T39" s="666" t="s">
        <v>14</v>
      </c>
      <c r="U39" s="667">
        <f t="shared" si="10"/>
        <v>100</v>
      </c>
      <c r="V39" s="666" t="s">
        <v>14</v>
      </c>
      <c r="W39" s="667">
        <f t="shared" si="11"/>
        <v>100</v>
      </c>
      <c r="X39" s="1263"/>
      <c r="Y39" s="3443"/>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3"/>
      <c r="Q40" s="1261">
        <f t="shared" si="13"/>
        <v>111</v>
      </c>
      <c r="R40" s="668" t="s">
        <v>14</v>
      </c>
      <c r="S40" s="669">
        <f t="shared" si="9"/>
        <v>100</v>
      </c>
      <c r="T40" s="668" t="s">
        <v>14</v>
      </c>
      <c r="U40" s="669">
        <f t="shared" si="10"/>
        <v>100</v>
      </c>
      <c r="V40" s="668" t="s">
        <v>14</v>
      </c>
      <c r="W40" s="669">
        <f t="shared" si="11"/>
        <v>100</v>
      </c>
      <c r="X40" s="670"/>
      <c r="Y40" s="3443"/>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7" t="str">
        <f>A41</f>
        <v>成交单价</v>
      </c>
      <c r="Q41" s="3437"/>
      <c r="R41" s="3432">
        <f>E41</f>
        <v>0</v>
      </c>
      <c r="S41" s="3432"/>
      <c r="T41" s="3432">
        <f>G41</f>
        <v>0</v>
      </c>
      <c r="U41" s="3432"/>
      <c r="V41" s="3432">
        <f>I41</f>
        <v>0</v>
      </c>
      <c r="W41" s="3432"/>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7" t="str">
        <f>A42</f>
        <v>比较价值（元/平方米）</v>
      </c>
      <c r="Q42" s="3437"/>
      <c r="R42" s="3465" t="e">
        <f>ROUND(PRODUCT(R41,AA7:AA40),0)</f>
        <v>#DIV/0!</v>
      </c>
      <c r="S42" s="3465"/>
      <c r="T42" s="3465" t="e">
        <f>ROUND(PRODUCT(T41,AB7:AB40),0)</f>
        <v>#DIV/0!</v>
      </c>
      <c r="U42" s="3465"/>
      <c r="V42" s="3465" t="e">
        <f>ROUND(PRODUCT(V41,AC7:AC40),0)</f>
        <v>#DIV/0!</v>
      </c>
      <c r="W42" s="3465"/>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4" t="str">
        <f>A43</f>
        <v>估价对象XX用房的比较价值（楼面单价，元/平方米）</v>
      </c>
      <c r="Q43" s="3435"/>
      <c r="R43" s="3466" t="e">
        <f>ROUND(IF(D42="简单平均",AVERAGE(R42:W42),R42*F42+T42*H42+V42*J42),0)</f>
        <v>#DIV/0!</v>
      </c>
      <c r="S43" s="3466"/>
      <c r="T43" s="3466"/>
      <c r="U43" s="3466"/>
      <c r="V43" s="3466"/>
      <c r="W43" s="3466"/>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0" t="s">
        <v>1884</v>
      </c>
      <c r="H50" s="3467"/>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45.34</v>
      </c>
      <c r="F51" s="610" t="e">
        <f t="shared" ref="F51:F60" si="14">ROUND(B51*E51/10000,0)</f>
        <v>#DIV/0!</v>
      </c>
      <c r="G51" s="3419"/>
      <c r="H51" s="3437"/>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5"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6"/>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6"/>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2023-12-1</v>
      </c>
      <c r="D63" s="655">
        <f>EDATE(C63,-3)</f>
        <v>45170</v>
      </c>
      <c r="E63" s="655">
        <f>EDATE(D63,-3)</f>
        <v>45078</v>
      </c>
      <c r="F63" s="655">
        <f t="shared" ref="F63:O63" si="17">EDATE(E63,-3)</f>
        <v>44986</v>
      </c>
      <c r="G63" s="655">
        <f t="shared" si="17"/>
        <v>44896</v>
      </c>
      <c r="H63" s="655">
        <f t="shared" si="17"/>
        <v>44805</v>
      </c>
      <c r="I63" s="655">
        <f t="shared" si="17"/>
        <v>44713</v>
      </c>
      <c r="J63" s="655">
        <f t="shared" si="17"/>
        <v>44621</v>
      </c>
      <c r="K63" s="655">
        <f t="shared" si="17"/>
        <v>44531</v>
      </c>
      <c r="L63" s="655">
        <f t="shared" si="17"/>
        <v>44440</v>
      </c>
      <c r="M63" s="655">
        <f t="shared" si="17"/>
        <v>44348</v>
      </c>
      <c r="N63" s="655">
        <f t="shared" si="17"/>
        <v>44256</v>
      </c>
      <c r="O63" s="655">
        <f t="shared" si="17"/>
        <v>44166</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2023-4</v>
      </c>
      <c r="D65" s="1099" t="str">
        <f t="shared" ref="D65:O65" si="18">YEAR(D63)&amp;"-"&amp;ROUNDUP(MONTH(D63)/3,0)</f>
        <v>2023-3</v>
      </c>
      <c r="E65" s="1099" t="str">
        <f t="shared" si="18"/>
        <v>2023-2</v>
      </c>
      <c r="F65" s="1099" t="str">
        <f t="shared" si="18"/>
        <v>2023-1</v>
      </c>
      <c r="G65" s="1099" t="str">
        <f t="shared" si="18"/>
        <v>2022-4</v>
      </c>
      <c r="H65" s="1099" t="str">
        <f t="shared" si="18"/>
        <v>2022-3</v>
      </c>
      <c r="I65" s="1099" t="str">
        <f t="shared" si="18"/>
        <v>2022-2</v>
      </c>
      <c r="J65" s="1099" t="str">
        <f t="shared" si="18"/>
        <v>2022-1</v>
      </c>
      <c r="K65" s="1099" t="str">
        <f t="shared" si="18"/>
        <v>2021-4</v>
      </c>
      <c r="L65" s="1099" t="str">
        <f t="shared" si="18"/>
        <v>2021-3</v>
      </c>
      <c r="M65" s="1099" t="str">
        <f t="shared" si="18"/>
        <v>2021-2</v>
      </c>
      <c r="N65" s="1099" t="str">
        <f t="shared" si="18"/>
        <v>2021-1</v>
      </c>
      <c r="O65" s="1099" t="str">
        <f t="shared" si="18"/>
        <v>2020-4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5" t="s">
        <v>2081</v>
      </c>
      <c r="D1" s="3476"/>
      <c r="E1" s="3476"/>
      <c r="F1" s="3476"/>
      <c r="G1" s="3476"/>
      <c r="H1" s="3476"/>
      <c r="I1" s="3476"/>
      <c r="J1" s="3476"/>
      <c r="K1" s="3476"/>
      <c r="L1" s="3476"/>
      <c r="M1" s="3476"/>
      <c r="N1" s="3476"/>
      <c r="O1" s="3476"/>
      <c r="P1" s="3476"/>
      <c r="Q1" s="3476"/>
      <c r="R1" s="3476"/>
      <c r="S1" s="3477"/>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126</v>
      </c>
      <c r="C2" s="1979" t="s">
        <v>2071</v>
      </c>
      <c r="D2" s="1979" t="s">
        <v>2072</v>
      </c>
      <c r="E2" s="2392">
        <f ca="1">SUMIF(E6:E13,"&lt;&gt;#ref!",E6:E13)</f>
        <v>45.34</v>
      </c>
      <c r="F2" s="2539"/>
      <c r="G2" s="2539"/>
      <c r="H2" s="2539"/>
      <c r="I2" s="2539"/>
      <c r="J2" s="2539"/>
      <c r="K2" s="2539"/>
      <c r="L2" s="2539"/>
      <c r="M2" s="2539"/>
      <c r="N2" s="2539"/>
      <c r="O2" s="2539"/>
      <c r="P2" s="2539"/>
    </row>
    <row r="3" spans="1:16" ht="15.75">
      <c r="A3" s="1979" t="s">
        <v>2073</v>
      </c>
      <c r="B3" s="2382">
        <f ca="1">ROUND(B2*10000/E2,0)</f>
        <v>27790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126</v>
      </c>
      <c r="C6" s="1979" t="s">
        <v>2071</v>
      </c>
      <c r="D6" s="2539"/>
      <c r="E6" s="2392">
        <f ca="1">SUMIF(INDIRECT("'"&amp;A6&amp;"'"&amp;"!C:C"),"建筑面积",INDIRECT("'"&amp;A6&amp;"'"&amp;"!D:D"))</f>
        <v>45.34</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35"/>
  <sheetViews>
    <sheetView topLeftCell="A22" workbookViewId="0">
      <selection activeCell="AD18" sqref="AD18"/>
    </sheetView>
  </sheetViews>
  <sheetFormatPr defaultRowHeight="13.5"/>
  <cols>
    <col min="1" max="1" width="9" style="3143"/>
    <col min="2" max="2" width="34.25" style="3143" customWidth="1"/>
    <col min="3" max="3" width="14.375" style="3143" customWidth="1"/>
    <col min="4" max="5" width="9" style="3143"/>
    <col min="6" max="6" width="13.625" style="3143" customWidth="1"/>
    <col min="7" max="10" width="9" style="3143"/>
    <col min="11" max="11" width="11" style="3143" customWidth="1"/>
    <col min="12" max="12" width="11.625" style="3143" bestFit="1" customWidth="1"/>
    <col min="13" max="13" width="6.875" style="3143" customWidth="1"/>
    <col min="14" max="16" width="9" style="3143"/>
    <col min="17" max="17" width="15.5" style="3143" customWidth="1"/>
    <col min="18" max="18" width="9" style="3143"/>
    <col min="19" max="19" width="10.5" style="3143" bestFit="1" customWidth="1"/>
    <col min="20" max="20" width="9.5" style="3143" bestFit="1" customWidth="1"/>
    <col min="21" max="21" width="10.5" style="3143" bestFit="1" customWidth="1"/>
    <col min="22" max="16384" width="9" style="3143"/>
  </cols>
  <sheetData>
    <row r="1" spans="1:15">
      <c r="B1" s="1446" t="s">
        <v>3376</v>
      </c>
      <c r="C1" s="1446" t="s">
        <v>669</v>
      </c>
      <c r="D1" s="1446" t="s">
        <v>3377</v>
      </c>
      <c r="E1" s="1446" t="s">
        <v>3378</v>
      </c>
      <c r="F1" s="1446" t="s">
        <v>3452</v>
      </c>
      <c r="G1" s="1446" t="s">
        <v>3379</v>
      </c>
      <c r="H1" s="1446" t="s">
        <v>3380</v>
      </c>
      <c r="I1" s="1446" t="s">
        <v>3381</v>
      </c>
      <c r="J1" s="1446" t="s">
        <v>3382</v>
      </c>
      <c r="K1" s="1446" t="s">
        <v>3383</v>
      </c>
      <c r="L1" s="1446" t="s">
        <v>3384</v>
      </c>
      <c r="M1" s="1446" t="s">
        <v>3390</v>
      </c>
      <c r="N1" s="1446" t="s">
        <v>3391</v>
      </c>
      <c r="O1" s="1446" t="s">
        <v>3426</v>
      </c>
    </row>
    <row r="2" spans="1:15" ht="24.75" customHeight="1">
      <c r="A2" s="3148">
        <v>1</v>
      </c>
      <c r="B2" s="1446" t="s">
        <v>3465</v>
      </c>
      <c r="C2" s="1446" t="s">
        <v>3467</v>
      </c>
      <c r="D2" s="1446" t="s">
        <v>3424</v>
      </c>
      <c r="E2" s="3143">
        <v>64.91</v>
      </c>
      <c r="F2" s="1446" t="s">
        <v>3470</v>
      </c>
      <c r="G2" s="3143">
        <v>18</v>
      </c>
      <c r="H2" s="3143">
        <v>6</v>
      </c>
      <c r="I2" s="1446">
        <v>1989</v>
      </c>
      <c r="J2" s="3143">
        <v>83192</v>
      </c>
      <c r="K2" s="3143">
        <v>79292</v>
      </c>
      <c r="L2" s="3153">
        <v>45069</v>
      </c>
      <c r="M2" s="1446" t="s">
        <v>3435</v>
      </c>
      <c r="N2" s="1446" t="s">
        <v>3425</v>
      </c>
      <c r="O2" s="1446" t="s">
        <v>3427</v>
      </c>
    </row>
    <row r="3" spans="1:15" ht="34.5" customHeight="1">
      <c r="A3" s="3139">
        <v>2</v>
      </c>
      <c r="B3" s="1446" t="s">
        <v>3466</v>
      </c>
      <c r="C3" s="1446" t="s">
        <v>3467</v>
      </c>
      <c r="D3" s="1446" t="s">
        <v>3424</v>
      </c>
      <c r="E3" s="3143">
        <v>67.12</v>
      </c>
      <c r="F3" s="1446" t="s">
        <v>3470</v>
      </c>
      <c r="G3" s="3143">
        <v>18</v>
      </c>
      <c r="H3" s="3143">
        <v>6</v>
      </c>
      <c r="I3" s="1446">
        <v>1989</v>
      </c>
      <c r="J3" s="3143">
        <v>81943</v>
      </c>
      <c r="K3" s="1446">
        <v>80508</v>
      </c>
      <c r="L3" s="3153">
        <v>44988</v>
      </c>
      <c r="M3" s="1446" t="s">
        <v>3436</v>
      </c>
      <c r="N3" s="1446" t="s">
        <v>3425</v>
      </c>
      <c r="O3" s="1446" t="s">
        <v>3427</v>
      </c>
    </row>
    <row r="4" spans="1:15">
      <c r="A4" s="3143">
        <v>3</v>
      </c>
      <c r="B4" s="1446" t="s">
        <v>3468</v>
      </c>
      <c r="C4" s="1446" t="s">
        <v>3467</v>
      </c>
      <c r="D4" s="1446" t="s">
        <v>3424</v>
      </c>
      <c r="E4" s="3143">
        <v>71.42</v>
      </c>
      <c r="F4" s="1446" t="s">
        <v>3458</v>
      </c>
      <c r="G4" s="3143">
        <v>18</v>
      </c>
      <c r="H4" s="3143">
        <v>16</v>
      </c>
      <c r="I4" s="1446">
        <v>1987</v>
      </c>
      <c r="J4" s="3143">
        <v>91991</v>
      </c>
      <c r="K4" s="1446">
        <v>86280</v>
      </c>
      <c r="L4" s="3153">
        <v>44937</v>
      </c>
      <c r="M4" s="1446" t="s">
        <v>3441</v>
      </c>
      <c r="N4" s="1446" t="s">
        <v>3425</v>
      </c>
      <c r="O4" s="1446" t="s">
        <v>3427</v>
      </c>
    </row>
    <row r="6" spans="1:15">
      <c r="A6" s="3148"/>
    </row>
    <row r="7" spans="1:15" ht="43.5" customHeight="1">
      <c r="A7" s="3139"/>
    </row>
    <row r="14" spans="1:15" ht="24.75" customHeight="1"/>
    <row r="15" spans="1:15" ht="24.75" customHeight="1"/>
    <row r="16" spans="1:15" ht="24.75" customHeight="1"/>
    <row r="17" spans="9:15" ht="24.75" customHeight="1"/>
    <row r="18" spans="9:15" ht="24.75" customHeight="1"/>
    <row r="19" spans="9:15" ht="24.75" customHeight="1"/>
    <row r="20" spans="9:15" ht="24.75" customHeight="1"/>
    <row r="21" spans="9:15" ht="24.75" customHeight="1"/>
    <row r="22" spans="9:15" ht="24.75" customHeight="1"/>
    <row r="23" spans="9:15" ht="24.75" customHeight="1">
      <c r="I23" s="1446" t="s">
        <v>3432</v>
      </c>
    </row>
    <row r="24" spans="9:15" ht="24.75" customHeight="1">
      <c r="I24" s="1446" t="s">
        <v>3428</v>
      </c>
      <c r="J24" s="1446" t="s">
        <v>3429</v>
      </c>
      <c r="K24" s="1446" t="s">
        <v>3430</v>
      </c>
    </row>
    <row r="25" spans="9:15" ht="24.75" customHeight="1">
      <c r="I25" s="3143">
        <v>8500</v>
      </c>
      <c r="J25" s="3143">
        <v>71.84</v>
      </c>
      <c r="K25" s="3143">
        <f>ROUND(I25/J25,2)</f>
        <v>118.32</v>
      </c>
      <c r="M25" s="3143">
        <f>140*67.61</f>
        <v>9465.4</v>
      </c>
    </row>
    <row r="26" spans="9:15" ht="24.75" customHeight="1">
      <c r="I26" s="3143">
        <v>7060</v>
      </c>
      <c r="J26" s="3143">
        <v>50</v>
      </c>
      <c r="K26" s="3143">
        <f>ROUND(I26/J26,2)</f>
        <v>141.19999999999999</v>
      </c>
    </row>
    <row r="27" spans="9:15" ht="24.75" customHeight="1">
      <c r="I27" s="3143">
        <v>6100</v>
      </c>
      <c r="J27" s="3143">
        <v>42.98</v>
      </c>
      <c r="K27" s="3143">
        <f t="shared" ref="K27:K32" si="0">ROUND(I27/J27,2)</f>
        <v>141.93</v>
      </c>
      <c r="M27" s="3143">
        <v>9000</v>
      </c>
      <c r="N27" s="3143">
        <v>67.61</v>
      </c>
      <c r="O27" s="3143">
        <f>ROUND(M27/N27,2)</f>
        <v>133.12</v>
      </c>
    </row>
    <row r="28" spans="9:15" ht="24.75" customHeight="1">
      <c r="I28" s="3143">
        <v>8530</v>
      </c>
      <c r="J28" s="3143">
        <v>63.47</v>
      </c>
      <c r="K28" s="3143">
        <f t="shared" si="0"/>
        <v>134.38999999999999</v>
      </c>
      <c r="M28" s="3143">
        <v>6800</v>
      </c>
      <c r="N28" s="3143">
        <v>46</v>
      </c>
    </row>
    <row r="29" spans="9:15" ht="24.75" customHeight="1">
      <c r="I29" s="3143">
        <v>6000</v>
      </c>
      <c r="J29" s="3143">
        <v>55.69</v>
      </c>
      <c r="K29" s="3143">
        <f t="shared" si="0"/>
        <v>107.74</v>
      </c>
      <c r="M29" s="3143">
        <v>6500</v>
      </c>
      <c r="N29" s="3143">
        <v>45</v>
      </c>
      <c r="O29" s="3143">
        <f>ROUND(M29/N29,2)</f>
        <v>144.44</v>
      </c>
    </row>
    <row r="30" spans="9:15" ht="24.75" customHeight="1">
      <c r="I30" s="3143">
        <v>7360</v>
      </c>
      <c r="J30" s="3143">
        <v>54.21</v>
      </c>
      <c r="K30" s="3143">
        <f t="shared" si="0"/>
        <v>135.77000000000001</v>
      </c>
      <c r="M30" s="3143">
        <v>8000</v>
      </c>
      <c r="N30" s="3143">
        <v>56</v>
      </c>
      <c r="O30" s="3143">
        <f>ROUND(M30/N30,2)</f>
        <v>142.86000000000001</v>
      </c>
    </row>
    <row r="31" spans="9:15" ht="24.75" customHeight="1">
      <c r="I31" s="3143">
        <v>7300</v>
      </c>
      <c r="J31" s="3143">
        <v>53.36</v>
      </c>
      <c r="K31" s="3143">
        <f t="shared" si="0"/>
        <v>136.81</v>
      </c>
      <c r="M31" s="3143">
        <v>7800</v>
      </c>
      <c r="N31" s="3143">
        <v>45.76</v>
      </c>
    </row>
    <row r="32" spans="9:15" ht="24.75" customHeight="1">
      <c r="I32" s="3143">
        <v>8290</v>
      </c>
      <c r="J32" s="3143">
        <v>54.74</v>
      </c>
      <c r="K32" s="3143">
        <f t="shared" si="0"/>
        <v>151.44</v>
      </c>
      <c r="M32" s="3143">
        <v>8000</v>
      </c>
      <c r="N32" s="3143">
        <v>45</v>
      </c>
    </row>
    <row r="33" spans="9:15">
      <c r="I33" s="3478" t="s">
        <v>3431</v>
      </c>
      <c r="J33" s="3479"/>
      <c r="K33" s="3143">
        <f>ROUND(AVERAGE(K25:K32),2)</f>
        <v>133.44999999999999</v>
      </c>
      <c r="M33" s="3143">
        <v>7200</v>
      </c>
      <c r="N33" s="3143">
        <v>52.71</v>
      </c>
      <c r="O33" s="3143">
        <f>ROUND(M33/N33,2)</f>
        <v>136.6</v>
      </c>
    </row>
    <row r="34" spans="9:15">
      <c r="K34" s="3143">
        <f>K33*'数据-基础表'!I13</f>
        <v>6050.6229999999996</v>
      </c>
      <c r="M34" s="3143">
        <v>8300</v>
      </c>
      <c r="N34" s="3143">
        <v>51.97</v>
      </c>
    </row>
    <row r="35" spans="9:15">
      <c r="M35" s="3478" t="s">
        <v>3431</v>
      </c>
      <c r="N35" s="3479"/>
      <c r="O35" s="3143">
        <f>ROUND(AVERAGE(O27:O34),2)</f>
        <v>139.26</v>
      </c>
    </row>
  </sheetData>
  <mergeCells count="2">
    <mergeCell ref="I33:J33"/>
    <mergeCell ref="M35:N35"/>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7">
        <f ca="1">ROUND(IF(D2="——",C52/10000,C52/10000-E2),4)</f>
        <v>212.8792</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46952</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1303954.02</v>
      </c>
      <c r="D5" s="202" t="s">
        <v>1469</v>
      </c>
      <c r="E5" s="203" t="s">
        <v>1470</v>
      </c>
      <c r="F5" s="203" t="s">
        <v>1471</v>
      </c>
      <c r="G5" s="204"/>
    </row>
    <row r="6" spans="1:8" s="205" customFormat="1" ht="13.5" customHeight="1">
      <c r="A6" s="731" t="s">
        <v>1472</v>
      </c>
      <c r="B6" s="206" t="s">
        <v>1473</v>
      </c>
      <c r="C6" s="207">
        <f>基准地价修正!C33*基准地价修正!D33</f>
        <v>1258321.02</v>
      </c>
      <c r="D6" s="208"/>
      <c r="E6" s="209"/>
      <c r="F6" s="209"/>
      <c r="G6" s="210"/>
    </row>
    <row r="7" spans="1:8" s="205" customFormat="1" ht="13.5" customHeight="1">
      <c r="A7" s="731" t="s">
        <v>1474</v>
      </c>
      <c r="B7" s="206" t="s">
        <v>1475</v>
      </c>
      <c r="C7" s="211">
        <f>ROUND(C6*F7,0)</f>
        <v>38379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7254</v>
      </c>
      <c r="D8" s="213"/>
      <c r="E8" s="211"/>
      <c r="F8" s="212"/>
      <c r="G8" s="1712" t="s">
        <v>3409</v>
      </c>
    </row>
    <row r="9" spans="1:8" s="205" customFormat="1" ht="13.5" customHeight="1">
      <c r="A9" s="732" t="s">
        <v>355</v>
      </c>
      <c r="B9" s="215" t="s">
        <v>1478</v>
      </c>
      <c r="C9" s="216">
        <f ca="1">ROUND(D9*E9,0)</f>
        <v>7254</v>
      </c>
      <c r="D9" s="794">
        <f ca="1">IF(B1="",'数据-汇总表'!E5,IF(INDIRECT("'数据-取费表'!c"&amp;$G$1)="住宅",INDIRECT("'数据-取费表'!k"&amp;$G$1),0))</f>
        <v>45.34</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45.34</v>
      </c>
      <c r="E19" s="202">
        <f>'数据-取费表'!B31</f>
        <v>200</v>
      </c>
      <c r="F19" s="222"/>
      <c r="G19" s="1712" t="s">
        <v>3410</v>
      </c>
    </row>
    <row r="20" spans="1:7" s="205" customFormat="1" ht="13.5" customHeight="1">
      <c r="A20" s="246" t="s">
        <v>1574</v>
      </c>
      <c r="B20" s="201" t="s">
        <v>1575</v>
      </c>
      <c r="C20" s="223">
        <f ca="1">ROUND((C5+C19)*F20,0)</f>
        <v>26079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128057</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126818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1239</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332508</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ROUND((C5+C19+C20)*F27,0)</f>
        <v>332508</v>
      </c>
      <c r="D28" s="226"/>
      <c r="E28" s="227"/>
      <c r="F28" s="237"/>
      <c r="G28" s="238"/>
    </row>
    <row r="29" spans="1:7" s="205" customFormat="1" ht="13.5" customHeight="1">
      <c r="A29" s="733" t="s">
        <v>347</v>
      </c>
      <c r="B29" s="239" t="s">
        <v>1517</v>
      </c>
      <c r="C29" s="229">
        <f ca="1">ROUND(C21*F27,4)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1944822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182834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158690</v>
      </c>
      <c r="D34" s="208"/>
      <c r="E34" s="211"/>
      <c r="F34" s="248"/>
      <c r="G34" s="210"/>
    </row>
    <row r="35" spans="1:7" ht="13.5" customHeight="1">
      <c r="A35" s="733" t="s">
        <v>351</v>
      </c>
      <c r="B35" s="206" t="s">
        <v>1527</v>
      </c>
      <c r="C35" s="211">
        <f ca="1">ROUND(C34*F35,0)</f>
        <v>4761</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7935</v>
      </c>
      <c r="D36" s="211"/>
      <c r="E36" s="211"/>
      <c r="F36" s="250">
        <f>'数据-取费表'!B34</f>
        <v>0.05</v>
      </c>
      <c r="G36" s="251" t="s">
        <v>1530</v>
      </c>
    </row>
    <row r="37" spans="1:7" s="249" customFormat="1" ht="13.5" customHeight="1">
      <c r="A37" s="733" t="s">
        <v>353</v>
      </c>
      <c r="B37" s="206" t="s">
        <v>1531</v>
      </c>
      <c r="C37" s="240">
        <f ca="1">ROUND(E37*D37,0)</f>
        <v>9068</v>
      </c>
      <c r="D37" s="208">
        <f ca="1">D19</f>
        <v>45.34</v>
      </c>
      <c r="E37" s="240">
        <f>'数据-取费表'!B35</f>
        <v>200</v>
      </c>
      <c r="F37" s="250"/>
      <c r="G37" s="252"/>
    </row>
    <row r="38" spans="1:7" ht="13.5" customHeight="1">
      <c r="A38" s="733" t="s">
        <v>354</v>
      </c>
      <c r="B38" s="206" t="s">
        <v>1533</v>
      </c>
      <c r="C38" s="211">
        <f ca="1">ROUND(C34*F38,0)</f>
        <v>2380</v>
      </c>
      <c r="D38" s="211"/>
      <c r="E38" s="211"/>
      <c r="F38" s="250">
        <f>'数据-取费表'!B36</f>
        <v>1.4999999999999999E-2</v>
      </c>
      <c r="G38" s="210" t="s">
        <v>1528</v>
      </c>
    </row>
    <row r="39" spans="1:7" s="205" customFormat="1" ht="13.5" customHeight="1">
      <c r="A39" s="246" t="s">
        <v>1534</v>
      </c>
      <c r="B39" s="201" t="s">
        <v>1535</v>
      </c>
      <c r="C39" s="223">
        <f ca="1">ROUND(C33*F20,0)</f>
        <v>3657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8859</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8685</v>
      </c>
      <c r="D42" s="229"/>
      <c r="E42" s="229"/>
      <c r="F42" s="230"/>
      <c r="G42" s="3372" t="s">
        <v>1591</v>
      </c>
    </row>
    <row r="43" spans="1:7" ht="13.5" customHeight="1">
      <c r="A43" s="733" t="s">
        <v>347</v>
      </c>
      <c r="B43" s="206" t="s">
        <v>1545</v>
      </c>
      <c r="C43" s="229">
        <f ca="1">ROUND(IF('数据-取费表'!B22&lt;=1,C39*F22*'数据-取费表'!B20/2,C39*(POWER((1+F22),'数据-取费表'!B20/2)-1)),0)</f>
        <v>174</v>
      </c>
      <c r="D43" s="229"/>
      <c r="E43" s="229"/>
      <c r="F43" s="230"/>
      <c r="G43" s="3373"/>
    </row>
    <row r="44" spans="1:7" ht="13.5" customHeight="1">
      <c r="A44" s="733" t="s">
        <v>348</v>
      </c>
      <c r="B44" s="206" t="s">
        <v>1546</v>
      </c>
      <c r="C44" s="229">
        <f ca="1">ROUND(IF('数据-取费表'!B22&lt;=1,C40*F22*'数据-取费表'!B20/2,C40*(POWER((1+F22),'数据-取费表'!B20/2)-1)),4)</f>
        <v>1E-3</v>
      </c>
      <c r="D44" s="229"/>
      <c r="E44" s="229"/>
      <c r="F44" s="230"/>
      <c r="G44" s="3374"/>
    </row>
    <row r="45" spans="1:7" s="205" customFormat="1" ht="13.5" customHeight="1">
      <c r="A45" s="246" t="s">
        <v>1547</v>
      </c>
      <c r="B45" s="235" t="s">
        <v>1513</v>
      </c>
      <c r="C45" s="236">
        <f ca="1">C46</f>
        <v>46623</v>
      </c>
      <c r="D45" s="226">
        <f ca="1">C47</f>
        <v>5.0000000000000001E-3</v>
      </c>
      <c r="E45" s="227" t="s">
        <v>1539</v>
      </c>
      <c r="F45" s="237">
        <f ca="1">F27</f>
        <v>0.25</v>
      </c>
      <c r="G45" s="238" t="s">
        <v>1548</v>
      </c>
    </row>
    <row r="46" spans="1:7" s="205" customFormat="1" ht="13.5" customHeight="1">
      <c r="A46" s="733" t="s">
        <v>346</v>
      </c>
      <c r="B46" s="239" t="s">
        <v>1549</v>
      </c>
      <c r="C46" s="240">
        <f ca="1">ROUND((C33+C39)*F27,0)</f>
        <v>46623</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262814</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183970</v>
      </c>
      <c r="D51" s="223"/>
      <c r="E51" s="223"/>
      <c r="F51" s="255"/>
      <c r="G51" s="225" t="s">
        <v>1560</v>
      </c>
    </row>
    <row r="52" spans="1:7" s="199" customFormat="1" ht="16.5" thickBot="1">
      <c r="A52" s="256" t="s">
        <v>1561</v>
      </c>
      <c r="B52" s="257"/>
      <c r="C52" s="258">
        <f ca="1">C31+C51</f>
        <v>2128792</v>
      </c>
      <c r="D52" s="257"/>
      <c r="E52" s="257"/>
      <c r="F52" s="257"/>
      <c r="G52" s="259"/>
    </row>
    <row r="55" spans="1:7" ht="15">
      <c r="B55" s="261" t="s">
        <v>1562</v>
      </c>
      <c r="C55" s="262"/>
    </row>
    <row r="56" spans="1:7">
      <c r="B56" s="264" t="s">
        <v>802</v>
      </c>
      <c r="C56" s="266">
        <f ca="1">1-C57</f>
        <v>0.91400000000000003</v>
      </c>
    </row>
    <row r="57" spans="1:7">
      <c r="B57" s="264" t="s">
        <v>803</v>
      </c>
      <c r="C57" s="265">
        <f ca="1">ROUND(C51/C52,3)</f>
        <v>8.5999999999999993E-2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45.34</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126</v>
      </c>
      <c r="C2" s="1841" t="s">
        <v>1932</v>
      </c>
      <c r="D2" s="161" t="s">
        <v>1933</v>
      </c>
      <c r="E2" s="3115"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8">
        <f>ROUND(SUMPRODUCT((B106:B110=R2)*(C105:N105=G2)*(C106:N110)),4)</f>
        <v>1.5019</v>
      </c>
      <c r="T2" s="3058">
        <f t="shared" ref="T2:T16" si="0">ROUND($C$5*$C$22*$C$23*$C$24*S2*$C$28,0)</f>
        <v>44229</v>
      </c>
      <c r="U2" s="1128"/>
      <c r="V2" s="3058">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27790</v>
      </c>
      <c r="C3" s="1841" t="s">
        <v>1938</v>
      </c>
      <c r="D3" s="161" t="s">
        <v>1939</v>
      </c>
      <c r="E3" s="3113"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8">
        <f>ROUND(SUMPRODUCT((B106:B110=R3)*(C105:N105=G2)*(C106:N110)),4)</f>
        <v>1.1838</v>
      </c>
      <c r="T3" s="3058">
        <f t="shared" si="0"/>
        <v>34861</v>
      </c>
      <c r="U3" s="1128"/>
      <c r="V3" s="3058">
        <f t="shared" ref="V3:V16" si="1">ROUND(T3*U3/10000,0)</f>
        <v>0</v>
      </c>
      <c r="W3" s="1131"/>
      <c r="X3" s="1131"/>
      <c r="Y3" s="1131"/>
      <c r="Z3" s="1131"/>
      <c r="AA3" s="1131"/>
      <c r="AB3" s="1131"/>
      <c r="AC3" s="1132"/>
      <c r="AD3" s="1133"/>
      <c r="AE3" s="1133"/>
      <c r="AF3" s="1133"/>
      <c r="AG3" s="1133"/>
      <c r="AH3" s="1133"/>
      <c r="AI3" s="1133"/>
      <c r="AJ3" s="1134"/>
    </row>
    <row r="4" spans="1:36" ht="15.75">
      <c r="A4" s="3487"/>
      <c r="B4" s="3488"/>
      <c r="C4" s="3488"/>
      <c r="D4" s="3489"/>
      <c r="E4" s="3489"/>
      <c r="F4" s="3489"/>
      <c r="G4" s="3489"/>
      <c r="H4" s="3489"/>
      <c r="I4" s="3489"/>
      <c r="J4" s="3490"/>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8">
        <f>ROUND(SUMPRODUCT((B106:B110=R4)*(C105:N105=G2)*(C106:N110)),4)</f>
        <v>1.0004999999999999</v>
      </c>
      <c r="T4" s="3058">
        <f t="shared" si="0"/>
        <v>29464</v>
      </c>
      <c r="U4" s="1128"/>
      <c r="V4" s="3058">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8">
        <f>ROUND(SUMPRODUCT((B106:B110=R5)*(C105:N105=G2)*(C106:N110)),4)</f>
        <v>0.88239999999999996</v>
      </c>
      <c r="T5" s="3058">
        <f t="shared" si="0"/>
        <v>25986</v>
      </c>
      <c r="U5" s="1128"/>
      <c r="V5" s="3058">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8">
        <f>ROUND(SUMPRODUCT((B106:B110=R6)*(C105:N105=G2)*(C106:N110)),4)</f>
        <v>0.84799999999999998</v>
      </c>
      <c r="T6" s="3058">
        <f t="shared" si="0"/>
        <v>24973</v>
      </c>
      <c r="U6" s="1128"/>
      <c r="V6" s="3058">
        <f t="shared" si="1"/>
        <v>0</v>
      </c>
      <c r="W6" s="1131"/>
      <c r="X6" s="1131"/>
      <c r="Y6" s="1131"/>
      <c r="Z6" s="1131"/>
      <c r="AA6" s="1131"/>
      <c r="AB6" s="1131"/>
      <c r="AC6" s="1850"/>
      <c r="AD6" s="1851"/>
      <c r="AE6" s="1851"/>
      <c r="AF6" s="1851"/>
      <c r="AG6" s="1851"/>
      <c r="AH6" s="1851"/>
      <c r="AI6" s="1851"/>
      <c r="AJ6" s="1852"/>
    </row>
    <row r="7" spans="1:36" ht="24.75" thickBot="1">
      <c r="A7" s="3007"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2"/>
      <c r="T7" s="3058">
        <f t="shared" si="0"/>
        <v>0</v>
      </c>
      <c r="U7" s="1128"/>
      <c r="V7" s="3058">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4"/>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8">
        <f t="shared" si="0"/>
        <v>0</v>
      </c>
      <c r="U8" s="1128"/>
      <c r="V8" s="3058">
        <f t="shared" si="1"/>
        <v>0</v>
      </c>
      <c r="W8" s="3484" t="s">
        <v>1957</v>
      </c>
      <c r="X8" s="3485"/>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4"/>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8">
        <f t="shared" si="0"/>
        <v>0</v>
      </c>
      <c r="U9" s="1128"/>
      <c r="V9" s="3058">
        <f t="shared" si="1"/>
        <v>0</v>
      </c>
      <c r="W9" s="3486"/>
      <c r="X9" s="3059" t="s">
        <v>3268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8">
        <f t="shared" si="0"/>
        <v>0</v>
      </c>
      <c r="U10" s="1128"/>
      <c r="V10" s="3058">
        <f t="shared" si="1"/>
        <v>0</v>
      </c>
      <c r="W10" s="348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5" thickBot="1">
      <c r="A12" s="3007" t="s">
        <v>3238</v>
      </c>
      <c r="B12" s="3008" t="s">
        <v>3239</v>
      </c>
      <c r="C12" s="3009"/>
      <c r="D12" s="3010" t="s">
        <v>3240</v>
      </c>
      <c r="E12" s="3011" t="s">
        <v>3241</v>
      </c>
      <c r="F12" s="3012"/>
      <c r="G12" s="3013"/>
      <c r="H12" s="3013"/>
      <c r="I12" s="3013"/>
      <c r="J12" s="3014"/>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15.75" thickBot="1">
      <c r="A13" s="3007" t="s">
        <v>3242</v>
      </c>
      <c r="B13" s="1873" t="s">
        <v>1979</v>
      </c>
      <c r="C13" s="710">
        <f>ROUND(C16*D16*E16*F16*G16*H16*I16*J16,4)</f>
        <v>1.05</v>
      </c>
      <c r="D13" s="1874" t="s">
        <v>1980</v>
      </c>
      <c r="E13" s="1875"/>
      <c r="F13" s="1875"/>
      <c r="G13" s="1876"/>
      <c r="H13" s="1876"/>
      <c r="I13" s="1876"/>
      <c r="J13" s="1877"/>
      <c r="K13" s="1055"/>
      <c r="L13" s="3"/>
      <c r="M13" s="4"/>
      <c r="N13" s="3005"/>
      <c r="O13" s="1055"/>
      <c r="P13" s="1055"/>
      <c r="Q13" s="1055"/>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15">
      <c r="A14" s="3003"/>
      <c r="B14" s="1878" t="s">
        <v>1982</v>
      </c>
      <c r="C14" s="1879" t="s">
        <v>1983</v>
      </c>
      <c r="D14" s="1259" t="s">
        <v>1984</v>
      </c>
      <c r="E14" s="27" t="s">
        <v>1985</v>
      </c>
      <c r="F14" s="3015" t="s">
        <v>3243</v>
      </c>
      <c r="G14" s="3015" t="s">
        <v>3243</v>
      </c>
      <c r="H14" s="3015" t="s">
        <v>3243</v>
      </c>
      <c r="I14" s="3015" t="s">
        <v>3243</v>
      </c>
      <c r="J14" s="3015" t="s">
        <v>3243</v>
      </c>
      <c r="K14" s="1055"/>
      <c r="L14" s="1055"/>
      <c r="M14" s="1055"/>
      <c r="N14" s="1055"/>
      <c r="O14" s="1055"/>
      <c r="P14" s="1055"/>
      <c r="Q14" s="1055"/>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0"/>
      <c r="C15" s="1881" t="s">
        <v>3401</v>
      </c>
      <c r="D15" s="1882" t="s">
        <v>3401</v>
      </c>
      <c r="E15" s="1883" t="s">
        <v>3402</v>
      </c>
      <c r="F15" s="1468" t="s">
        <v>3244</v>
      </c>
      <c r="G15" s="1923"/>
      <c r="H15" s="3016"/>
      <c r="I15" s="3017"/>
      <c r="J15" s="3018"/>
      <c r="K15" s="1055"/>
      <c r="L15" s="1055"/>
      <c r="M15" s="1055"/>
      <c r="N15" s="1055"/>
      <c r="O15" s="1055"/>
      <c r="P15" s="1055"/>
      <c r="Q15" s="1055"/>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75" thickBot="1">
      <c r="A16" s="3003"/>
      <c r="B16" s="3021" t="s">
        <v>1986</v>
      </c>
      <c r="C16" s="3019">
        <v>1</v>
      </c>
      <c r="D16" s="3019">
        <v>1</v>
      </c>
      <c r="E16" s="3019">
        <v>1.05</v>
      </c>
      <c r="F16" s="3019">
        <v>1</v>
      </c>
      <c r="G16" s="3019">
        <v>1</v>
      </c>
      <c r="H16" s="3019">
        <v>1</v>
      </c>
      <c r="I16" s="3019">
        <v>1</v>
      </c>
      <c r="J16" s="3020">
        <v>1</v>
      </c>
      <c r="K16" s="1055"/>
      <c r="L16" s="1839"/>
      <c r="M16" s="1839"/>
      <c r="N16" s="1839"/>
      <c r="O16" s="1839"/>
      <c r="P16" s="1839"/>
      <c r="Q16" s="1055"/>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c r="A17" s="3030" t="s">
        <v>3245</v>
      </c>
      <c r="B17" s="3022" t="s">
        <v>3246</v>
      </c>
      <c r="C17" s="3031">
        <f>ROUND(IF(OR(E2="工业",E2="公共服务"),1,IF(AND(E18=0,E19=0),1,IF(AND(E18=J24,E19=G19),0.8,IF(E19=0,1+E17*(-0.2),1+E17*G17*(-0.2))))),4)</f>
        <v>1</v>
      </c>
      <c r="D17" s="3023" t="s">
        <v>3247</v>
      </c>
      <c r="E17" s="3031">
        <f>ROUND(G18/I18,2)</f>
        <v>0</v>
      </c>
      <c r="F17" s="3023" t="s">
        <v>3250</v>
      </c>
      <c r="G17" s="3031" t="e">
        <f>ROUND(E19/G19,2)</f>
        <v>#DIV/0!</v>
      </c>
      <c r="H17" s="3031"/>
      <c r="I17" s="3031"/>
      <c r="J17" s="3032"/>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3"/>
      <c r="B18" s="2304"/>
      <c r="C18" s="3029"/>
      <c r="D18" s="3024" t="s">
        <v>3248</v>
      </c>
      <c r="E18" s="2351"/>
      <c r="F18" s="3025" t="s">
        <v>3251</v>
      </c>
      <c r="G18" s="3029">
        <f>ROUND(1-(1/(POWER(1+G24,E18))),4)</f>
        <v>0</v>
      </c>
      <c r="H18" s="3025" t="s">
        <v>3253</v>
      </c>
      <c r="I18" s="3029">
        <f>ROUND(1-(1/(POWER(1+G24,J24))),4)</f>
        <v>0.96709999999999996</v>
      </c>
      <c r="J18" s="3034"/>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5"/>
      <c r="B19" s="3036"/>
      <c r="C19" s="3037"/>
      <c r="D19" s="3037" t="s">
        <v>3249</v>
      </c>
      <c r="E19" s="3038"/>
      <c r="F19" s="3039" t="s">
        <v>3252</v>
      </c>
      <c r="G19" s="3038"/>
      <c r="H19" s="3037"/>
      <c r="I19" s="3037"/>
      <c r="J19" s="3040"/>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1" t="s">
        <v>3254</v>
      </c>
      <c r="B20" s="158" t="s">
        <v>1991</v>
      </c>
      <c r="C20" s="3026">
        <f>ROUND(IF(F21="与级别开发程度一致",0,(G21-E21)/C21),0)</f>
        <v>0</v>
      </c>
      <c r="D20" s="3041" t="s">
        <v>1995</v>
      </c>
      <c r="E20" s="3042"/>
      <c r="F20" s="3497" t="s">
        <v>1992</v>
      </c>
      <c r="G20" s="3498"/>
      <c r="H20" s="3027"/>
      <c r="I20" s="3027"/>
      <c r="J20" s="3028"/>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2"/>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1891" t="s">
        <v>1999</v>
      </c>
      <c r="E23" s="716">
        <v>44197</v>
      </c>
      <c r="F23" s="1891" t="s">
        <v>2000</v>
      </c>
      <c r="G23" s="717">
        <f>'数据-取费表'!B2</f>
        <v>45288</v>
      </c>
      <c r="H23" s="3043" t="s">
        <v>3256</v>
      </c>
      <c r="I23" s="3044" t="str">
        <f>IF(H23="季度增幅（自定义）",SUMIF(N25:N28,E2,O25:O28),"")</f>
        <v/>
      </c>
      <c r="J23" s="3136" t="s">
        <v>3255</v>
      </c>
      <c r="K23" s="1060"/>
      <c r="L23" s="1892" t="s">
        <v>2001</v>
      </c>
      <c r="M23" s="1239">
        <f>ROUND(SUMIF(地价!B2:G2,E2,地价!B16:G16),0)</f>
        <v>687</v>
      </c>
      <c r="N23" s="1893" t="s">
        <v>2002</v>
      </c>
      <c r="O23" s="718">
        <f>ROUNDDOWN(DATEDIF(E23,G23,"M")/3,0)</f>
        <v>11</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0.99050000000000005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64.94</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126</v>
      </c>
      <c r="D30" s="1920"/>
      <c r="E30" s="1837"/>
      <c r="F30" s="1921"/>
      <c r="G30" s="1837"/>
      <c r="H30" s="1837"/>
      <c r="I30" s="1837"/>
      <c r="J30" s="1922"/>
      <c r="K30" s="1055"/>
      <c r="L30" s="3050" t="s">
        <v>1933</v>
      </c>
      <c r="M30" s="3051" t="s">
        <v>1987</v>
      </c>
      <c r="N30" s="3051" t="s">
        <v>1988</v>
      </c>
      <c r="O30" s="3051" t="s">
        <v>1989</v>
      </c>
      <c r="P30" s="3051" t="s">
        <v>1990</v>
      </c>
      <c r="Q30" s="3054"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2" t="s">
        <v>1993</v>
      </c>
      <c r="M31" s="161">
        <v>0.25</v>
      </c>
      <c r="N31" s="161">
        <v>0.2</v>
      </c>
      <c r="O31" s="161">
        <v>0.15</v>
      </c>
      <c r="P31" s="161">
        <v>0.1</v>
      </c>
      <c r="Q31" s="3047">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3" t="s">
        <v>1996</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27753</v>
      </c>
      <c r="D33" s="1935">
        <f>'数据-汇总表'!F19</f>
        <v>45.34</v>
      </c>
      <c r="E33" s="726">
        <f>ROUND(C33*D33/10000,0)</f>
        <v>126</v>
      </c>
      <c r="F33" s="3045" t="s">
        <v>3260</v>
      </c>
      <c r="G33" s="1936"/>
      <c r="H33" s="1936"/>
      <c r="I33" s="1936"/>
      <c r="J33" s="1937"/>
      <c r="K33" s="1055"/>
      <c r="L33" s="3048" t="s">
        <v>3263</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6938</v>
      </c>
      <c r="D34" s="1940"/>
      <c r="E34" s="726">
        <f>ROUND(IF(B25="楼层修正",SUM(V2:V16)*M40,C34*D34/10000),0)</f>
        <v>0</v>
      </c>
      <c r="F34" s="1941" t="s">
        <v>2029</v>
      </c>
      <c r="G34" s="1942"/>
      <c r="H34" s="1942"/>
      <c r="I34" s="1942"/>
      <c r="J34" s="1943"/>
      <c r="K34" s="1055"/>
      <c r="L34" s="3048" t="s">
        <v>3264</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6"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7">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5"/>
      <c r="B37" s="1950" t="s">
        <v>2033</v>
      </c>
      <c r="C37" s="166">
        <f>ROUND(D5*C22*C23*C24*C28*F37,0)</f>
        <v>16828</v>
      </c>
      <c r="D37" s="1935"/>
      <c r="E37" s="162">
        <f t="shared" ref="E37:E42" si="3">ROUND(C37*D37/10000,0)</f>
        <v>0</v>
      </c>
      <c r="F37" s="162">
        <f>SUMIF(修正!A57:A68,G2,修正!B57:B68)</f>
        <v>0.6</v>
      </c>
      <c r="G37" s="162">
        <f>ROUND(IF(E2="工业",C37*$M$42,C37*$M$41),0)</f>
        <v>4207</v>
      </c>
      <c r="H37" s="162">
        <f t="shared" ref="H37:H42" si="4">D37</f>
        <v>0</v>
      </c>
      <c r="I37" s="162">
        <f t="shared" ref="I37:I42" si="5">ROUND(G37*H37/10000,0)</f>
        <v>0</v>
      </c>
      <c r="J37" s="2749"/>
      <c r="K37" s="3056"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6"/>
      <c r="B38" s="1879" t="s">
        <v>2034</v>
      </c>
      <c r="C38" s="166">
        <f>ROUND(D5*C22*C23*C24*C28*F38,0)</f>
        <v>8414</v>
      </c>
      <c r="D38" s="1935"/>
      <c r="E38" s="162">
        <f t="shared" si="3"/>
        <v>0</v>
      </c>
      <c r="F38" s="162">
        <f>SUMIF(修正!A57:A68,G2,修正!C57:C68)</f>
        <v>0.3</v>
      </c>
      <c r="G38" s="162">
        <f>ROUND(IF(E2="工业",C38*$M$42,C38*$M$41),0)</f>
        <v>2104</v>
      </c>
      <c r="H38" s="162">
        <f t="shared" si="4"/>
        <v>0</v>
      </c>
      <c r="I38" s="162">
        <f t="shared" si="5"/>
        <v>0</v>
      </c>
      <c r="J38" s="2748"/>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6"/>
      <c r="B39" s="1879" t="s">
        <v>3259</v>
      </c>
      <c r="C39" s="166">
        <f>ROUND(D5*C22*C23*C24*C28*F39,0)</f>
        <v>7011</v>
      </c>
      <c r="D39" s="1935"/>
      <c r="E39" s="162">
        <f t="shared" si="3"/>
        <v>0</v>
      </c>
      <c r="F39" s="162">
        <f>SUMIF(修正!A57:A68,G2,修正!D57:D68)</f>
        <v>0.25</v>
      </c>
      <c r="G39" s="162">
        <f>ROUND(IF(E2="工业",C39*$M$42,C39*$M$41),0)</f>
        <v>1753</v>
      </c>
      <c r="H39" s="162">
        <f t="shared" si="4"/>
        <v>0</v>
      </c>
      <c r="I39" s="162">
        <f t="shared" si="5"/>
        <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7011</v>
      </c>
      <c r="D40" s="1935"/>
      <c r="E40" s="162">
        <f t="shared" si="3"/>
        <v>0</v>
      </c>
      <c r="F40" s="166">
        <f>SUMIF(修正!A57:A68,G2,修正!E57:E68)</f>
        <v>0.25</v>
      </c>
      <c r="G40" s="162">
        <f>ROUND(IF(E2="工业",C40*$M$42,C40*$M$41),0)</f>
        <v>1753</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7"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3">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63.75" hidden="1">
      <c r="A51" s="1965" t="s">
        <v>2050</v>
      </c>
      <c r="B51" s="1260" t="str">
        <f>估价对象房地状况!C18</f>
        <v>周边有300路、302路、328路、361路等多条公交线路及地铁8号线与10号线换乘站北土城站，综合评价交通便捷度较好</v>
      </c>
      <c r="C51" s="1882"/>
      <c r="D51" s="1001">
        <f t="shared" si="6"/>
        <v>0</v>
      </c>
      <c r="E51" s="702"/>
      <c r="F51" s="1673"/>
      <c r="G51" s="999"/>
      <c r="H51" s="1002" t="str">
        <f t="shared" si="7"/>
        <v>——</v>
      </c>
      <c r="I51" s="3063">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5" t="s">
        <v>3269</v>
      </c>
      <c r="B52" s="1260">
        <f>估价对象房地状况!C19</f>
        <v>0</v>
      </c>
      <c r="C52" s="1882"/>
      <c r="D52" s="1001">
        <f t="shared" si="6"/>
        <v>0</v>
      </c>
      <c r="E52" s="702"/>
      <c r="F52" s="1673"/>
      <c r="G52" s="999"/>
      <c r="H52" s="1002" t="str">
        <f t="shared" si="7"/>
        <v>——</v>
      </c>
      <c r="I52" s="3063">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3">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3">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3">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56" s="1882"/>
      <c r="D56" s="1001">
        <f t="shared" si="6"/>
        <v>0</v>
      </c>
      <c r="E56" s="702"/>
      <c r="F56" s="1673"/>
      <c r="G56" s="999"/>
      <c r="H56" s="1002" t="str">
        <f t="shared" si="7"/>
        <v>——</v>
      </c>
      <c r="I56" s="3063">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3">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自然环境：柳荫公园、土城沟水系等自然水系景观；
人文环境：西黄寺、元大都城垣遗址公园等人文场所；
综合评价环境状况较好。</v>
      </c>
      <c r="C58" s="1882"/>
      <c r="D58" s="1001">
        <f t="shared" si="6"/>
        <v>0</v>
      </c>
      <c r="E58" s="703"/>
      <c r="F58" s="1673"/>
      <c r="G58" s="999"/>
      <c r="H58" s="1002" t="str">
        <f t="shared" si="7"/>
        <v>——</v>
      </c>
      <c r="I58" s="3064">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3">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63.75" hidden="1">
      <c r="A62" s="1965" t="s">
        <v>2050</v>
      </c>
      <c r="B62" s="1260" t="str">
        <f>估价对象房地状况!C18</f>
        <v>周边有300路、302路、328路、361路等多条公交线路及地铁8号线与10号线换乘站北土城站，综合评价交通便捷度较好</v>
      </c>
      <c r="C62" s="1882"/>
      <c r="D62" s="1001">
        <f t="shared" si="11"/>
        <v>0</v>
      </c>
      <c r="E62" s="702"/>
      <c r="F62" s="1673"/>
      <c r="G62" s="999"/>
      <c r="H62" s="1002" t="str">
        <f t="shared" si="12"/>
        <v>——</v>
      </c>
      <c r="I62" s="3063">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5" t="s">
        <v>3269</v>
      </c>
      <c r="B63" s="1260">
        <f>估价对象房地状况!C19</f>
        <v>0</v>
      </c>
      <c r="C63" s="1882"/>
      <c r="D63" s="1001">
        <f t="shared" si="11"/>
        <v>0</v>
      </c>
      <c r="E63" s="702"/>
      <c r="F63" s="1673"/>
      <c r="G63" s="999"/>
      <c r="H63" s="1002" t="str">
        <f t="shared" si="12"/>
        <v>——</v>
      </c>
      <c r="I63" s="3063">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3">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3">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3">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67" s="1882"/>
      <c r="D67" s="1001">
        <f t="shared" si="11"/>
        <v>0</v>
      </c>
      <c r="E67" s="702"/>
      <c r="F67" s="1673"/>
      <c r="G67" s="999"/>
      <c r="H67" s="1002" t="str">
        <f t="shared" si="12"/>
        <v>——</v>
      </c>
      <c r="I67" s="3063">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3">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自然环境：柳荫公园、土城沟水系等自然水系景观；
人文环境：西黄寺、元大都城垣遗址公园等人文场所；
综合评价环境状况较好。</v>
      </c>
      <c r="C69" s="1882"/>
      <c r="D69" s="1001">
        <f t="shared" si="11"/>
        <v>0</v>
      </c>
      <c r="E69" s="703"/>
      <c r="F69" s="1673"/>
      <c r="G69" s="999"/>
      <c r="H69" s="1002" t="str">
        <f t="shared" si="12"/>
        <v>——</v>
      </c>
      <c r="I69" s="3064">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周边有胜古誉园、安华里、安华西里、安贞西里等住宅小区，居住社区成熟度较好。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3">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63.75">
      <c r="A73" s="1965" t="s">
        <v>2050</v>
      </c>
      <c r="B73" s="1260" t="str">
        <f>估价对象房地状况!C18</f>
        <v>周边有300路、302路、328路、361路等多条公交线路及地铁8号线与10号线换乘站北土城站，综合评价交通便捷度较好</v>
      </c>
      <c r="C73" s="1882" t="s">
        <v>3406</v>
      </c>
      <c r="D73" s="1001">
        <f t="shared" si="16"/>
        <v>1.2699999999999999E-2</v>
      </c>
      <c r="E73" s="704"/>
      <c r="F73" s="1673"/>
      <c r="G73" s="999">
        <v>1.2699999999999999E-2</v>
      </c>
      <c r="H73" s="1002">
        <f t="shared" si="17"/>
        <v>8.0999999999999996E-3</v>
      </c>
      <c r="I73" s="3063">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5" t="s">
        <v>3269</v>
      </c>
      <c r="B74" s="1260">
        <f>估价对象房地状况!C19</f>
        <v>0</v>
      </c>
      <c r="C74" s="1882" t="s">
        <v>3406</v>
      </c>
      <c r="D74" s="1001">
        <f t="shared" si="16"/>
        <v>4.8999999999999998E-3</v>
      </c>
      <c r="E74" s="704"/>
      <c r="F74" s="1673"/>
      <c r="G74" s="999">
        <v>4.8999999999999998E-3</v>
      </c>
      <c r="H74" s="1002">
        <f t="shared" si="17"/>
        <v>3.0999999999999999E-3</v>
      </c>
      <c r="I74" s="3063">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3">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76" s="1882" t="s">
        <v>3406</v>
      </c>
      <c r="D76" s="1001">
        <f t="shared" si="16"/>
        <v>3.8999999999999998E-3</v>
      </c>
      <c r="E76" s="704"/>
      <c r="F76" s="1673"/>
      <c r="G76" s="999">
        <v>3.8999999999999998E-3</v>
      </c>
      <c r="H76" s="1002">
        <f t="shared" si="17"/>
        <v>2.5000000000000001E-3</v>
      </c>
      <c r="I76" s="3063">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3">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3">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自然环境：柳荫公园、土城沟水系等自然水系景观；
人文环境：西黄寺、元大都城垣遗址公园等人文场所；
综合评价环境状况较好。</v>
      </c>
      <c r="C79" s="1882" t="s">
        <v>3407</v>
      </c>
      <c r="D79" s="1001">
        <f t="shared" si="16"/>
        <v>0</v>
      </c>
      <c r="E79" s="704"/>
      <c r="F79" s="1673"/>
      <c r="G79" s="999">
        <v>5.7999999999999996E-3</v>
      </c>
      <c r="H79" s="1002">
        <f t="shared" si="17"/>
        <v>3.7000000000000002E-3</v>
      </c>
      <c r="I79" s="3063">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4">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3">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3">
        <v>0.3</v>
      </c>
      <c r="J84" s="1000">
        <f t="shared" si="23"/>
        <v>0</v>
      </c>
      <c r="K84" s="1000">
        <f t="shared" si="24"/>
        <v>0</v>
      </c>
      <c r="L84" s="1000">
        <v>0</v>
      </c>
      <c r="M84" s="1000">
        <f t="shared" si="25"/>
        <v>0</v>
      </c>
      <c r="N84" s="1000">
        <f t="shared" si="25"/>
        <v>0</v>
      </c>
      <c r="Z84" s="1840"/>
      <c r="AA84" s="1890"/>
      <c r="AG84" s="1057"/>
      <c r="AK84" s="1890"/>
    </row>
    <row r="85" spans="1:37" ht="36">
      <c r="A85" s="3065" t="s">
        <v>3270</v>
      </c>
      <c r="B85" s="1260">
        <f>估价对象房地状况!G17</f>
        <v>0</v>
      </c>
      <c r="C85" s="1882"/>
      <c r="D85" s="1001">
        <f t="shared" si="21"/>
        <v>0</v>
      </c>
      <c r="E85" s="704"/>
      <c r="F85" s="1673"/>
      <c r="G85" s="999"/>
      <c r="H85" s="1002" t="str">
        <f t="shared" si="22"/>
        <v>——</v>
      </c>
      <c r="I85" s="3063">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3">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3">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3">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3">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4">
        <v>0.05</v>
      </c>
      <c r="J90" s="1000">
        <f t="shared" si="23"/>
        <v>0</v>
      </c>
      <c r="K90" s="1000">
        <f t="shared" si="24"/>
        <v>0</v>
      </c>
      <c r="L90" s="1000">
        <v>0</v>
      </c>
      <c r="M90" s="1000">
        <f t="shared" si="25"/>
        <v>0</v>
      </c>
      <c r="N90" s="1000">
        <f t="shared" si="25"/>
        <v>0</v>
      </c>
    </row>
    <row r="91" spans="1:37" ht="15">
      <c r="A91" s="3073" t="s">
        <v>2610</v>
      </c>
      <c r="B91" s="3074">
        <f>1+E93</f>
        <v>1</v>
      </c>
      <c r="C91" s="3067"/>
      <c r="D91" s="3068"/>
      <c r="E91" s="1673"/>
      <c r="F91" s="1673"/>
      <c r="G91" s="3069"/>
      <c r="H91" s="3070"/>
      <c r="I91" s="3071"/>
      <c r="J91" s="3072"/>
      <c r="K91" s="3072"/>
      <c r="L91" s="3072"/>
      <c r="M91" s="3072"/>
      <c r="N91" s="3072"/>
    </row>
    <row r="92" spans="1:37" ht="24.75">
      <c r="A92" s="3075" t="s">
        <v>3271</v>
      </c>
      <c r="B92" s="2304"/>
      <c r="C92" s="2304" t="s">
        <v>3280</v>
      </c>
      <c r="D92" s="2304" t="s">
        <v>3281</v>
      </c>
      <c r="E92" s="3047" t="s">
        <v>3282</v>
      </c>
      <c r="F92" s="3077" t="s">
        <v>3283</v>
      </c>
      <c r="G92" s="2304" t="s">
        <v>3284</v>
      </c>
      <c r="H92" s="3084" t="s">
        <v>3287</v>
      </c>
      <c r="I92" s="2304" t="s">
        <v>3288</v>
      </c>
      <c r="J92" s="2145" t="s">
        <v>3289</v>
      </c>
      <c r="K92" s="2145" t="s">
        <v>3290</v>
      </c>
      <c r="L92" s="2145" t="s">
        <v>3291</v>
      </c>
      <c r="M92" s="2145" t="s">
        <v>3292</v>
      </c>
      <c r="N92" s="2145" t="s">
        <v>3293</v>
      </c>
    </row>
    <row r="93" spans="1:37" ht="24">
      <c r="A93" s="3065" t="s">
        <v>3272</v>
      </c>
      <c r="B93" s="1219"/>
      <c r="C93" s="1882"/>
      <c r="D93" s="2304">
        <f>SUMIF($J$92:$N$92,C93,J93:N93)</f>
        <v>0</v>
      </c>
      <c r="E93" s="3078">
        <f>ROUND(SUM(D93:D101),4)</f>
        <v>0</v>
      </c>
      <c r="F93" s="1673" t="str">
        <f>IF(E2="公共服务",SUMIF(L1:L12,G2,N1:N12),"——")</f>
        <v>——</v>
      </c>
      <c r="G93" s="3069"/>
      <c r="H93" s="3114" t="str">
        <f>IFERROR(ROUNDDOWN($F$93*I93/2,4),"——")</f>
        <v>——</v>
      </c>
      <c r="I93" s="3063">
        <v>0.25</v>
      </c>
      <c r="J93" s="1907">
        <f t="shared" ref="J93:J101" si="26">K93+$G93</f>
        <v>0</v>
      </c>
      <c r="K93" s="1907">
        <f t="shared" ref="K93:K101" si="27">$L93+$G93</f>
        <v>0</v>
      </c>
      <c r="L93" s="1907">
        <v>0</v>
      </c>
      <c r="M93" s="1907">
        <f t="shared" ref="M93:N101" si="28">L93-$G93</f>
        <v>0</v>
      </c>
      <c r="N93" s="1907">
        <f t="shared" si="28"/>
        <v>0</v>
      </c>
    </row>
    <row r="94" spans="1:37" ht="63.75">
      <c r="A94" s="3075" t="s">
        <v>3273</v>
      </c>
      <c r="B94" s="3066" t="str">
        <f>估价对象房地状况!C18</f>
        <v>周边有300路、302路、328路、361路等多条公交线路及地铁8号线与10号线换乘站北土城站，综合评价交通便捷度较好</v>
      </c>
      <c r="C94" s="1882"/>
      <c r="D94" s="2304">
        <f t="shared" ref="D94:D101" si="29">SUMIF($J$60:$N$60,C94,J94:N94)</f>
        <v>0</v>
      </c>
      <c r="E94" s="3079"/>
      <c r="F94" s="1673"/>
      <c r="G94" s="3069"/>
      <c r="H94" s="3114" t="str">
        <f>IFERROR(ROUNDDOWN($F$93*I94/2,4),"——")</f>
        <v>——</v>
      </c>
      <c r="I94" s="3063">
        <v>0.26</v>
      </c>
      <c r="J94" s="1907">
        <f t="shared" si="26"/>
        <v>0</v>
      </c>
      <c r="K94" s="1907">
        <f t="shared" si="27"/>
        <v>0</v>
      </c>
      <c r="L94" s="1907">
        <v>0</v>
      </c>
      <c r="M94" s="1907">
        <f t="shared" si="28"/>
        <v>0</v>
      </c>
      <c r="N94" s="1907">
        <f t="shared" si="28"/>
        <v>0</v>
      </c>
    </row>
    <row r="95" spans="1:37" ht="36">
      <c r="A95" s="3065" t="s">
        <v>3269</v>
      </c>
      <c r="B95" s="3066">
        <f>估价对象房地状况!C19</f>
        <v>0</v>
      </c>
      <c r="C95" s="1882"/>
      <c r="D95" s="2304">
        <f t="shared" si="29"/>
        <v>0</v>
      </c>
      <c r="E95" s="3079"/>
      <c r="F95" s="1673"/>
      <c r="G95" s="3069"/>
      <c r="H95" s="3114" t="str">
        <f t="shared" ref="H95:H101" si="30">IFERROR(ROUNDDOWN($F$93*I95/2,4),"——")</f>
        <v>——</v>
      </c>
      <c r="I95" s="3063">
        <v>0.11</v>
      </c>
      <c r="J95" s="1907">
        <f t="shared" si="26"/>
        <v>0</v>
      </c>
      <c r="K95" s="1907">
        <f t="shared" si="27"/>
        <v>0</v>
      </c>
      <c r="L95" s="1907">
        <v>0</v>
      </c>
      <c r="M95" s="1907">
        <f t="shared" si="28"/>
        <v>0</v>
      </c>
      <c r="N95" s="1907">
        <f t="shared" si="28"/>
        <v>0</v>
      </c>
    </row>
    <row r="96" spans="1:37" ht="36.75">
      <c r="A96" s="3075" t="s">
        <v>3274</v>
      </c>
      <c r="B96" s="3081" t="s">
        <v>3285</v>
      </c>
      <c r="C96" s="1882"/>
      <c r="D96" s="2304">
        <f t="shared" si="29"/>
        <v>0</v>
      </c>
      <c r="E96" s="3079"/>
      <c r="F96" s="1673"/>
      <c r="G96" s="3069"/>
      <c r="H96" s="3114" t="str">
        <f t="shared" si="30"/>
        <v>——</v>
      </c>
      <c r="I96" s="3063">
        <v>0.05</v>
      </c>
      <c r="J96" s="1907">
        <f t="shared" si="26"/>
        <v>0</v>
      </c>
      <c r="K96" s="1907">
        <f t="shared" si="27"/>
        <v>0</v>
      </c>
      <c r="L96" s="1907">
        <v>0</v>
      </c>
      <c r="M96" s="1907">
        <f t="shared" si="28"/>
        <v>0</v>
      </c>
      <c r="N96" s="1907">
        <f t="shared" si="28"/>
        <v>0</v>
      </c>
    </row>
    <row r="97" spans="1:14" ht="24">
      <c r="A97" s="3075" t="s">
        <v>3275</v>
      </c>
      <c r="B97" s="3066">
        <f>估价对象房地状况!C24</f>
        <v>0</v>
      </c>
      <c r="C97" s="1882"/>
      <c r="D97" s="2304">
        <f t="shared" si="29"/>
        <v>0</v>
      </c>
      <c r="E97" s="3079"/>
      <c r="F97" s="1673"/>
      <c r="G97" s="3069"/>
      <c r="H97" s="3114" t="str">
        <f t="shared" si="30"/>
        <v>——</v>
      </c>
      <c r="I97" s="3063">
        <v>0.05</v>
      </c>
      <c r="J97" s="1907">
        <f t="shared" si="26"/>
        <v>0</v>
      </c>
      <c r="K97" s="1907">
        <f t="shared" si="27"/>
        <v>0</v>
      </c>
      <c r="L97" s="1907">
        <v>0</v>
      </c>
      <c r="M97" s="1907">
        <f t="shared" si="28"/>
        <v>0</v>
      </c>
      <c r="N97" s="1907">
        <f t="shared" si="28"/>
        <v>0</v>
      </c>
    </row>
    <row r="98" spans="1:14" ht="24">
      <c r="A98" s="3075" t="s">
        <v>3276</v>
      </c>
      <c r="B98" s="3082" t="s">
        <v>3286</v>
      </c>
      <c r="C98" s="1882"/>
      <c r="D98" s="2304">
        <f t="shared" si="29"/>
        <v>0</v>
      </c>
      <c r="E98" s="3079"/>
      <c r="F98" s="1673"/>
      <c r="G98" s="3069"/>
      <c r="H98" s="3114" t="str">
        <f t="shared" si="30"/>
        <v>——</v>
      </c>
      <c r="I98" s="3063">
        <v>0.06</v>
      </c>
      <c r="J98" s="1907">
        <f t="shared" si="26"/>
        <v>0</v>
      </c>
      <c r="K98" s="1907">
        <f t="shared" si="27"/>
        <v>0</v>
      </c>
      <c r="L98" s="1907">
        <v>0</v>
      </c>
      <c r="M98" s="1907">
        <f t="shared" si="28"/>
        <v>0</v>
      </c>
      <c r="N98" s="1907">
        <f t="shared" si="28"/>
        <v>0</v>
      </c>
    </row>
    <row r="99" spans="1:14" ht="165.75">
      <c r="A99" s="3075" t="s">
        <v>3277</v>
      </c>
      <c r="B99" s="3066"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99" s="1882"/>
      <c r="D99" s="2304">
        <f t="shared" si="29"/>
        <v>0</v>
      </c>
      <c r="E99" s="3079"/>
      <c r="F99" s="1673"/>
      <c r="G99" s="3069"/>
      <c r="H99" s="3114" t="str">
        <f t="shared" si="30"/>
        <v>——</v>
      </c>
      <c r="I99" s="3063">
        <v>0.06</v>
      </c>
      <c r="J99" s="1907">
        <f t="shared" si="26"/>
        <v>0</v>
      </c>
      <c r="K99" s="1907">
        <f t="shared" si="27"/>
        <v>0</v>
      </c>
      <c r="L99" s="1907">
        <v>0</v>
      </c>
      <c r="M99" s="1907">
        <f t="shared" si="28"/>
        <v>0</v>
      </c>
      <c r="N99" s="1907">
        <f t="shared" si="28"/>
        <v>0</v>
      </c>
    </row>
    <row r="100" spans="1:14" ht="25.5">
      <c r="A100" s="3075" t="s">
        <v>3278</v>
      </c>
      <c r="B100" s="3066" t="str">
        <f>估价对象房地状况!C22</f>
        <v>估价对象所在区域基础设施水平</v>
      </c>
      <c r="C100" s="1882"/>
      <c r="D100" s="2304">
        <f t="shared" si="29"/>
        <v>0</v>
      </c>
      <c r="E100" s="3079"/>
      <c r="F100" s="1673"/>
      <c r="G100" s="3069"/>
      <c r="H100" s="3114" t="str">
        <f t="shared" si="30"/>
        <v>——</v>
      </c>
      <c r="I100" s="3063">
        <v>0.09</v>
      </c>
      <c r="J100" s="1907">
        <f t="shared" si="26"/>
        <v>0</v>
      </c>
      <c r="K100" s="1907">
        <f t="shared" si="27"/>
        <v>0</v>
      </c>
      <c r="L100" s="1907">
        <v>0</v>
      </c>
      <c r="M100" s="1907">
        <f t="shared" si="28"/>
        <v>0</v>
      </c>
      <c r="N100" s="1907">
        <f t="shared" si="28"/>
        <v>0</v>
      </c>
    </row>
    <row r="101" spans="1:14" ht="64.5" thickBot="1">
      <c r="A101" s="3076" t="s">
        <v>3279</v>
      </c>
      <c r="B101" s="3083" t="str">
        <f>估价对象房地状况!C20</f>
        <v>自然环境：柳荫公园、土城沟水系等自然水系景观；
人文环境：西黄寺、元大都城垣遗址公园等人文场所；
综合评价环境状况较好。</v>
      </c>
      <c r="C101" s="1882"/>
      <c r="D101" s="2304">
        <f t="shared" si="29"/>
        <v>0</v>
      </c>
      <c r="E101" s="3080"/>
      <c r="F101" s="1673"/>
      <c r="G101" s="3069"/>
      <c r="H101" s="3114" t="str">
        <f t="shared" si="30"/>
        <v>——</v>
      </c>
      <c r="I101" s="3064">
        <v>7.0000000000000007E-2</v>
      </c>
      <c r="J101" s="1907">
        <f t="shared" si="26"/>
        <v>0</v>
      </c>
      <c r="K101" s="1907">
        <f t="shared" si="27"/>
        <v>0</v>
      </c>
      <c r="L101" s="1907">
        <v>0</v>
      </c>
      <c r="M101" s="1907">
        <f t="shared" si="28"/>
        <v>0</v>
      </c>
      <c r="N101" s="1907">
        <f t="shared" si="28"/>
        <v>0</v>
      </c>
    </row>
    <row r="103" spans="1:14">
      <c r="A103" s="3493" t="s">
        <v>3294</v>
      </c>
      <c r="B103" s="3493"/>
      <c r="C103" s="3493"/>
      <c r="D103" s="3493"/>
      <c r="E103" s="3493"/>
      <c r="F103" s="3493"/>
      <c r="G103" s="3493"/>
      <c r="H103" s="3493"/>
      <c r="I103" s="3493"/>
      <c r="J103" s="3493"/>
      <c r="K103" s="1665"/>
      <c r="L103" s="1665"/>
      <c r="M103" s="1665"/>
      <c r="N103" s="1665"/>
    </row>
    <row r="104" spans="1:14">
      <c r="A104" s="3494" t="s">
        <v>3295</v>
      </c>
      <c r="B104" s="3494" t="s">
        <v>3296</v>
      </c>
      <c r="C104" s="3085" t="s">
        <v>3297</v>
      </c>
      <c r="D104" s="3086"/>
      <c r="E104" s="3086"/>
      <c r="F104" s="3086"/>
      <c r="G104" s="3086"/>
      <c r="H104" s="3086"/>
      <c r="I104" s="3086"/>
      <c r="J104" s="3087"/>
      <c r="K104" s="3088"/>
      <c r="L104" s="3088"/>
      <c r="M104" s="3088"/>
      <c r="N104" s="3088"/>
    </row>
    <row r="105" spans="1:14">
      <c r="A105" s="3494"/>
      <c r="B105" s="3494"/>
      <c r="C105" s="3089" t="s">
        <v>3298</v>
      </c>
      <c r="D105" s="3089" t="s">
        <v>3299</v>
      </c>
      <c r="E105" s="3089" t="s">
        <v>3300</v>
      </c>
      <c r="F105" s="3089" t="s">
        <v>3301</v>
      </c>
      <c r="G105" s="3089" t="s">
        <v>3302</v>
      </c>
      <c r="H105" s="3089" t="s">
        <v>3303</v>
      </c>
      <c r="I105" s="3089" t="s">
        <v>3304</v>
      </c>
      <c r="J105" s="3089" t="s">
        <v>3305</v>
      </c>
      <c r="K105" s="3089" t="s">
        <v>3306</v>
      </c>
      <c r="L105" s="3089" t="s">
        <v>3307</v>
      </c>
      <c r="M105" s="3089" t="s">
        <v>3308</v>
      </c>
      <c r="N105" s="3089" t="s">
        <v>3309</v>
      </c>
    </row>
    <row r="106" spans="1:14">
      <c r="A106" s="3480" t="s">
        <v>3310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8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8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8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8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81"/>
      <c r="B111" s="3089" t="s">
        <v>3268</v>
      </c>
      <c r="C111" s="3090">
        <f>$I$3</f>
        <v>0</v>
      </c>
      <c r="D111" s="3090">
        <f t="shared" ref="D111:M111" si="31">$I$3</f>
        <v>0</v>
      </c>
      <c r="E111" s="3090">
        <f t="shared" si="31"/>
        <v>0</v>
      </c>
      <c r="F111" s="3090">
        <f t="shared" si="31"/>
        <v>0</v>
      </c>
      <c r="G111" s="3090">
        <f t="shared" si="31"/>
        <v>0</v>
      </c>
      <c r="H111" s="3090">
        <f t="shared" si="31"/>
        <v>0</v>
      </c>
      <c r="I111" s="3090">
        <f t="shared" si="31"/>
        <v>0</v>
      </c>
      <c r="J111" s="3090">
        <f t="shared" si="31"/>
        <v>0</v>
      </c>
      <c r="K111" s="3090">
        <f t="shared" si="31"/>
        <v>0</v>
      </c>
      <c r="L111" s="3090">
        <f t="shared" si="31"/>
        <v>0</v>
      </c>
      <c r="M111" s="3090">
        <f t="shared" si="31"/>
        <v>0</v>
      </c>
      <c r="N111" s="3090">
        <f>$I$3</f>
        <v>0</v>
      </c>
    </row>
    <row r="112" spans="1:14">
      <c r="A112" s="3482"/>
      <c r="B112" s="3089">
        <v>6</v>
      </c>
      <c r="C112" s="3084">
        <f>(-0.5556*(C111^2)-0.2719*C111+8944)*(10^(-4))</f>
        <v>0.89440000000000008</v>
      </c>
      <c r="D112" s="3084">
        <f>(-0.5556*(D111^2)-0.2719*D111+8944)*(10^(-4))</f>
        <v>0.89440000000000008</v>
      </c>
      <c r="E112" s="3084">
        <f>(-0.7912*(E111^2)-11.3794*E111+8482)*(10^(-4))</f>
        <v>0.84820000000000007</v>
      </c>
      <c r="F112" s="3084">
        <f>(-0.7912*(F111^2)-11.3794*F111+8482)*(10^(-4))</f>
        <v>0.84820000000000007</v>
      </c>
      <c r="G112" s="3084">
        <f>(-0.7912*(G111^2)-11.3794*G111+8482)*(10^(-4))</f>
        <v>0.84820000000000007</v>
      </c>
      <c r="H112" s="3084">
        <f>(-0.7912*(H111^2)-11.3794*H111+8482)*(10^(-4))</f>
        <v>0.84820000000000007</v>
      </c>
      <c r="I112" s="3084">
        <f>(-0.7912*(I111^2)-11.3794*I111+8482)*(10^(-4))</f>
        <v>0.84820000000000007</v>
      </c>
      <c r="J112" s="3084">
        <f>(-0.989*(J111^2)-63.78*J111+7771)*(10^(-4))</f>
        <v>0.77710000000000001</v>
      </c>
      <c r="K112" s="3084">
        <f>(-0.989*(K111^2)-63.78*K111+7771)*(10^(-4))</f>
        <v>0.77710000000000001</v>
      </c>
      <c r="L112" s="3084">
        <f>(-0.989*(L111^2)-63.78*L111+7771)*(10^(-4))</f>
        <v>0.77710000000000001</v>
      </c>
      <c r="M112" s="3084">
        <f>(-0.989*(M111^2)-63.78*M111+7771)*(10^(-4))</f>
        <v>0.77710000000000001</v>
      </c>
      <c r="N112" s="3084">
        <f>(-0.989*(N111^2)-63.78*N111+7771)*(10^(-4))</f>
        <v>0.77710000000000001</v>
      </c>
    </row>
    <row r="113" spans="1:14">
      <c r="A113" s="3483" t="s">
        <v>3311</v>
      </c>
      <c r="B113" s="3483"/>
      <c r="C113" s="3483"/>
      <c r="D113" s="3483"/>
      <c r="E113" s="3483"/>
      <c r="F113" s="3483"/>
      <c r="G113" s="3483"/>
      <c r="H113" s="3483"/>
      <c r="I113" s="3483"/>
      <c r="J113" s="3483"/>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3312</v>
      </c>
      <c r="B116" s="3109">
        <f>G3</f>
        <v>3.35</v>
      </c>
      <c r="C116" s="3094" t="s">
        <v>3313</v>
      </c>
      <c r="D116" s="3095">
        <f>SUMPRODUCT((A118:A122=F116)*(B117:M117=H116)*B118:M122)</f>
        <v>0.88839999999999997</v>
      </c>
      <c r="E116" s="161" t="s">
        <v>3314</v>
      </c>
      <c r="F116" s="3096" t="str">
        <f>E2</f>
        <v>住宅</v>
      </c>
      <c r="G116" s="161" t="s">
        <v>3315</v>
      </c>
      <c r="H116" s="3096" t="str">
        <f>G2</f>
        <v>三级</v>
      </c>
      <c r="I116" s="161"/>
      <c r="J116" s="3097"/>
      <c r="K116" s="3097"/>
      <c r="L116" s="3097"/>
      <c r="M116" s="3097"/>
      <c r="N116" s="3092"/>
    </row>
    <row r="117" spans="1:14">
      <c r="A117" s="3098"/>
      <c r="B117" s="3099" t="s">
        <v>3316</v>
      </c>
      <c r="C117" s="3099" t="s">
        <v>3317</v>
      </c>
      <c r="D117" s="3099" t="s">
        <v>3318</v>
      </c>
      <c r="E117" s="3100" t="s">
        <v>3319</v>
      </c>
      <c r="F117" s="3100" t="s">
        <v>3320</v>
      </c>
      <c r="G117" s="3100" t="s">
        <v>3321</v>
      </c>
      <c r="H117" s="3101" t="s">
        <v>3322</v>
      </c>
      <c r="I117" s="3101" t="s">
        <v>3323</v>
      </c>
      <c r="J117" s="3102" t="s">
        <v>3324</v>
      </c>
      <c r="K117" s="3102" t="s">
        <v>3325</v>
      </c>
      <c r="L117" s="3102" t="s">
        <v>3326</v>
      </c>
      <c r="M117" s="3103" t="s">
        <v>3327</v>
      </c>
      <c r="N117" s="3092"/>
    </row>
    <row r="118" spans="1:14">
      <c r="A118" s="3052" t="s">
        <v>3328</v>
      </c>
      <c r="B118" s="3084">
        <f>ROUND(0.9968-0.011*B116,4)</f>
        <v>0.96</v>
      </c>
      <c r="C118" s="3084">
        <f>B118</f>
        <v>0.96</v>
      </c>
      <c r="D118" s="3084">
        <f>ROUND(0.949-0.014*B116,4)</f>
        <v>0.90210000000000001</v>
      </c>
      <c r="E118" s="3084">
        <f>D118</f>
        <v>0.90210000000000001</v>
      </c>
      <c r="F118" s="3084">
        <f>E118</f>
        <v>0.90210000000000001</v>
      </c>
      <c r="G118" s="3084">
        <f>F118</f>
        <v>0.90210000000000001</v>
      </c>
      <c r="H118" s="3084">
        <f>G118</f>
        <v>0.90210000000000001</v>
      </c>
      <c r="I118" s="3084">
        <f>ROUND(0.8486-0.018*B116,4)</f>
        <v>0.7883</v>
      </c>
      <c r="J118" s="3084">
        <f t="shared" ref="J118:M122" si="32">I118</f>
        <v>0.7883</v>
      </c>
      <c r="K118" s="3084">
        <f t="shared" si="32"/>
        <v>0.7883</v>
      </c>
      <c r="L118" s="3084">
        <f t="shared" si="32"/>
        <v>0.7883</v>
      </c>
      <c r="M118" s="3104">
        <f t="shared" si="32"/>
        <v>0.7883</v>
      </c>
      <c r="N118" s="3092"/>
    </row>
    <row r="119" spans="1:14">
      <c r="A119" s="3052" t="s">
        <v>3329</v>
      </c>
      <c r="B119" s="3084">
        <f>ROUND(0.993-0.0112*B116,4)</f>
        <v>0.95550000000000002</v>
      </c>
      <c r="C119" s="3084">
        <f>B119</f>
        <v>0.95550000000000002</v>
      </c>
      <c r="D119" s="3084">
        <f>ROUND(0.9415-0.0142*B116,4)</f>
        <v>0.89390000000000003</v>
      </c>
      <c r="E119" s="3084">
        <f t="shared" ref="E119:H120" si="33">D119</f>
        <v>0.89390000000000003</v>
      </c>
      <c r="F119" s="3084">
        <f t="shared" si="33"/>
        <v>0.89390000000000003</v>
      </c>
      <c r="G119" s="3084">
        <f t="shared" si="33"/>
        <v>0.89390000000000003</v>
      </c>
      <c r="H119" s="3084">
        <f t="shared" si="33"/>
        <v>0.89390000000000003</v>
      </c>
      <c r="I119" s="3084">
        <f>ROUND(0.838-0.0182*B116,4)</f>
        <v>0.77700000000000002</v>
      </c>
      <c r="J119" s="3084">
        <f t="shared" si="32"/>
        <v>0.77700000000000002</v>
      </c>
      <c r="K119" s="3084">
        <f t="shared" si="32"/>
        <v>0.77700000000000002</v>
      </c>
      <c r="L119" s="3084">
        <f t="shared" si="32"/>
        <v>0.77700000000000002</v>
      </c>
      <c r="M119" s="3104">
        <f t="shared" si="32"/>
        <v>0.77700000000000002</v>
      </c>
      <c r="N119" s="3092"/>
    </row>
    <row r="120" spans="1:14">
      <c r="A120" s="3052" t="s">
        <v>3330</v>
      </c>
      <c r="B120" s="3084">
        <f>ROUND(0.9448-0.0115*B116,4)</f>
        <v>0.90629999999999999</v>
      </c>
      <c r="C120" s="3084">
        <f>B120</f>
        <v>0.90629999999999999</v>
      </c>
      <c r="D120" s="3084">
        <f>ROUND(0.937-0.0145*B116,4)</f>
        <v>0.88839999999999997</v>
      </c>
      <c r="E120" s="3084">
        <f t="shared" si="33"/>
        <v>0.88839999999999997</v>
      </c>
      <c r="F120" s="3084">
        <f t="shared" si="33"/>
        <v>0.88839999999999997</v>
      </c>
      <c r="G120" s="3084">
        <f t="shared" si="33"/>
        <v>0.88839999999999997</v>
      </c>
      <c r="H120" s="3084">
        <f t="shared" si="33"/>
        <v>0.88839999999999997</v>
      </c>
      <c r="I120" s="3084">
        <f>ROUND(0.7965-0.0185*B116,4)</f>
        <v>0.73450000000000004</v>
      </c>
      <c r="J120" s="3084">
        <f t="shared" si="32"/>
        <v>0.73450000000000004</v>
      </c>
      <c r="K120" s="3084">
        <f t="shared" si="32"/>
        <v>0.73450000000000004</v>
      </c>
      <c r="L120" s="3084">
        <f t="shared" si="32"/>
        <v>0.73450000000000004</v>
      </c>
      <c r="M120" s="3104">
        <f t="shared" si="32"/>
        <v>0.73450000000000004</v>
      </c>
      <c r="N120" s="3092"/>
    </row>
    <row r="121" spans="1:14" ht="13.5" thickBot="1">
      <c r="A121" s="3105" t="s">
        <v>3331</v>
      </c>
      <c r="B121" s="3106">
        <f>ROUND(0.7836-0.012*B116,4)</f>
        <v>0.74339999999999995</v>
      </c>
      <c r="C121" s="3106">
        <f>B121</f>
        <v>0.74339999999999995</v>
      </c>
      <c r="D121" s="3106">
        <f>ROUND(0.753-0.015*B116,4)</f>
        <v>0.70279999999999998</v>
      </c>
      <c r="E121" s="3106">
        <f>D121</f>
        <v>0.70279999999999998</v>
      </c>
      <c r="F121" s="3106">
        <f>E121</f>
        <v>0.70279999999999998</v>
      </c>
      <c r="G121" s="3106">
        <f>ROUND(0.6612-0.018*B116,4)</f>
        <v>0.60089999999999999</v>
      </c>
      <c r="H121" s="3106">
        <f>G121</f>
        <v>0.60089999999999999</v>
      </c>
      <c r="I121" s="3106">
        <f>ROUND(0.5905-0.019*B116,4)</f>
        <v>0.52690000000000003</v>
      </c>
      <c r="J121" s="3106">
        <f t="shared" si="32"/>
        <v>0.52690000000000003</v>
      </c>
      <c r="K121" s="3106">
        <f t="shared" si="32"/>
        <v>0.52690000000000003</v>
      </c>
      <c r="L121" s="3106">
        <f t="shared" si="32"/>
        <v>0.52690000000000003</v>
      </c>
      <c r="M121" s="3107">
        <f t="shared" si="32"/>
        <v>0.52690000000000003</v>
      </c>
      <c r="N121" s="3092"/>
    </row>
    <row r="122" spans="1:14">
      <c r="A122" s="3108" t="s">
        <v>2610</v>
      </c>
      <c r="B122" s="3084">
        <f>ROUND(0.9404-0.0106*B116,4)</f>
        <v>0.90490000000000004</v>
      </c>
      <c r="C122" s="3084">
        <f>B122</f>
        <v>0.90490000000000004</v>
      </c>
      <c r="D122" s="3084">
        <f>ROUND(0.8955-0.0135*B116,4)</f>
        <v>0.85029999999999994</v>
      </c>
      <c r="E122" s="3084">
        <f>D122</f>
        <v>0.85029999999999994</v>
      </c>
      <c r="F122" s="3084">
        <f>E122</f>
        <v>0.85029999999999994</v>
      </c>
      <c r="G122" s="3084">
        <f>F122</f>
        <v>0.85029999999999994</v>
      </c>
      <c r="H122" s="3084">
        <f>G122</f>
        <v>0.85029999999999994</v>
      </c>
      <c r="I122" s="3084">
        <f>ROUND(0.7632-0.0166*B116,4)</f>
        <v>0.70760000000000001</v>
      </c>
      <c r="J122" s="3084">
        <f t="shared" si="32"/>
        <v>0.70760000000000001</v>
      </c>
      <c r="K122" s="3084">
        <f t="shared" si="32"/>
        <v>0.70760000000000001</v>
      </c>
      <c r="L122" s="3084">
        <f t="shared" si="32"/>
        <v>0.70760000000000001</v>
      </c>
      <c r="M122" s="3104">
        <f t="shared" si="32"/>
        <v>0.70760000000000001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SUM(J8:J15)-J13-J14</f>
        <v>185</v>
      </c>
      <c r="K17" s="2760">
        <f>SUM(K8:K15)-K13-K14</f>
        <v>185</v>
      </c>
      <c r="L17" s="2760">
        <f>SUM(L8:L15)-L13-L14</f>
        <v>185</v>
      </c>
      <c r="M17" s="2760">
        <f>SUM(M8:M15)-M13-M14</f>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506" t="s">
        <v>2605</v>
      </c>
      <c r="B20" s="3499" t="s">
        <v>2626</v>
      </c>
      <c r="C20" s="2837" t="s">
        <v>2437</v>
      </c>
      <c r="D20" s="2838"/>
      <c r="E20" s="2839">
        <v>1</v>
      </c>
      <c r="F20" s="2840" t="s">
        <v>2438</v>
      </c>
      <c r="G20" s="2840"/>
    </row>
    <row r="21" spans="1:13" ht="19.5" customHeight="1">
      <c r="A21" s="3507"/>
      <c r="B21" s="3500"/>
      <c r="C21" s="2841" t="s">
        <v>2439</v>
      </c>
      <c r="D21" s="2842"/>
      <c r="E21" s="2843">
        <v>1</v>
      </c>
      <c r="F21" s="2840" t="s">
        <v>2440</v>
      </c>
      <c r="G21" s="2840"/>
    </row>
    <row r="22" spans="1:13" ht="19.5" customHeight="1">
      <c r="A22" s="3507"/>
      <c r="B22" s="3500"/>
      <c r="C22" s="2841" t="s">
        <v>2441</v>
      </c>
      <c r="D22" s="2842"/>
      <c r="E22" s="2843">
        <v>0.9</v>
      </c>
      <c r="F22" s="2840" t="s">
        <v>2442</v>
      </c>
      <c r="G22" s="2840"/>
    </row>
    <row r="23" spans="1:13" ht="19.5" customHeight="1">
      <c r="A23" s="3507"/>
      <c r="B23" s="3500"/>
      <c r="C23" s="2841" t="s">
        <v>2443</v>
      </c>
      <c r="D23" s="2842"/>
      <c r="E23" s="2843">
        <v>0.9</v>
      </c>
      <c r="F23" s="2840" t="s">
        <v>2444</v>
      </c>
      <c r="G23" s="2840"/>
    </row>
    <row r="24" spans="1:13" ht="19.5" customHeight="1">
      <c r="A24" s="3507"/>
      <c r="B24" s="3500"/>
      <c r="C24" s="2841" t="s">
        <v>2445</v>
      </c>
      <c r="D24" s="2842"/>
      <c r="E24" s="2843">
        <v>0.8</v>
      </c>
      <c r="F24" s="2840" t="s">
        <v>2446</v>
      </c>
      <c r="G24" s="2840"/>
    </row>
    <row r="25" spans="1:13" ht="19.5" customHeight="1" thickBot="1">
      <c r="A25" s="3508"/>
      <c r="B25" s="3501"/>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502" t="s">
        <v>2629</v>
      </c>
      <c r="B27" s="3499" t="s">
        <v>2610</v>
      </c>
      <c r="C27" s="2837" t="s">
        <v>2450</v>
      </c>
      <c r="D27" s="2838"/>
      <c r="E27" s="2839">
        <v>1</v>
      </c>
      <c r="F27" s="2840" t="s">
        <v>2451</v>
      </c>
      <c r="G27" s="2840"/>
    </row>
    <row r="28" spans="1:13" ht="19.5" customHeight="1">
      <c r="A28" s="3503"/>
      <c r="B28" s="3500"/>
      <c r="C28" s="2841" t="s">
        <v>2452</v>
      </c>
      <c r="D28" s="2842"/>
      <c r="E28" s="2843">
        <v>1</v>
      </c>
      <c r="F28" s="2840" t="s">
        <v>2453</v>
      </c>
      <c r="G28" s="2840"/>
    </row>
    <row r="29" spans="1:13" ht="19.5" customHeight="1">
      <c r="A29" s="3503"/>
      <c r="B29" s="3500"/>
      <c r="C29" s="2841" t="s">
        <v>2454</v>
      </c>
      <c r="D29" s="2842"/>
      <c r="E29" s="2843">
        <v>0.8</v>
      </c>
      <c r="F29" s="2840" t="s">
        <v>2455</v>
      </c>
      <c r="G29" s="2840"/>
    </row>
    <row r="30" spans="1:13" ht="19.5" customHeight="1">
      <c r="A30" s="3503"/>
      <c r="B30" s="3500"/>
      <c r="C30" s="2841" t="s">
        <v>2456</v>
      </c>
      <c r="D30" s="2842"/>
      <c r="E30" s="2843">
        <v>0.8</v>
      </c>
      <c r="F30" s="2840" t="s">
        <v>2457</v>
      </c>
      <c r="G30" s="2840"/>
    </row>
    <row r="31" spans="1:13" ht="19.5" customHeight="1">
      <c r="A31" s="3503"/>
      <c r="B31" s="3500"/>
      <c r="C31" s="2841" t="s">
        <v>2458</v>
      </c>
      <c r="D31" s="2842"/>
      <c r="E31" s="2843">
        <v>0.8</v>
      </c>
      <c r="F31" s="2840" t="s">
        <v>2459</v>
      </c>
      <c r="G31" s="2840"/>
    </row>
    <row r="32" spans="1:13" ht="19.5" customHeight="1">
      <c r="A32" s="3503"/>
      <c r="B32" s="3500"/>
      <c r="C32" s="2841" t="s">
        <v>2460</v>
      </c>
      <c r="D32" s="2842"/>
      <c r="E32" s="2843">
        <v>0.7</v>
      </c>
      <c r="F32" s="2840" t="s">
        <v>2461</v>
      </c>
      <c r="G32" s="2840"/>
    </row>
    <row r="33" spans="1:7" ht="19.5" customHeight="1">
      <c r="A33" s="3503"/>
      <c r="B33" s="3500"/>
      <c r="C33" s="2841" t="s">
        <v>2462</v>
      </c>
      <c r="D33" s="2842"/>
      <c r="E33" s="2843">
        <v>0.8</v>
      </c>
      <c r="F33" s="2840" t="s">
        <v>2463</v>
      </c>
      <c r="G33" s="2840"/>
    </row>
    <row r="34" spans="1:7" ht="19.5" customHeight="1">
      <c r="A34" s="3503"/>
      <c r="B34" s="3500"/>
      <c r="C34" s="2841" t="s">
        <v>2464</v>
      </c>
      <c r="D34" s="2842"/>
      <c r="E34" s="2843">
        <v>0.6</v>
      </c>
      <c r="F34" s="2840" t="s">
        <v>2465</v>
      </c>
      <c r="G34" s="2840"/>
    </row>
    <row r="35" spans="1:7" ht="19.5" customHeight="1">
      <c r="A35" s="3503"/>
      <c r="B35" s="3500"/>
      <c r="C35" s="2841" t="s">
        <v>2466</v>
      </c>
      <c r="D35" s="2842"/>
      <c r="E35" s="2843">
        <v>0.2</v>
      </c>
      <c r="F35" s="2840" t="s">
        <v>2467</v>
      </c>
      <c r="G35" s="2840"/>
    </row>
    <row r="36" spans="1:7" ht="19.5" customHeight="1">
      <c r="A36" s="3503"/>
      <c r="B36" s="3500"/>
      <c r="C36" s="2841" t="s">
        <v>2468</v>
      </c>
      <c r="D36" s="2842"/>
      <c r="E36" s="2843">
        <v>0.2</v>
      </c>
      <c r="F36" s="2840" t="s">
        <v>2469</v>
      </c>
      <c r="G36" s="2840"/>
    </row>
    <row r="37" spans="1:7" ht="19.5" customHeight="1">
      <c r="A37" s="3503"/>
      <c r="B37" s="3505" t="s">
        <v>2630</v>
      </c>
      <c r="C37" s="2841" t="s">
        <v>2470</v>
      </c>
      <c r="D37" s="2842"/>
      <c r="E37" s="2843">
        <v>0.6</v>
      </c>
      <c r="F37" s="2840" t="s">
        <v>2471</v>
      </c>
      <c r="G37" s="2840"/>
    </row>
    <row r="38" spans="1:7" ht="19.5" customHeight="1">
      <c r="A38" s="3503"/>
      <c r="B38" s="3500"/>
      <c r="C38" s="2841" t="s">
        <v>2472</v>
      </c>
      <c r="D38" s="2842"/>
      <c r="E38" s="2843">
        <v>0.6</v>
      </c>
      <c r="F38" s="2840" t="s">
        <v>2473</v>
      </c>
      <c r="G38" s="2840"/>
    </row>
    <row r="39" spans="1:7" ht="19.5" customHeight="1" thickBot="1">
      <c r="A39" s="3504"/>
      <c r="B39" s="3501"/>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506" t="s">
        <v>2608</v>
      </c>
      <c r="B41" s="3499" t="s">
        <v>2632</v>
      </c>
      <c r="C41" s="2837" t="s">
        <v>2477</v>
      </c>
      <c r="D41" s="2838"/>
      <c r="E41" s="2839">
        <v>1</v>
      </c>
      <c r="F41" s="2840" t="s">
        <v>2478</v>
      </c>
      <c r="G41" s="2840"/>
    </row>
    <row r="42" spans="1:7" ht="19.5" customHeight="1">
      <c r="A42" s="3507"/>
      <c r="B42" s="3500"/>
      <c r="C42" s="2841" t="s">
        <v>2479</v>
      </c>
      <c r="D42" s="2842"/>
      <c r="E42" s="2843">
        <v>1</v>
      </c>
      <c r="F42" s="2840" t="s">
        <v>2480</v>
      </c>
      <c r="G42" s="2840"/>
    </row>
    <row r="43" spans="1:7" ht="19.5" customHeight="1">
      <c r="A43" s="3507"/>
      <c r="B43" s="3509"/>
      <c r="C43" s="2841" t="s">
        <v>2481</v>
      </c>
      <c r="D43" s="2842"/>
      <c r="E43" s="2843">
        <v>1.5</v>
      </c>
      <c r="F43" s="2840" t="s">
        <v>2482</v>
      </c>
      <c r="G43" s="2840"/>
    </row>
    <row r="44" spans="1:7" ht="19.5" customHeight="1">
      <c r="A44" s="3507"/>
      <c r="B44" s="2852" t="s">
        <v>2633</v>
      </c>
      <c r="C44" s="2841" t="s">
        <v>2634</v>
      </c>
      <c r="D44" s="2842"/>
      <c r="E44" s="2843">
        <v>2</v>
      </c>
      <c r="F44" s="2840" t="s">
        <v>2483</v>
      </c>
      <c r="G44" s="2840"/>
    </row>
    <row r="45" spans="1:7" ht="19.5" customHeight="1">
      <c r="A45" s="3507"/>
      <c r="B45" s="3505" t="s">
        <v>2635</v>
      </c>
      <c r="C45" s="2841" t="s">
        <v>2484</v>
      </c>
      <c r="D45" s="2842"/>
      <c r="E45" s="2843">
        <v>1</v>
      </c>
      <c r="F45" s="2840" t="s">
        <v>2485</v>
      </c>
      <c r="G45" s="2840"/>
    </row>
    <row r="46" spans="1:7" ht="19.5" customHeight="1">
      <c r="A46" s="3507"/>
      <c r="B46" s="3500"/>
      <c r="C46" s="2841" t="s">
        <v>2486</v>
      </c>
      <c r="D46" s="2842"/>
      <c r="E46" s="2843">
        <v>1</v>
      </c>
      <c r="F46" s="2840" t="s">
        <v>2487</v>
      </c>
      <c r="G46" s="2840"/>
    </row>
    <row r="47" spans="1:7" ht="19.5" customHeight="1">
      <c r="A47" s="3507"/>
      <c r="B47" s="3500"/>
      <c r="C47" s="2841" t="s">
        <v>2488</v>
      </c>
      <c r="D47" s="2842"/>
      <c r="E47" s="2843">
        <v>1</v>
      </c>
      <c r="F47" s="2840" t="s">
        <v>2489</v>
      </c>
      <c r="G47" s="2840"/>
    </row>
    <row r="48" spans="1:7" ht="19.5" customHeight="1">
      <c r="A48" s="3507"/>
      <c r="B48" s="3500"/>
      <c r="C48" s="2841" t="s">
        <v>2490</v>
      </c>
      <c r="D48" s="2842"/>
      <c r="E48" s="2843">
        <v>1</v>
      </c>
      <c r="F48" s="2840" t="s">
        <v>2491</v>
      </c>
      <c r="G48" s="2840"/>
    </row>
    <row r="49" spans="1:7" ht="19.5" customHeight="1">
      <c r="A49" s="3507"/>
      <c r="B49" s="3500"/>
      <c r="C49" s="2841" t="s">
        <v>2492</v>
      </c>
      <c r="D49" s="2842"/>
      <c r="E49" s="2843">
        <v>1</v>
      </c>
      <c r="F49" s="2840" t="s">
        <v>2493</v>
      </c>
      <c r="G49" s="2840"/>
    </row>
    <row r="50" spans="1:7" ht="19.5" customHeight="1">
      <c r="A50" s="3507"/>
      <c r="B50" s="3500"/>
      <c r="C50" s="2841" t="s">
        <v>2494</v>
      </c>
      <c r="D50" s="2842"/>
      <c r="E50" s="2843">
        <v>1</v>
      </c>
      <c r="F50" s="2840" t="s">
        <v>2495</v>
      </c>
      <c r="G50" s="2840"/>
    </row>
    <row r="51" spans="1:7" ht="19.5" customHeight="1" thickBot="1">
      <c r="A51" s="3508"/>
      <c r="B51" s="3501"/>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505" t="s">
        <v>2649</v>
      </c>
      <c r="C73" s="2826" t="s">
        <v>2650</v>
      </c>
      <c r="D73" s="2826" t="s">
        <v>2651</v>
      </c>
      <c r="E73" s="2852">
        <v>0.2</v>
      </c>
      <c r="F73" s="2852">
        <v>25</v>
      </c>
    </row>
    <row r="74" spans="1:7" ht="24">
      <c r="A74" s="2852">
        <v>2</v>
      </c>
      <c r="B74" s="3500"/>
      <c r="C74" s="2826" t="s">
        <v>2652</v>
      </c>
      <c r="D74" s="2826" t="s">
        <v>2653</v>
      </c>
      <c r="E74" s="2852">
        <v>0.2</v>
      </c>
      <c r="F74" s="2852">
        <v>25</v>
      </c>
    </row>
    <row r="75" spans="1:7" ht="24">
      <c r="A75" s="2852">
        <v>3</v>
      </c>
      <c r="B75" s="3500"/>
      <c r="C75" s="2826" t="s">
        <v>2654</v>
      </c>
      <c r="D75" s="2826" t="s">
        <v>2655</v>
      </c>
      <c r="E75" s="2852">
        <v>0.2</v>
      </c>
      <c r="F75" s="2852">
        <v>25</v>
      </c>
    </row>
    <row r="76" spans="1:7" ht="13.5">
      <c r="A76" s="2852">
        <v>4</v>
      </c>
      <c r="B76" s="3500"/>
      <c r="C76" s="2826" t="s">
        <v>2656</v>
      </c>
      <c r="D76" s="2826" t="s">
        <v>2657</v>
      </c>
      <c r="E76" s="2852">
        <v>0.15</v>
      </c>
      <c r="F76" s="2852">
        <v>20</v>
      </c>
    </row>
    <row r="77" spans="1:7" ht="24">
      <c r="A77" s="2852">
        <v>5</v>
      </c>
      <c r="B77" s="3500"/>
      <c r="C77" s="2826" t="s">
        <v>2658</v>
      </c>
      <c r="D77" s="2826" t="s">
        <v>2659</v>
      </c>
      <c r="E77" s="2852">
        <v>0.15</v>
      </c>
      <c r="F77" s="2852">
        <v>20</v>
      </c>
    </row>
    <row r="78" spans="1:7" ht="24">
      <c r="A78" s="2852">
        <v>6</v>
      </c>
      <c r="B78" s="3500"/>
      <c r="C78" s="2826" t="s">
        <v>2660</v>
      </c>
      <c r="D78" s="2826" t="s">
        <v>2661</v>
      </c>
      <c r="E78" s="2852">
        <v>0.15</v>
      </c>
      <c r="F78" s="2852">
        <v>20</v>
      </c>
    </row>
    <row r="79" spans="1:7" ht="24">
      <c r="A79" s="2852">
        <v>7</v>
      </c>
      <c r="B79" s="3500"/>
      <c r="C79" s="2826" t="s">
        <v>2662</v>
      </c>
      <c r="D79" s="2826" t="s">
        <v>2663</v>
      </c>
      <c r="E79" s="2852">
        <v>0.15</v>
      </c>
      <c r="F79" s="2852">
        <v>20</v>
      </c>
    </row>
    <row r="80" spans="1:7" ht="24">
      <c r="A80" s="2852">
        <v>8</v>
      </c>
      <c r="B80" s="3500"/>
      <c r="C80" s="2826" t="s">
        <v>2664</v>
      </c>
      <c r="D80" s="2826" t="s">
        <v>2665</v>
      </c>
      <c r="E80" s="2852">
        <v>0.1</v>
      </c>
      <c r="F80" s="2852">
        <v>15</v>
      </c>
    </row>
    <row r="81" spans="1:6" ht="24">
      <c r="A81" s="2852">
        <v>9</v>
      </c>
      <c r="B81" s="3500"/>
      <c r="C81" s="2826" t="s">
        <v>2666</v>
      </c>
      <c r="D81" s="2826" t="s">
        <v>2667</v>
      </c>
      <c r="E81" s="2852">
        <v>0.1</v>
      </c>
      <c r="F81" s="2852">
        <v>15</v>
      </c>
    </row>
    <row r="82" spans="1:6" ht="24">
      <c r="A82" s="2852">
        <v>10</v>
      </c>
      <c r="B82" s="3500"/>
      <c r="C82" s="2826" t="s">
        <v>2668</v>
      </c>
      <c r="D82" s="2826" t="s">
        <v>2669</v>
      </c>
      <c r="E82" s="2852">
        <v>0.1</v>
      </c>
      <c r="F82" s="2852">
        <v>15</v>
      </c>
    </row>
    <row r="83" spans="1:6" ht="24">
      <c r="A83" s="2852">
        <v>11</v>
      </c>
      <c r="B83" s="3500"/>
      <c r="C83" s="2826" t="s">
        <v>2670</v>
      </c>
      <c r="D83" s="2826" t="s">
        <v>2671</v>
      </c>
      <c r="E83" s="2852">
        <v>0.1</v>
      </c>
      <c r="F83" s="2852">
        <v>15</v>
      </c>
    </row>
    <row r="84" spans="1:6" ht="24">
      <c r="A84" s="2852">
        <v>12</v>
      </c>
      <c r="B84" s="3500"/>
      <c r="C84" s="2826" t="s">
        <v>2672</v>
      </c>
      <c r="D84" s="2826" t="s">
        <v>2673</v>
      </c>
      <c r="E84" s="2852">
        <v>0.1</v>
      </c>
      <c r="F84" s="2852">
        <v>15</v>
      </c>
    </row>
    <row r="85" spans="1:6" ht="13.5">
      <c r="A85" s="2852">
        <v>13</v>
      </c>
      <c r="B85" s="3500"/>
      <c r="C85" s="2826" t="s">
        <v>2674</v>
      </c>
      <c r="D85" s="2826" t="s">
        <v>2675</v>
      </c>
      <c r="E85" s="2852">
        <v>0.1</v>
      </c>
      <c r="F85" s="2852">
        <v>15</v>
      </c>
    </row>
    <row r="86" spans="1:6" ht="13.5">
      <c r="A86" s="2852">
        <v>14</v>
      </c>
      <c r="B86" s="3500"/>
      <c r="C86" s="2826" t="s">
        <v>2676</v>
      </c>
      <c r="D86" s="2826" t="s">
        <v>2677</v>
      </c>
      <c r="E86" s="2852">
        <v>0.1</v>
      </c>
      <c r="F86" s="2852">
        <v>15</v>
      </c>
    </row>
    <row r="87" spans="1:6" ht="13.5">
      <c r="A87" s="2852">
        <v>15</v>
      </c>
      <c r="B87" s="3500"/>
      <c r="C87" s="2826" t="s">
        <v>2678</v>
      </c>
      <c r="D87" s="2826" t="s">
        <v>2679</v>
      </c>
      <c r="E87" s="2852">
        <v>0.1</v>
      </c>
      <c r="F87" s="2852">
        <v>15</v>
      </c>
    </row>
    <row r="88" spans="1:6" ht="24">
      <c r="A88" s="2852">
        <v>16</v>
      </c>
      <c r="B88" s="3500"/>
      <c r="C88" s="2826" t="s">
        <v>2680</v>
      </c>
      <c r="D88" s="2826" t="s">
        <v>2681</v>
      </c>
      <c r="E88" s="2852">
        <v>0.1</v>
      </c>
      <c r="F88" s="2852">
        <v>15</v>
      </c>
    </row>
    <row r="89" spans="1:6" ht="24">
      <c r="A89" s="2852">
        <v>17</v>
      </c>
      <c r="B89" s="3509"/>
      <c r="C89" s="2826" t="s">
        <v>2682</v>
      </c>
      <c r="D89" s="2826" t="s">
        <v>2683</v>
      </c>
      <c r="E89" s="2852">
        <v>0.1</v>
      </c>
      <c r="F89" s="2852">
        <v>15</v>
      </c>
    </row>
    <row r="90" spans="1:6" ht="13.5">
      <c r="A90" s="2852">
        <v>18</v>
      </c>
      <c r="B90" s="3505" t="s">
        <v>2684</v>
      </c>
      <c r="C90" s="2826" t="s">
        <v>2685</v>
      </c>
      <c r="D90" s="2826" t="s">
        <v>2686</v>
      </c>
      <c r="E90" s="2852">
        <v>0.2</v>
      </c>
      <c r="F90" s="2852">
        <v>25</v>
      </c>
    </row>
    <row r="91" spans="1:6" ht="24">
      <c r="A91" s="2852">
        <v>19</v>
      </c>
      <c r="B91" s="3500"/>
      <c r="C91" s="2826" t="s">
        <v>2687</v>
      </c>
      <c r="D91" s="2826" t="s">
        <v>2688</v>
      </c>
      <c r="E91" s="2852">
        <v>0.2</v>
      </c>
      <c r="F91" s="2852">
        <v>25</v>
      </c>
    </row>
    <row r="92" spans="1:6" ht="13.5">
      <c r="A92" s="2852">
        <v>20</v>
      </c>
      <c r="B92" s="3500"/>
      <c r="C92" s="2826" t="s">
        <v>2689</v>
      </c>
      <c r="D92" s="2826" t="s">
        <v>2690</v>
      </c>
      <c r="E92" s="2852">
        <v>0.15</v>
      </c>
      <c r="F92" s="2852">
        <v>20</v>
      </c>
    </row>
    <row r="93" spans="1:6" ht="13.5">
      <c r="A93" s="2852">
        <v>21</v>
      </c>
      <c r="B93" s="3500"/>
      <c r="C93" s="2826" t="s">
        <v>2691</v>
      </c>
      <c r="D93" s="2826" t="s">
        <v>2692</v>
      </c>
      <c r="E93" s="2852">
        <v>0.15</v>
      </c>
      <c r="F93" s="2852">
        <v>20</v>
      </c>
    </row>
    <row r="94" spans="1:6" ht="13.5">
      <c r="A94" s="2852">
        <v>22</v>
      </c>
      <c r="B94" s="3500"/>
      <c r="C94" s="2826" t="s">
        <v>2693</v>
      </c>
      <c r="D94" s="2826" t="s">
        <v>2694</v>
      </c>
      <c r="E94" s="2852">
        <v>0.15</v>
      </c>
      <c r="F94" s="2852">
        <v>20</v>
      </c>
    </row>
    <row r="95" spans="1:6" ht="36">
      <c r="A95" s="2852">
        <v>23</v>
      </c>
      <c r="B95" s="3500"/>
      <c r="C95" s="2826" t="s">
        <v>2695</v>
      </c>
      <c r="D95" s="2826" t="s">
        <v>2696</v>
      </c>
      <c r="E95" s="2852">
        <v>0.15</v>
      </c>
      <c r="F95" s="2852">
        <v>20</v>
      </c>
    </row>
    <row r="96" spans="1:6" ht="13.5">
      <c r="A96" s="2852">
        <v>24</v>
      </c>
      <c r="B96" s="3500"/>
      <c r="C96" s="2826" t="s">
        <v>2697</v>
      </c>
      <c r="D96" s="2826" t="s">
        <v>2698</v>
      </c>
      <c r="E96" s="2852">
        <v>0.1</v>
      </c>
      <c r="F96" s="2852">
        <v>15</v>
      </c>
    </row>
    <row r="97" spans="1:6" ht="13.5">
      <c r="A97" s="2852">
        <v>25</v>
      </c>
      <c r="B97" s="3500"/>
      <c r="C97" s="2826" t="s">
        <v>2699</v>
      </c>
      <c r="D97" s="2826" t="s">
        <v>2700</v>
      </c>
      <c r="E97" s="2852">
        <v>0.1</v>
      </c>
      <c r="F97" s="2852">
        <v>15</v>
      </c>
    </row>
    <row r="98" spans="1:6" ht="24">
      <c r="A98" s="2852">
        <v>26</v>
      </c>
      <c r="B98" s="3500"/>
      <c r="C98" s="2826" t="s">
        <v>2701</v>
      </c>
      <c r="D98" s="2826" t="s">
        <v>2702</v>
      </c>
      <c r="E98" s="2852">
        <v>0.1</v>
      </c>
      <c r="F98" s="2852">
        <v>15</v>
      </c>
    </row>
    <row r="99" spans="1:6" ht="24">
      <c r="A99" s="2852">
        <v>27</v>
      </c>
      <c r="B99" s="3500"/>
      <c r="C99" s="2826" t="s">
        <v>2703</v>
      </c>
      <c r="D99" s="2826" t="s">
        <v>2704</v>
      </c>
      <c r="E99" s="2852">
        <v>0.1</v>
      </c>
      <c r="F99" s="2852">
        <v>15</v>
      </c>
    </row>
    <row r="100" spans="1:6" ht="13.5">
      <c r="A100" s="2852">
        <v>28</v>
      </c>
      <c r="B100" s="3500"/>
      <c r="C100" s="2826" t="s">
        <v>2705</v>
      </c>
      <c r="D100" s="2826" t="s">
        <v>2706</v>
      </c>
      <c r="E100" s="2852">
        <v>0.1</v>
      </c>
      <c r="F100" s="2852">
        <v>15</v>
      </c>
    </row>
    <row r="101" spans="1:6" ht="13.5">
      <c r="A101" s="2852">
        <v>29</v>
      </c>
      <c r="B101" s="3500"/>
      <c r="C101" s="2826" t="s">
        <v>2707</v>
      </c>
      <c r="D101" s="2826" t="s">
        <v>2708</v>
      </c>
      <c r="E101" s="2852">
        <v>0.1</v>
      </c>
      <c r="F101" s="2852">
        <v>15</v>
      </c>
    </row>
    <row r="102" spans="1:6" ht="13.5">
      <c r="A102" s="2852">
        <v>30</v>
      </c>
      <c r="B102" s="3500"/>
      <c r="C102" s="2826" t="s">
        <v>2709</v>
      </c>
      <c r="D102" s="2826" t="s">
        <v>2710</v>
      </c>
      <c r="E102" s="2852">
        <v>0.1</v>
      </c>
      <c r="F102" s="2852">
        <v>15</v>
      </c>
    </row>
    <row r="103" spans="1:6" ht="24">
      <c r="A103" s="2852">
        <v>31</v>
      </c>
      <c r="B103" s="3500"/>
      <c r="C103" s="2826" t="s">
        <v>2711</v>
      </c>
      <c r="D103" s="2826" t="s">
        <v>2712</v>
      </c>
      <c r="E103" s="2852">
        <v>0.1</v>
      </c>
      <c r="F103" s="2852">
        <v>15</v>
      </c>
    </row>
    <row r="104" spans="1:6" ht="24">
      <c r="A104" s="2852">
        <v>32</v>
      </c>
      <c r="B104" s="3500"/>
      <c r="C104" s="2826" t="s">
        <v>2713</v>
      </c>
      <c r="D104" s="2826" t="s">
        <v>2714</v>
      </c>
      <c r="E104" s="2852">
        <v>0.1</v>
      </c>
      <c r="F104" s="2852">
        <v>15</v>
      </c>
    </row>
    <row r="105" spans="1:6" ht="24">
      <c r="A105" s="2852">
        <v>33</v>
      </c>
      <c r="B105" s="3500"/>
      <c r="C105" s="2826" t="s">
        <v>2715</v>
      </c>
      <c r="D105" s="2826" t="s">
        <v>2716</v>
      </c>
      <c r="E105" s="2852">
        <v>0.1</v>
      </c>
      <c r="F105" s="2852">
        <v>15</v>
      </c>
    </row>
    <row r="106" spans="1:6" ht="24">
      <c r="A106" s="2852">
        <v>34</v>
      </c>
      <c r="B106" s="3509"/>
      <c r="C106" s="2826" t="s">
        <v>2717</v>
      </c>
      <c r="D106" s="2826" t="s">
        <v>2718</v>
      </c>
      <c r="E106" s="2852">
        <v>0.1</v>
      </c>
      <c r="F106" s="2852">
        <v>15</v>
      </c>
    </row>
    <row r="107" spans="1:6" ht="24">
      <c r="A107" s="2852">
        <v>35</v>
      </c>
      <c r="B107" s="3505" t="s">
        <v>2719</v>
      </c>
      <c r="C107" s="2852" t="s">
        <v>2720</v>
      </c>
      <c r="D107" s="2826" t="s">
        <v>2721</v>
      </c>
      <c r="E107" s="2852">
        <v>0.15</v>
      </c>
      <c r="F107" s="2852">
        <v>20</v>
      </c>
    </row>
    <row r="108" spans="1:6" ht="13.5">
      <c r="A108" s="2852">
        <v>36</v>
      </c>
      <c r="B108" s="3500"/>
      <c r="C108" s="2852" t="s">
        <v>2722</v>
      </c>
      <c r="D108" s="2826" t="s">
        <v>2723</v>
      </c>
      <c r="E108" s="2852">
        <v>0.15</v>
      </c>
      <c r="F108" s="2852">
        <v>20</v>
      </c>
    </row>
    <row r="109" spans="1:6" ht="13.5">
      <c r="A109" s="2852">
        <v>37</v>
      </c>
      <c r="B109" s="3500"/>
      <c r="C109" s="2852" t="s">
        <v>2724</v>
      </c>
      <c r="D109" s="2826" t="s">
        <v>2725</v>
      </c>
      <c r="E109" s="2852">
        <v>0.15</v>
      </c>
      <c r="F109" s="2852">
        <v>20</v>
      </c>
    </row>
    <row r="110" spans="1:6" ht="13.5">
      <c r="A110" s="2852">
        <v>38</v>
      </c>
      <c r="B110" s="3500"/>
      <c r="C110" s="2852" t="s">
        <v>2726</v>
      </c>
      <c r="D110" s="2826" t="s">
        <v>2727</v>
      </c>
      <c r="E110" s="2852">
        <v>0.1</v>
      </c>
      <c r="F110" s="2852">
        <v>15</v>
      </c>
    </row>
    <row r="111" spans="1:6" ht="24">
      <c r="A111" s="2852">
        <v>39</v>
      </c>
      <c r="B111" s="3500"/>
      <c r="C111" s="2852" t="s">
        <v>2728</v>
      </c>
      <c r="D111" s="2826" t="s">
        <v>2729</v>
      </c>
      <c r="E111" s="2852">
        <v>0.1</v>
      </c>
      <c r="F111" s="2852">
        <v>15</v>
      </c>
    </row>
    <row r="112" spans="1:6" ht="24">
      <c r="A112" s="2852">
        <v>40</v>
      </c>
      <c r="B112" s="3509"/>
      <c r="C112" s="2852" t="s">
        <v>2730</v>
      </c>
      <c r="D112" s="2826" t="s">
        <v>2731</v>
      </c>
      <c r="E112" s="2852">
        <v>0.1</v>
      </c>
      <c r="F112" s="2852">
        <v>15</v>
      </c>
    </row>
    <row r="113" spans="1:6" ht="13.5">
      <c r="A113" s="2852">
        <v>41</v>
      </c>
      <c r="B113" s="3510" t="s">
        <v>2732</v>
      </c>
      <c r="C113" s="2852" t="s">
        <v>2733</v>
      </c>
      <c r="D113" s="2826" t="s">
        <v>2734</v>
      </c>
      <c r="E113" s="2852">
        <v>0.1</v>
      </c>
      <c r="F113" s="2852">
        <v>15</v>
      </c>
    </row>
    <row r="114" spans="1:6" ht="13.5">
      <c r="A114" s="2852">
        <v>42</v>
      </c>
      <c r="B114" s="3510"/>
      <c r="C114" s="2852" t="s">
        <v>2735</v>
      </c>
      <c r="D114" s="2826" t="s">
        <v>2736</v>
      </c>
      <c r="E114" s="2852">
        <v>0.1</v>
      </c>
      <c r="F114" s="2852">
        <v>15</v>
      </c>
    </row>
    <row r="115" spans="1:6" ht="24">
      <c r="A115" s="2852">
        <v>43</v>
      </c>
      <c r="B115" s="3510"/>
      <c r="C115" s="2852" t="s">
        <v>2737</v>
      </c>
      <c r="D115" s="2826" t="s">
        <v>2738</v>
      </c>
      <c r="E115" s="2852">
        <v>0.1</v>
      </c>
      <c r="F115" s="2852">
        <v>15</v>
      </c>
    </row>
    <row r="116" spans="1:6" ht="13.5">
      <c r="A116" s="2852">
        <v>44</v>
      </c>
      <c r="B116" s="3505" t="s">
        <v>2739</v>
      </c>
      <c r="C116" s="2852" t="s">
        <v>2740</v>
      </c>
      <c r="D116" s="2826" t="s">
        <v>2741</v>
      </c>
      <c r="E116" s="2852">
        <v>0.1</v>
      </c>
      <c r="F116" s="2852">
        <v>15</v>
      </c>
    </row>
    <row r="117" spans="1:6" ht="24">
      <c r="A117" s="2852">
        <v>45</v>
      </c>
      <c r="B117" s="3509"/>
      <c r="C117" s="2826" t="s">
        <v>2742</v>
      </c>
      <c r="D117" s="2826" t="s">
        <v>2743</v>
      </c>
      <c r="E117" s="2852">
        <v>0.1</v>
      </c>
      <c r="F117" s="2852">
        <v>15</v>
      </c>
    </row>
    <row r="118" spans="1:6" ht="24">
      <c r="A118" s="2852">
        <v>46</v>
      </c>
      <c r="B118" s="3505" t="s">
        <v>2744</v>
      </c>
      <c r="C118" s="2852" t="s">
        <v>2745</v>
      </c>
      <c r="D118" s="2826" t="s">
        <v>2746</v>
      </c>
      <c r="E118" s="2852">
        <v>0.1</v>
      </c>
      <c r="F118" s="2852">
        <v>15</v>
      </c>
    </row>
    <row r="119" spans="1:6" ht="24">
      <c r="A119" s="2852">
        <v>47</v>
      </c>
      <c r="B119" s="3509"/>
      <c r="C119" s="2852" t="s">
        <v>2747</v>
      </c>
      <c r="D119" s="2826" t="s">
        <v>2748</v>
      </c>
      <c r="E119" s="2852">
        <v>0.1</v>
      </c>
      <c r="F119" s="2852">
        <v>15</v>
      </c>
    </row>
    <row r="120" spans="1:6" ht="13.5">
      <c r="A120" s="2852">
        <v>48</v>
      </c>
      <c r="B120" s="3505" t="s">
        <v>2749</v>
      </c>
      <c r="C120" s="2852" t="s">
        <v>2750</v>
      </c>
      <c r="D120" s="2826" t="s">
        <v>2751</v>
      </c>
      <c r="E120" s="2852">
        <v>0.1</v>
      </c>
      <c r="F120" s="2852">
        <v>15</v>
      </c>
    </row>
    <row r="121" spans="1:6" ht="13.5">
      <c r="A121" s="2852">
        <v>49</v>
      </c>
      <c r="B121" s="3509"/>
      <c r="C121" s="2852" t="s">
        <v>2752</v>
      </c>
      <c r="D121" s="2826" t="s">
        <v>2753</v>
      </c>
      <c r="E121" s="2852">
        <v>0.1</v>
      </c>
      <c r="F121" s="2852">
        <v>15</v>
      </c>
    </row>
    <row r="122" spans="1:6" ht="24">
      <c r="A122" s="2852">
        <v>50</v>
      </c>
      <c r="B122" s="3510" t="s">
        <v>2754</v>
      </c>
      <c r="C122" s="2852" t="s">
        <v>2755</v>
      </c>
      <c r="D122" s="2826" t="s">
        <v>2756</v>
      </c>
      <c r="E122" s="2852">
        <v>0.1</v>
      </c>
      <c r="F122" s="2852">
        <v>15</v>
      </c>
    </row>
    <row r="123" spans="1:6" ht="24">
      <c r="A123" s="2852">
        <v>51</v>
      </c>
      <c r="B123" s="3510"/>
      <c r="C123" s="2852" t="s">
        <v>2757</v>
      </c>
      <c r="D123" s="2826" t="s">
        <v>2758</v>
      </c>
      <c r="E123" s="2852">
        <v>0.1</v>
      </c>
      <c r="F123" s="2852">
        <v>15</v>
      </c>
    </row>
    <row r="124" spans="1:6" ht="24">
      <c r="A124" s="2852">
        <v>52</v>
      </c>
      <c r="B124" s="3510" t="s">
        <v>2759</v>
      </c>
      <c r="C124" s="2852" t="s">
        <v>2760</v>
      </c>
      <c r="D124" s="2826" t="s">
        <v>2761</v>
      </c>
      <c r="E124" s="2852">
        <v>0.1</v>
      </c>
      <c r="F124" s="2852">
        <v>15</v>
      </c>
    </row>
    <row r="125" spans="1:6" ht="24">
      <c r="A125" s="2852">
        <v>53</v>
      </c>
      <c r="B125" s="3510"/>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510" t="s">
        <v>2767</v>
      </c>
      <c r="C127" s="2852" t="s">
        <v>2768</v>
      </c>
      <c r="D127" s="2826" t="s">
        <v>2769</v>
      </c>
      <c r="E127" s="2852">
        <v>0.1</v>
      </c>
      <c r="F127" s="2852">
        <v>15</v>
      </c>
    </row>
    <row r="128" spans="1:6" ht="13.5">
      <c r="A128" s="2852">
        <v>56</v>
      </c>
      <c r="B128" s="3510"/>
      <c r="C128" s="2852" t="s">
        <v>2770</v>
      </c>
      <c r="D128" s="2826" t="s">
        <v>2771</v>
      </c>
      <c r="E128" s="2852">
        <v>0.1</v>
      </c>
      <c r="F128" s="2852">
        <v>15</v>
      </c>
    </row>
    <row r="129" spans="1:6" ht="24">
      <c r="A129" s="2852">
        <v>57</v>
      </c>
      <c r="B129" s="3510"/>
      <c r="C129" s="2852" t="s">
        <v>2772</v>
      </c>
      <c r="D129" s="2826" t="s">
        <v>2773</v>
      </c>
      <c r="E129" s="2852">
        <v>0.1</v>
      </c>
      <c r="F129" s="2852">
        <v>15</v>
      </c>
    </row>
    <row r="130" spans="1:6" ht="24">
      <c r="A130" s="2852">
        <v>58</v>
      </c>
      <c r="B130" s="3510" t="s">
        <v>2774</v>
      </c>
      <c r="C130" s="2852" t="s">
        <v>2775</v>
      </c>
      <c r="D130" s="2826" t="s">
        <v>2776</v>
      </c>
      <c r="E130" s="2852">
        <v>0.1</v>
      </c>
      <c r="F130" s="2852">
        <v>15</v>
      </c>
    </row>
    <row r="131" spans="1:6" ht="13.5">
      <c r="A131" s="2852">
        <v>59</v>
      </c>
      <c r="B131" s="3510"/>
      <c r="C131" s="2852" t="s">
        <v>2777</v>
      </c>
      <c r="D131" s="2826" t="s">
        <v>2778</v>
      </c>
      <c r="E131" s="2852">
        <v>0.1</v>
      </c>
      <c r="F131" s="2852">
        <v>15</v>
      </c>
    </row>
    <row r="132" spans="1:6" ht="13.5">
      <c r="A132" s="2852">
        <v>60</v>
      </c>
      <c r="B132" s="3505" t="s">
        <v>2779</v>
      </c>
      <c r="C132" s="2852" t="s">
        <v>2780</v>
      </c>
      <c r="D132" s="2826" t="s">
        <v>2781</v>
      </c>
      <c r="E132" s="2852">
        <v>0.1</v>
      </c>
      <c r="F132" s="2852">
        <v>15</v>
      </c>
    </row>
    <row r="133" spans="1:6" ht="13.5">
      <c r="A133" s="2852">
        <v>61</v>
      </c>
      <c r="B133" s="3509"/>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510" t="s">
        <v>2787</v>
      </c>
      <c r="C135" s="2852" t="s">
        <v>2788</v>
      </c>
      <c r="D135" s="2826" t="s">
        <v>2789</v>
      </c>
      <c r="E135" s="2852">
        <v>0.1</v>
      </c>
      <c r="F135" s="2852">
        <v>15</v>
      </c>
    </row>
    <row r="136" spans="1:6" ht="13.5">
      <c r="A136" s="2852">
        <v>64</v>
      </c>
      <c r="B136" s="3510"/>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6"/>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0.94640000000000002</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0.9002</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9"/>
      <c r="B4" s="3194" t="s">
        <v>917</v>
      </c>
      <c r="C4" s="3194"/>
      <c r="D4" s="3194"/>
      <c r="E4" s="1389"/>
    </row>
    <row r="5" spans="1:5" ht="16.5" thickTop="1">
      <c r="B5" s="3192" t="s">
        <v>909</v>
      </c>
      <c r="C5" s="1390" t="s">
        <v>910</v>
      </c>
      <c r="D5" s="796" t="e">
        <f ca="1">结果表!H101</f>
        <v>#REF!</v>
      </c>
    </row>
    <row r="6" spans="1:5" ht="15.75">
      <c r="B6" s="3192"/>
      <c r="C6" s="1390" t="s">
        <v>911</v>
      </c>
      <c r="D6" s="796" t="e">
        <f ca="1">NUMBERSTRING(INT(D5*10000),2)&amp;"元整"</f>
        <v>#REF!</v>
      </c>
    </row>
    <row r="7" spans="1:5" ht="15.75">
      <c r="B7" s="3197"/>
      <c r="C7" s="1391" t="s">
        <v>912</v>
      </c>
      <c r="D7" s="797" t="e">
        <f ca="1">结果表!H102</f>
        <v>#REF!</v>
      </c>
    </row>
    <row r="8" spans="1:5" ht="15.75">
      <c r="B8" s="3198" t="str">
        <f>结果表!E103</f>
        <v>2.估价师知悉的法定优先受偿款</v>
      </c>
      <c r="C8" s="1392" t="s">
        <v>913</v>
      </c>
      <c r="D8" s="797">
        <f>结果表!H103</f>
        <v>0</v>
      </c>
    </row>
    <row r="9" spans="1:5" ht="15.75">
      <c r="B9" s="3200"/>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1" t="str">
        <f>结果表!E107</f>
        <v>3.房地产抵押价值</v>
      </c>
      <c r="C13" s="1395" t="s">
        <v>910</v>
      </c>
      <c r="D13" s="799" t="e">
        <f ca="1">结果表!H107</f>
        <v>#REF!</v>
      </c>
    </row>
    <row r="14" spans="1:5" ht="15.75">
      <c r="B14" s="3192"/>
      <c r="C14" s="1390" t="s">
        <v>911</v>
      </c>
      <c r="D14" s="796" t="e">
        <f ca="1">NUMBERSTRING(INT(D13*10000),2)&amp;"元整"</f>
        <v>#REF!</v>
      </c>
    </row>
    <row r="15" spans="1:5" ht="15">
      <c r="B15" s="3197"/>
      <c r="C15" s="1391" t="s">
        <v>921</v>
      </c>
      <c r="D15" s="805" t="e">
        <f ca="1">结果表!H108</f>
        <v>#REF!</v>
      </c>
    </row>
    <row r="16" spans="1:5" ht="15">
      <c r="B16" s="3198" t="str">
        <f>结果表!E109</f>
        <v>——</v>
      </c>
      <c r="C16" s="1395" t="s">
        <v>922</v>
      </c>
      <c r="D16" s="1396" t="str">
        <f>结果表!H109</f>
        <v>——</v>
      </c>
    </row>
    <row r="17" spans="1:5" ht="15.75">
      <c r="B17" s="3199"/>
      <c r="C17" s="1390" t="s">
        <v>923</v>
      </c>
      <c r="D17" s="796" t="e">
        <f>NUMBERSTRING(INT(D16*10000),2)&amp;"元整"</f>
        <v>#VALUE!</v>
      </c>
    </row>
    <row r="18" spans="1:5" ht="15">
      <c r="B18" s="3200"/>
      <c r="C18" s="1391" t="s">
        <v>912</v>
      </c>
      <c r="D18" s="805" t="str">
        <f>结果表!H110</f>
        <v>——</v>
      </c>
    </row>
    <row r="19" spans="1:5" ht="15.75">
      <c r="B19" s="3191" t="str">
        <f>结果表!E111</f>
        <v>——</v>
      </c>
      <c r="C19" s="1395" t="s">
        <v>910</v>
      </c>
      <c r="D19" s="797" t="str">
        <f>结果表!H111</f>
        <v>——</v>
      </c>
    </row>
    <row r="20" spans="1:5" ht="15.75">
      <c r="B20" s="3192"/>
      <c r="C20" s="1390" t="s">
        <v>923</v>
      </c>
      <c r="D20" s="796" t="e">
        <f>NUMBERSTRING(INT(D19*10000),2)&amp;"元整"</f>
        <v>#VALUE!</v>
      </c>
    </row>
    <row r="21" spans="1:5" ht="15.75" thickBot="1">
      <c r="B21" s="3193"/>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30760</v>
      </c>
      <c r="C2" s="2" t="s">
        <v>106</v>
      </c>
      <c r="D2" s="190"/>
      <c r="E2" s="190"/>
      <c r="F2" s="190"/>
      <c r="G2" s="190"/>
    </row>
    <row r="3" spans="1:7" s="191" customFormat="1" ht="18" customHeight="1" thickBot="1">
      <c r="A3" s="194" t="s">
        <v>58</v>
      </c>
      <c r="B3" s="195">
        <f ca="1">ROUND(B2*10000/'数据-汇总表'!E3,0)</f>
        <v>6784296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45.34</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45.34</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5256</v>
      </c>
      <c r="D27" s="226">
        <f>C29</f>
        <v>5.0000000000000001E-3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5256</v>
      </c>
      <c r="D28" s="226"/>
      <c r="E28" s="227"/>
      <c r="F28" s="237"/>
      <c r="G28" s="238"/>
    </row>
    <row r="29" spans="1:7" s="205" customFormat="1" ht="13.5" customHeight="1">
      <c r="A29" s="733" t="s">
        <v>347</v>
      </c>
      <c r="B29" s="239" t="s">
        <v>425</v>
      </c>
      <c r="C29" s="229">
        <f>ROUND(C21*F27*'数据-取费表'!B21/'数据-取费表'!B20,4)</f>
        <v>5.0000000000000001E-3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30742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16</v>
      </c>
      <c r="D34" s="208"/>
      <c r="E34" s="211"/>
      <c r="F34" s="248">
        <f>IF('数据-取费表'!B24=0,1,'数据-取费表'!N16)</f>
        <v>1</v>
      </c>
      <c r="G34" s="210" t="s">
        <v>89</v>
      </c>
    </row>
    <row r="35" spans="1:7" ht="13.5" customHeight="1">
      <c r="A35" s="733" t="s">
        <v>351</v>
      </c>
      <c r="B35" s="206" t="s">
        <v>33</v>
      </c>
      <c r="C35" s="211">
        <f>ROUND(C34*F35,0)</f>
        <v>0</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1</v>
      </c>
      <c r="D37" s="208">
        <f>'数据-汇总表'!E3</f>
        <v>45.34</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72" t="s">
        <v>94</v>
      </c>
    </row>
    <row r="43" spans="1:7" ht="13.5" customHeight="1">
      <c r="A43" s="733" t="s">
        <v>347</v>
      </c>
      <c r="B43" s="206" t="s">
        <v>426</v>
      </c>
      <c r="C43" s="229">
        <f ca="1">ROUND(IF('数据-取费表'!B22&lt;=1,C39*F22*'数据-取费表'!B21/2,C39*(POWER((1+F22),'数据-取费表'!B21/2)-1)),0)</f>
        <v>0</v>
      </c>
      <c r="D43" s="229"/>
      <c r="E43" s="229"/>
      <c r="F43" s="230"/>
      <c r="G43" s="3373"/>
    </row>
    <row r="44" spans="1:7" ht="13.5" customHeight="1">
      <c r="A44" s="733" t="s">
        <v>348</v>
      </c>
      <c r="B44" s="206" t="s">
        <v>428</v>
      </c>
      <c r="C44" s="229">
        <f ca="1">ROUND(IF('数据-取费表'!B22&lt;=1,C40*F22*'数据-取费表'!B21/2,C40*(POWER((1+F22),'数据-取费表'!B21/2)-1)),4)</f>
        <v>1E-3</v>
      </c>
      <c r="D44" s="229"/>
      <c r="E44" s="229"/>
      <c r="F44" s="230"/>
      <c r="G44" s="3374"/>
    </row>
    <row r="45" spans="1:7" s="205" customFormat="1" ht="13.5" customHeight="1">
      <c r="A45" s="730" t="s">
        <v>341</v>
      </c>
      <c r="B45" s="235" t="s">
        <v>85</v>
      </c>
      <c r="C45" s="236">
        <f>C46</f>
        <v>5</v>
      </c>
      <c r="D45" s="226">
        <f>C47</f>
        <v>5.0000000000000001E-3</v>
      </c>
      <c r="E45" s="227" t="s">
        <v>102</v>
      </c>
      <c r="F45" s="237"/>
      <c r="G45" s="238" t="s">
        <v>434</v>
      </c>
    </row>
    <row r="46" spans="1:7" s="205" customFormat="1" ht="13.5" customHeight="1">
      <c r="A46" s="733" t="s">
        <v>349</v>
      </c>
      <c r="B46" s="239" t="s">
        <v>427</v>
      </c>
      <c r="C46" s="240">
        <f>ROUND((C33+C39)*F27,0)</f>
        <v>5</v>
      </c>
      <c r="D46" s="254"/>
      <c r="E46" s="227"/>
      <c r="F46" s="237"/>
      <c r="G46" s="238"/>
    </row>
    <row r="47" spans="1:7" s="205" customFormat="1" ht="13.5" customHeight="1">
      <c r="A47" s="733" t="s">
        <v>347</v>
      </c>
      <c r="B47" s="239" t="s">
        <v>429</v>
      </c>
      <c r="C47" s="229">
        <f>ROUND(C40*F27,4)</f>
        <v>5.0000000000000001E-3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26</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18</v>
      </c>
      <c r="D51" s="223"/>
      <c r="E51" s="223"/>
      <c r="F51" s="255"/>
      <c r="G51" s="225" t="s">
        <v>37</v>
      </c>
    </row>
    <row r="52" spans="1:7" s="199" customFormat="1" ht="16.5" thickBot="1">
      <c r="A52" s="256" t="s">
        <v>38</v>
      </c>
      <c r="B52" s="257"/>
      <c r="C52" s="258">
        <f ca="1">C31+C51</f>
        <v>30760</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13" t="s">
        <v>2839</v>
      </c>
      <c r="B1" s="3513"/>
      <c r="C1" s="3513"/>
      <c r="D1" s="3513"/>
      <c r="E1" s="3513"/>
      <c r="F1" s="3513"/>
      <c r="G1" s="3514"/>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2"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11" t="s">
        <v>2866</v>
      </c>
      <c r="B3" s="2939"/>
      <c r="C3" s="2940" t="s">
        <v>2809</v>
      </c>
      <c r="D3" s="2940" t="s">
        <v>2867</v>
      </c>
      <c r="E3" s="2940" t="s">
        <v>2811</v>
      </c>
      <c r="F3" s="2940" t="s">
        <v>2868</v>
      </c>
      <c r="G3" s="2940" t="s">
        <v>2629</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2" thickBot="1">
      <c r="A4" s="3512"/>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2"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2"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2"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2"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15" t="s">
        <v>3181</v>
      </c>
      <c r="B1" s="3515"/>
    </row>
    <row r="2" spans="1:7" ht="14.25" thickBot="1">
      <c r="A2" s="2963"/>
      <c r="B2" s="2963"/>
    </row>
    <row r="3" spans="1:7" ht="14.25" thickBot="1">
      <c r="A3" s="2963"/>
      <c r="B3" s="2963"/>
      <c r="C3" s="2964" t="s">
        <v>2809</v>
      </c>
      <c r="D3" s="2964" t="s">
        <v>2867</v>
      </c>
      <c r="E3" s="2964" t="s">
        <v>2811</v>
      </c>
      <c r="F3" s="2964" t="s">
        <v>2868</v>
      </c>
      <c r="G3" s="2964" t="s">
        <v>2629</v>
      </c>
    </row>
    <row r="4" spans="1:7" ht="14.2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4.2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4.2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4.2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4.2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4.2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4.2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4.2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4.2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4.2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4.2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8"/>
  </cols>
  <sheetData>
    <row r="1" spans="1:6" ht="14.25">
      <c r="A1" s="3516" t="s">
        <v>3232</v>
      </c>
      <c r="B1" s="3516"/>
      <c r="C1" s="3516"/>
      <c r="D1" s="3516"/>
      <c r="E1" s="3516"/>
      <c r="F1" s="3517"/>
    </row>
    <row r="2" spans="1:6" ht="14.25">
      <c r="A2" s="2997" t="s">
        <v>3233</v>
      </c>
    </row>
    <row r="3" spans="1:6" ht="14.25">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2">
        <f>基准地价修正!G23</f>
        <v>45288</v>
      </c>
      <c r="B1" s="2924" t="s">
        <v>2838</v>
      </c>
      <c r="C1" s="2925"/>
      <c r="D1" s="2925"/>
      <c r="E1" s="2925"/>
      <c r="F1" s="2925"/>
      <c r="G1" s="2925"/>
      <c r="H1" s="2925"/>
      <c r="I1" s="2925"/>
      <c r="J1" s="2891"/>
      <c r="K1" s="2925" t="s">
        <v>454</v>
      </c>
      <c r="L1" s="2925"/>
      <c r="M1" s="2925"/>
      <c r="N1" s="2925"/>
      <c r="O1" s="2925"/>
      <c r="P1" s="2925"/>
      <c r="Q1" s="2891"/>
      <c r="R1" s="3518" t="s">
        <v>456</v>
      </c>
      <c r="S1" s="3519"/>
      <c r="T1" s="3519"/>
      <c r="U1" s="3519"/>
      <c r="V1" s="3519"/>
      <c r="W1" s="3519"/>
      <c r="X1" s="2891"/>
      <c r="Y1" s="3518" t="s">
        <v>457</v>
      </c>
      <c r="Z1" s="3519"/>
      <c r="AA1" s="3519"/>
      <c r="AB1" s="3519"/>
      <c r="AC1" s="3519"/>
      <c r="AD1" s="3519"/>
    </row>
    <row r="2" spans="1:30" s="2005" customFormat="1" ht="14.25" thickBot="1">
      <c r="B2" s="2876"/>
      <c r="C2" s="2877"/>
      <c r="D2" s="2006" t="s">
        <v>2808</v>
      </c>
      <c r="E2" s="2007" t="s">
        <v>2809</v>
      </c>
      <c r="F2" s="2007" t="s">
        <v>2810</v>
      </c>
      <c r="G2" s="2007" t="s">
        <v>2811</v>
      </c>
      <c r="H2" s="2007" t="s">
        <v>2812</v>
      </c>
      <c r="I2" s="2007" t="s">
        <v>2629</v>
      </c>
      <c r="J2" s="2878"/>
      <c r="K2" s="2006" t="s">
        <v>2808</v>
      </c>
      <c r="L2" s="2007" t="s">
        <v>2809</v>
      </c>
      <c r="M2" s="2007" t="s">
        <v>2810</v>
      </c>
      <c r="N2" s="2007" t="s">
        <v>2811</v>
      </c>
      <c r="O2" s="2007" t="s">
        <v>2813</v>
      </c>
      <c r="P2" s="2007" t="s">
        <v>2629</v>
      </c>
      <c r="Q2" s="2878"/>
      <c r="R2" s="2006" t="s">
        <v>2808</v>
      </c>
      <c r="S2" s="2007" t="s">
        <v>2809</v>
      </c>
      <c r="T2" s="2007" t="s">
        <v>2810</v>
      </c>
      <c r="U2" s="2007" t="s">
        <v>2814</v>
      </c>
      <c r="V2" s="2007" t="s">
        <v>2815</v>
      </c>
      <c r="W2" s="2007" t="s">
        <v>2629</v>
      </c>
      <c r="X2" s="2878"/>
      <c r="Y2" s="2006" t="s">
        <v>2808</v>
      </c>
      <c r="Z2" s="2007" t="s">
        <v>2809</v>
      </c>
      <c r="AA2" s="2007" t="s">
        <v>2810</v>
      </c>
      <c r="AB2" s="2007" t="s">
        <v>2816</v>
      </c>
      <c r="AC2" s="2007" t="s">
        <v>2815</v>
      </c>
      <c r="AD2" s="2007" t="s">
        <v>2629</v>
      </c>
    </row>
    <row r="3" spans="1:30" s="2881" customFormat="1" ht="12.75">
      <c r="A3" s="2879" t="s">
        <v>2817</v>
      </c>
      <c r="B3" s="2880"/>
      <c r="D3" s="2881">
        <f>ROUND(AVERAGEIF(D4:D16,"&lt;&gt;0"),2)</f>
        <v>0.82</v>
      </c>
      <c r="E3" s="2881">
        <f>ROUND(AVERAGEIF(E4:E16,"&lt;&gt;0"),2)</f>
        <v>0.38</v>
      </c>
      <c r="F3" s="2881">
        <f>ROUND(AVERAGEIF(F4:F16,"&lt;&gt;0"),2)</f>
        <v>0.2</v>
      </c>
      <c r="G3" s="2881">
        <f>ROUND(AVERAGEIF(G4:G16,"&lt;&gt;0"),2)</f>
        <v>0.89</v>
      </c>
      <c r="H3" s="2881">
        <f>ROUND(AVERAGEIF(H4:H16,"&lt;&gt;0"),2)</f>
        <v>0.64</v>
      </c>
      <c r="I3" s="2881">
        <f>F3</f>
        <v>0.2</v>
      </c>
      <c r="J3" s="2882"/>
      <c r="K3" s="2883">
        <f>ROUND(AVERAGEIF(K4:K16,"&lt;&gt;0"),4)</f>
        <v>8.2000000000000007E-3</v>
      </c>
      <c r="L3" s="2884">
        <f>ROUND(AVERAGEIF(L4:L16,"&lt;&gt;0"),4)</f>
        <v>3.8E-3</v>
      </c>
      <c r="M3" s="2884">
        <f>ROUND(AVERAGEIF(M4:M16,"&lt;&gt;0"),4)</f>
        <v>2E-3</v>
      </c>
      <c r="N3" s="2884">
        <f>ROUND(AVERAGEIF(N4:N16,"&lt;&gt;0"),4)</f>
        <v>8.8999999999999999E-3</v>
      </c>
      <c r="O3" s="2884">
        <f>ROUND(AVERAGEIF(O4:O16,"&lt;&gt;0"),4)</f>
        <v>6.4000000000000003E-3</v>
      </c>
      <c r="P3" s="2884">
        <f>M3</f>
        <v>2E-3</v>
      </c>
      <c r="Q3" s="2882"/>
      <c r="R3" s="2885">
        <f>ROUND(SUMPRODUCT(PRODUCT(1+K4:K16)),4)</f>
        <v>1.0763</v>
      </c>
      <c r="S3" s="2886">
        <f>ROUND(SUMPRODUCT(PRODUCT(1+L4:L16)),4)</f>
        <v>1.0343</v>
      </c>
      <c r="T3" s="2886">
        <f>ROUND(SUMPRODUCT(PRODUCT(1+M4:M16)),4)</f>
        <v>1.0177</v>
      </c>
      <c r="U3" s="2886">
        <f>ROUND(SUMPRODUCT(PRODUCT(1+N4:N16)),4)</f>
        <v>1.0833999999999999</v>
      </c>
      <c r="V3" s="2886">
        <f>ROUND(SUMPRODUCT(PRODUCT(1+O4:O16)),4)</f>
        <v>1.0592999999999999</v>
      </c>
      <c r="W3" s="2885">
        <f>T3</f>
        <v>1.0177</v>
      </c>
      <c r="X3" s="2882"/>
      <c r="Y3" s="2887">
        <f>ROUND(AVERAGEIF(Y5:Y16,"&lt;&gt;0"),4)</f>
        <v>8.6999999999999994E-3</v>
      </c>
      <c r="Z3" s="2888">
        <f>ROUND(AVERAGEIF(Z5:Z16,"&lt;&gt;0"),4)</f>
        <v>3.5000000000000001E-3</v>
      </c>
      <c r="AA3" s="2889">
        <f>ROUND(AVERAGEIF(AA5:AA16,"&lt;&gt;0"),4)</f>
        <v>8.9999999999999998E-4</v>
      </c>
      <c r="AB3" s="2887">
        <f>ROUND(AVERAGEIF(AB5:AB16,"&lt;&gt;0"),4)</f>
        <v>9.4999999999999998E-3</v>
      </c>
      <c r="AC3" s="2890">
        <f>ROUND(AVERAGEIF(AC5:AC16,"&lt;&gt;0"),4)</f>
        <v>6.1000000000000004E-3</v>
      </c>
      <c r="AD3" s="2887">
        <f>AA3</f>
        <v>8.9999999999999998E-4</v>
      </c>
    </row>
    <row r="4" spans="1:30"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30" s="2040" customFormat="1" ht="12.75">
      <c r="A5" s="2900" t="s">
        <v>3369</v>
      </c>
      <c r="B5" s="2026">
        <v>2023</v>
      </c>
      <c r="C5" s="2037">
        <v>4</v>
      </c>
      <c r="D5" s="2002">
        <v>0</v>
      </c>
      <c r="E5" s="2002">
        <v>0</v>
      </c>
      <c r="F5" s="2002">
        <v>0</v>
      </c>
      <c r="G5" s="2002">
        <v>0</v>
      </c>
      <c r="H5" s="2002">
        <v>0</v>
      </c>
      <c r="I5" s="2003">
        <f t="shared" ref="I5:I16" si="0">F5</f>
        <v>0</v>
      </c>
      <c r="J5" s="2901"/>
      <c r="K5" s="2038">
        <f t="shared" ref="K5:O16" si="1">D5/100</f>
        <v>0</v>
      </c>
      <c r="L5" s="2023">
        <f t="shared" si="1"/>
        <v>0</v>
      </c>
      <c r="M5" s="2023">
        <f t="shared" si="1"/>
        <v>0</v>
      </c>
      <c r="N5" s="2023">
        <f t="shared" si="1"/>
        <v>0</v>
      </c>
      <c r="O5" s="2023">
        <f t="shared" si="1"/>
        <v>0</v>
      </c>
      <c r="P5" s="2023">
        <f>M5</f>
        <v>0</v>
      </c>
      <c r="Q5" s="2901"/>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1"/>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900" t="s">
        <v>3370</v>
      </c>
      <c r="B6" s="2026">
        <v>2023</v>
      </c>
      <c r="C6" s="2037">
        <v>3</v>
      </c>
      <c r="D6" s="2002">
        <v>0</v>
      </c>
      <c r="E6" s="2002">
        <v>0</v>
      </c>
      <c r="F6" s="2002">
        <v>0</v>
      </c>
      <c r="G6" s="2002">
        <v>0</v>
      </c>
      <c r="H6" s="2002">
        <v>0</v>
      </c>
      <c r="I6" s="2003">
        <f t="shared" si="0"/>
        <v>0</v>
      </c>
      <c r="J6" s="2901"/>
      <c r="K6" s="2038">
        <f t="shared" ref="K6:O8" si="3">D6/100</f>
        <v>0</v>
      </c>
      <c r="L6" s="2023">
        <f t="shared" si="3"/>
        <v>0</v>
      </c>
      <c r="M6" s="2023">
        <f t="shared" si="3"/>
        <v>0</v>
      </c>
      <c r="N6" s="2023">
        <f t="shared" si="3"/>
        <v>0</v>
      </c>
      <c r="O6" s="2023">
        <f t="shared" si="3"/>
        <v>0</v>
      </c>
      <c r="P6" s="2023">
        <f>M6</f>
        <v>0</v>
      </c>
      <c r="Q6" s="2901"/>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1"/>
      <c r="Y6" s="2023"/>
      <c r="Z6" s="2023"/>
      <c r="AA6" s="2023"/>
      <c r="AB6" s="2023"/>
      <c r="AC6" s="2023"/>
      <c r="AD6" s="2023"/>
    </row>
    <row r="7" spans="1:30" s="2040" customFormat="1" ht="12.75">
      <c r="A7" s="2900" t="s">
        <v>3368</v>
      </c>
      <c r="B7" s="2026">
        <v>2023</v>
      </c>
      <c r="C7" s="2037">
        <v>2</v>
      </c>
      <c r="D7" s="2002">
        <v>0</v>
      </c>
      <c r="E7" s="2002">
        <v>0</v>
      </c>
      <c r="F7" s="2002">
        <v>0</v>
      </c>
      <c r="G7" s="2002">
        <v>0</v>
      </c>
      <c r="H7" s="2002">
        <v>0</v>
      </c>
      <c r="I7" s="2003">
        <f t="shared" si="0"/>
        <v>0</v>
      </c>
      <c r="J7" s="2901"/>
      <c r="K7" s="2038">
        <f t="shared" si="3"/>
        <v>0</v>
      </c>
      <c r="L7" s="2023">
        <f t="shared" si="3"/>
        <v>0</v>
      </c>
      <c r="M7" s="2023">
        <f t="shared" si="3"/>
        <v>0</v>
      </c>
      <c r="N7" s="2023">
        <f t="shared" si="3"/>
        <v>0</v>
      </c>
      <c r="O7" s="2023">
        <f t="shared" si="3"/>
        <v>0</v>
      </c>
      <c r="P7" s="2023">
        <f>M7</f>
        <v>0</v>
      </c>
      <c r="Q7" s="2901"/>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1"/>
      <c r="Y7" s="2023"/>
      <c r="Z7" s="2023"/>
      <c r="AA7" s="2023"/>
      <c r="AB7" s="2023"/>
      <c r="AC7" s="2023"/>
      <c r="AD7" s="2023"/>
    </row>
    <row r="8" spans="1:30" s="2911" customFormat="1" ht="12.75">
      <c r="A8" s="2902" t="s">
        <v>3371</v>
      </c>
      <c r="B8" s="2903">
        <v>2023</v>
      </c>
      <c r="C8" s="2904">
        <v>1</v>
      </c>
      <c r="D8" s="2905">
        <v>0.89</v>
      </c>
      <c r="E8" s="2905">
        <v>0.74</v>
      </c>
      <c r="F8" s="2905">
        <v>0.56999999999999995</v>
      </c>
      <c r="G8" s="2905">
        <v>0.92</v>
      </c>
      <c r="H8" s="2906">
        <v>0.5</v>
      </c>
      <c r="I8" s="2907">
        <f t="shared" si="0"/>
        <v>0.56999999999999995</v>
      </c>
      <c r="J8" s="2908"/>
      <c r="K8" s="2909">
        <f t="shared" si="3"/>
        <v>8.8999999999999999E-3</v>
      </c>
      <c r="L8" s="2910">
        <f t="shared" si="3"/>
        <v>7.4000000000000003E-3</v>
      </c>
      <c r="M8" s="2910">
        <f t="shared" si="3"/>
        <v>5.6999999999999993E-3</v>
      </c>
      <c r="N8" s="2910">
        <f t="shared" si="3"/>
        <v>9.1999999999999998E-3</v>
      </c>
      <c r="O8" s="2910">
        <f t="shared" si="3"/>
        <v>5.0000000000000001E-3</v>
      </c>
      <c r="P8" s="2910">
        <f>M8</f>
        <v>5.6999999999999993E-3</v>
      </c>
      <c r="Q8" s="2908"/>
      <c r="R8" s="2908">
        <f>ROUND(IF(项目基本情况!$B$8="出让",SUMPRODUCT(PRODUCT(1+K8:$K$16)),SUMPRODUCT(PRODUCT(1+K8:$K$15))),4)</f>
        <v>1.0659000000000001</v>
      </c>
      <c r="S8" s="2908">
        <f>ROUND(IF(项目基本情况!$B$8="出让",SUMPRODUCT(PRODUCT(1+L8:$L$16)),SUMPRODUCT(PRODUCT(1+L8:$L$15))),4)</f>
        <v>1.0326</v>
      </c>
      <c r="T8" s="2908">
        <f>ROUND(IF(项目基本情况!$B$8="出让",SUMPRODUCT(PRODUCT(1+M8:$M$16)),SUMPRODUCT(PRODUCT(1+M8:$M$15))),4)</f>
        <v>1.0203</v>
      </c>
      <c r="U8" s="2908">
        <f>ROUND(IF(项目基本情况!$B$8="出让",SUMPRODUCT(PRODUCT(1+N8:$N$16)),SUMPRODUCT(PRODUCT(1+N8:$N$15))),4)</f>
        <v>1.0714999999999999</v>
      </c>
      <c r="V8" s="2908">
        <f>ROUND(IF(项目基本情况!$B$8="出让",SUMPRODUCT(PRODUCT(1+O8:$O$16)),SUMPRODUCT(PRODUCT(1+O8:$O$15))),4)</f>
        <v>1.0555000000000001</v>
      </c>
      <c r="W8" s="2908">
        <f>T8</f>
        <v>1.0203</v>
      </c>
      <c r="X8" s="2908"/>
      <c r="Y8" s="2910"/>
      <c r="Z8" s="2910"/>
      <c r="AA8" s="2910"/>
      <c r="AB8" s="2910"/>
      <c r="AC8" s="2910"/>
      <c r="AD8" s="2910"/>
    </row>
    <row r="9" spans="1:30" s="2040" customFormat="1" ht="12.75">
      <c r="A9" s="2900" t="s">
        <v>3372</v>
      </c>
      <c r="B9" s="2026">
        <v>2022</v>
      </c>
      <c r="C9" s="2037">
        <v>4</v>
      </c>
      <c r="D9" s="2002">
        <v>0.62</v>
      </c>
      <c r="E9" s="2002">
        <v>0.2</v>
      </c>
      <c r="F9" s="2002">
        <v>0.11</v>
      </c>
      <c r="G9" s="2002">
        <v>0.69</v>
      </c>
      <c r="H9" s="2912">
        <v>0.53</v>
      </c>
      <c r="I9" s="2003">
        <f t="shared" si="0"/>
        <v>0.11</v>
      </c>
      <c r="J9" s="2901"/>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1"/>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1"/>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900" t="s">
        <v>3364</v>
      </c>
      <c r="B10" s="2026">
        <v>2022</v>
      </c>
      <c r="C10" s="2037">
        <v>3</v>
      </c>
      <c r="D10" s="2002">
        <v>0.66</v>
      </c>
      <c r="E10" s="2002">
        <v>0.32</v>
      </c>
      <c r="F10" s="2002">
        <v>0.23</v>
      </c>
      <c r="G10" s="2002">
        <v>0.72</v>
      </c>
      <c r="H10" s="2912">
        <v>0.63</v>
      </c>
      <c r="I10" s="2003">
        <f t="shared" si="0"/>
        <v>0.23</v>
      </c>
      <c r="J10" s="2901"/>
      <c r="K10" s="2038">
        <f t="shared" si="1"/>
        <v>6.6E-3</v>
      </c>
      <c r="L10" s="2023">
        <f t="shared" si="1"/>
        <v>3.2000000000000002E-3</v>
      </c>
      <c r="M10" s="2023">
        <f t="shared" si="1"/>
        <v>2.3E-3</v>
      </c>
      <c r="N10" s="2023">
        <f t="shared" si="1"/>
        <v>7.1999999999999998E-3</v>
      </c>
      <c r="O10" s="2023">
        <f t="shared" si="1"/>
        <v>6.3E-3</v>
      </c>
      <c r="P10" s="2023">
        <f t="shared" si="4"/>
        <v>2.3E-3</v>
      </c>
      <c r="Q10" s="2901"/>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1"/>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900" t="s">
        <v>3355</v>
      </c>
      <c r="B11" s="2026">
        <v>2022</v>
      </c>
      <c r="C11" s="2037">
        <v>2</v>
      </c>
      <c r="D11" s="2002">
        <v>0.93</v>
      </c>
      <c r="E11" s="2002">
        <v>0.15</v>
      </c>
      <c r="F11" s="2002">
        <v>0.01</v>
      </c>
      <c r="G11" s="2002">
        <v>1.05</v>
      </c>
      <c r="H11" s="2912">
        <v>1.08</v>
      </c>
      <c r="I11" s="2003">
        <f t="shared" si="0"/>
        <v>0.01</v>
      </c>
      <c r="J11" s="2901"/>
      <c r="K11" s="2038">
        <f t="shared" si="1"/>
        <v>9.300000000000001E-3</v>
      </c>
      <c r="L11" s="2023">
        <f t="shared" si="1"/>
        <v>1.5E-3</v>
      </c>
      <c r="M11" s="2023">
        <f t="shared" si="1"/>
        <v>1E-4</v>
      </c>
      <c r="N11" s="2023">
        <f t="shared" si="1"/>
        <v>1.0500000000000001E-2</v>
      </c>
      <c r="O11" s="2023">
        <f t="shared" si="1"/>
        <v>1.0800000000000001E-2</v>
      </c>
      <c r="P11" s="2023">
        <f t="shared" si="4"/>
        <v>1E-4</v>
      </c>
      <c r="Q11" s="2901"/>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1"/>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900" t="s">
        <v>2818</v>
      </c>
      <c r="B12" s="2026">
        <v>2022</v>
      </c>
      <c r="C12" s="2037">
        <v>1</v>
      </c>
      <c r="D12" s="2002">
        <v>0.89</v>
      </c>
      <c r="E12" s="2002">
        <v>0.44</v>
      </c>
      <c r="F12" s="2002">
        <v>0.37</v>
      </c>
      <c r="G12" s="2002">
        <v>0.96</v>
      </c>
      <c r="H12" s="2912">
        <v>0.64</v>
      </c>
      <c r="I12" s="2003">
        <f t="shared" si="0"/>
        <v>0.37</v>
      </c>
      <c r="J12" s="2901"/>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1"/>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1"/>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900" t="s">
        <v>2819</v>
      </c>
      <c r="B13" s="2026">
        <v>2021</v>
      </c>
      <c r="C13" s="2037">
        <v>4</v>
      </c>
      <c r="D13" s="2002">
        <v>1.03</v>
      </c>
      <c r="E13" s="2002">
        <v>0.24</v>
      </c>
      <c r="F13" s="2002">
        <v>7.0000000000000007E-2</v>
      </c>
      <c r="G13" s="2002">
        <v>1.17</v>
      </c>
      <c r="H13" s="2912">
        <v>0.55000000000000004</v>
      </c>
      <c r="I13" s="2003">
        <f t="shared" si="0"/>
        <v>7.0000000000000007E-2</v>
      </c>
      <c r="J13" s="2901"/>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1"/>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1"/>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900" t="s">
        <v>2820</v>
      </c>
      <c r="B14" s="2026">
        <v>2021</v>
      </c>
      <c r="C14" s="2037">
        <v>3</v>
      </c>
      <c r="D14" s="2002">
        <v>0.47</v>
      </c>
      <c r="E14" s="2002">
        <v>0.41</v>
      </c>
      <c r="F14" s="2002">
        <v>0.24</v>
      </c>
      <c r="G14" s="2002">
        <v>0.48</v>
      </c>
      <c r="H14" s="2912">
        <v>0.48</v>
      </c>
      <c r="I14" s="2003">
        <f t="shared" si="0"/>
        <v>0.24</v>
      </c>
      <c r="J14" s="2901"/>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1"/>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1"/>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900" t="s">
        <v>2821</v>
      </c>
      <c r="B15" s="2026">
        <v>2021</v>
      </c>
      <c r="C15" s="2037">
        <v>2</v>
      </c>
      <c r="D15" s="2002">
        <v>0.92</v>
      </c>
      <c r="E15" s="2002">
        <v>0.72</v>
      </c>
      <c r="F15" s="2002">
        <v>0.41</v>
      </c>
      <c r="G15" s="2002">
        <v>0.95</v>
      </c>
      <c r="H15" s="2912">
        <v>1.01</v>
      </c>
      <c r="I15" s="2003">
        <f t="shared" si="0"/>
        <v>0.41</v>
      </c>
      <c r="J15" s="2901"/>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1"/>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1"/>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3" customFormat="1" thickBot="1">
      <c r="A16" s="2913" t="s">
        <v>2822</v>
      </c>
      <c r="B16" s="2914">
        <v>2021</v>
      </c>
      <c r="C16" s="2915">
        <v>1</v>
      </c>
      <c r="D16" s="2916">
        <v>0.97</v>
      </c>
      <c r="E16" s="2916">
        <v>0.16</v>
      </c>
      <c r="F16" s="2916">
        <v>-0.25</v>
      </c>
      <c r="G16" s="2916">
        <v>1.1100000000000001</v>
      </c>
      <c r="H16" s="2917">
        <v>0.36</v>
      </c>
      <c r="I16" s="2918">
        <f t="shared" si="0"/>
        <v>-0.25</v>
      </c>
      <c r="J16" s="2919"/>
      <c r="K16" s="2920">
        <f t="shared" si="1"/>
        <v>9.7000000000000003E-3</v>
      </c>
      <c r="L16" s="2921">
        <f t="shared" si="1"/>
        <v>1.6000000000000001E-3</v>
      </c>
      <c r="M16" s="2921">
        <f>F16/100</f>
        <v>-2.5000000000000001E-3</v>
      </c>
      <c r="N16" s="2921">
        <f t="shared" si="1"/>
        <v>1.11E-2</v>
      </c>
      <c r="O16" s="2921">
        <f t="shared" si="1"/>
        <v>3.5999999999999999E-3</v>
      </c>
      <c r="P16" s="2921">
        <f t="shared" si="4"/>
        <v>-2.5000000000000001E-3</v>
      </c>
      <c r="Q16" s="2919"/>
      <c r="R16" s="2922">
        <v>1</v>
      </c>
      <c r="S16" s="2922">
        <v>1</v>
      </c>
      <c r="T16" s="2922">
        <v>1</v>
      </c>
      <c r="U16" s="2922">
        <v>1</v>
      </c>
      <c r="V16" s="2922">
        <v>1</v>
      </c>
      <c r="W16" s="2922">
        <f t="shared" si="5"/>
        <v>1</v>
      </c>
      <c r="X16" s="2919"/>
      <c r="Y16" s="2921">
        <f>IF(D16=0,0,ROUND(AVERAGE(D16:D16)/100,4))</f>
        <v>9.7000000000000003E-3</v>
      </c>
      <c r="Z16" s="2921">
        <f>IF(E16=0,0,ROUND(AVERAGE(E16:E16)/100,4))</f>
        <v>1.6000000000000001E-3</v>
      </c>
      <c r="AA16" s="2921">
        <f>IF(F16=0,0,ROUND(AVERAGE(F16:F16)/100,4))</f>
        <v>-2.5000000000000001E-3</v>
      </c>
      <c r="AB16" s="2921">
        <f>IF(G16=0,0,ROUND(AVERAGE(G16:G16)/100,4))</f>
        <v>1.11E-2</v>
      </c>
      <c r="AC16" s="2921">
        <f>IF(H16=0,0,ROUND(AVERAGE(H16:H16)/100,4))</f>
        <v>3.5999999999999999E-3</v>
      </c>
      <c r="AD16" s="2921">
        <f>AA16</f>
        <v>-2.5000000000000001E-3</v>
      </c>
    </row>
    <row r="17" spans="1:30" ht="14.25" thickTop="1"/>
    <row r="18" spans="1:30">
      <c r="A18" s="3138" t="s">
        <v>3366</v>
      </c>
    </row>
    <row r="19" spans="1:30">
      <c r="I19" s="1403" t="s">
        <v>2823</v>
      </c>
    </row>
    <row r="21" spans="1:30" s="2004" customFormat="1" ht="12.75">
      <c r="B21" s="2924" t="s">
        <v>2824</v>
      </c>
      <c r="C21" s="2925"/>
      <c r="D21" s="2925"/>
      <c r="E21" s="2925"/>
      <c r="F21" s="2925"/>
      <c r="G21" s="2925"/>
      <c r="H21" s="2925"/>
      <c r="I21" s="2925"/>
      <c r="J21" s="2891"/>
      <c r="K21" s="2925" t="s">
        <v>2825</v>
      </c>
      <c r="L21" s="2925"/>
      <c r="M21" s="2925"/>
      <c r="N21" s="2925"/>
      <c r="O21" s="2925"/>
      <c r="P21" s="2925"/>
      <c r="Q21" s="2891"/>
      <c r="R21" s="3518" t="s">
        <v>2826</v>
      </c>
      <c r="S21" s="3519"/>
      <c r="T21" s="3519"/>
      <c r="U21" s="3519"/>
      <c r="V21" s="3519"/>
      <c r="W21" s="3519"/>
      <c r="X21" s="2891"/>
      <c r="Y21" s="3518" t="s">
        <v>2827</v>
      </c>
      <c r="Z21" s="3519"/>
      <c r="AA21" s="3519"/>
      <c r="AB21" s="3519"/>
      <c r="AC21" s="3519"/>
      <c r="AD21" s="3519"/>
    </row>
    <row r="22" spans="1:30" s="2005" customFormat="1" ht="14.25" thickBot="1">
      <c r="B22" s="2876"/>
      <c r="C22" s="2877"/>
      <c r="D22" s="2006" t="s">
        <v>2828</v>
      </c>
      <c r="E22" s="2007" t="s">
        <v>2829</v>
      </c>
      <c r="F22" s="2007" t="s">
        <v>2830</v>
      </c>
      <c r="G22" s="2007" t="s">
        <v>2831</v>
      </c>
      <c r="H22" s="2007"/>
      <c r="I22" s="2007" t="s">
        <v>2832</v>
      </c>
      <c r="J22" s="2878"/>
      <c r="K22" s="2006" t="s">
        <v>2828</v>
      </c>
      <c r="L22" s="2007" t="s">
        <v>2829</v>
      </c>
      <c r="M22" s="2007" t="s">
        <v>2830</v>
      </c>
      <c r="N22" s="2007" t="s">
        <v>2831</v>
      </c>
      <c r="O22" s="2007"/>
      <c r="P22" s="2007" t="s">
        <v>2832</v>
      </c>
      <c r="Q22" s="2878"/>
      <c r="R22" s="2006" t="s">
        <v>2828</v>
      </c>
      <c r="S22" s="2007" t="s">
        <v>2829</v>
      </c>
      <c r="T22" s="2007" t="s">
        <v>2830</v>
      </c>
      <c r="U22" s="2007" t="s">
        <v>2831</v>
      </c>
      <c r="V22" s="2007"/>
      <c r="W22" s="2007" t="s">
        <v>2832</v>
      </c>
      <c r="X22" s="2878"/>
      <c r="Y22" s="2006" t="s">
        <v>2828</v>
      </c>
      <c r="Z22" s="2007" t="s">
        <v>2829</v>
      </c>
      <c r="AA22" s="2007" t="s">
        <v>2830</v>
      </c>
      <c r="AB22" s="2007" t="s">
        <v>2831</v>
      </c>
      <c r="AC22" s="2007"/>
      <c r="AD22" s="2007" t="s">
        <v>2832</v>
      </c>
    </row>
    <row r="23" spans="1:30" s="2881" customFormat="1" ht="12.75">
      <c r="A23" s="2879" t="s">
        <v>2833</v>
      </c>
      <c r="B23" s="2880"/>
      <c r="E23" s="2881">
        <f>ROUND(AVERAGEIF(E24:E36,"&lt;&gt;0"),2)</f>
        <v>0.42</v>
      </c>
      <c r="F23" s="2881">
        <f>ROUND(AVERAGEIF(F24:F36,"&lt;&gt;0"),2)</f>
        <v>0.3</v>
      </c>
      <c r="G23" s="2881">
        <f>ROUND(AVERAGEIF(G24:G36,"&lt;&gt;0"),2)</f>
        <v>0.73</v>
      </c>
      <c r="I23" s="2881">
        <f>F23</f>
        <v>0.3</v>
      </c>
      <c r="J23" s="2882"/>
      <c r="K23" s="2883"/>
      <c r="L23" s="2884">
        <f>ROUND(AVERAGEIF(L24:L36,"&lt;&gt;0"),4)</f>
        <v>4.1999999999999997E-3</v>
      </c>
      <c r="M23" s="2884">
        <f>ROUND(AVERAGEIF(M24:M36,"&lt;&gt;0"),4)</f>
        <v>3.0000000000000001E-3</v>
      </c>
      <c r="N23" s="2884">
        <f>ROUND(AVERAGEIF(N24:N36,"&lt;&gt;0"),4)</f>
        <v>7.3000000000000001E-3</v>
      </c>
      <c r="O23" s="2884"/>
      <c r="P23" s="2884">
        <f>M23</f>
        <v>3.0000000000000001E-3</v>
      </c>
      <c r="Q23" s="2882"/>
      <c r="R23" s="2885"/>
      <c r="S23" s="2886">
        <f>ROUND(SUMPRODUCT(PRODUCT(1+L24:L36)),4)</f>
        <v>1.038</v>
      </c>
      <c r="T23" s="2886">
        <f>ROUND(SUMPRODUCT(PRODUCT(1+M24:M36)),4)</f>
        <v>1.0273000000000001</v>
      </c>
      <c r="U23" s="2886">
        <f>ROUND(SUMPRODUCT(PRODUCT(1+N24:N36)),4)</f>
        <v>1.0677000000000001</v>
      </c>
      <c r="V23" s="2886"/>
      <c r="W23" s="2885">
        <f>T23</f>
        <v>1.0273000000000001</v>
      </c>
      <c r="X23" s="2882"/>
      <c r="Y23" s="2887"/>
      <c r="Z23" s="2888">
        <f>ROUND(AVERAGEIF(Z24:Z36,"&lt;&gt;0"),4)</f>
        <v>4.3E-3</v>
      </c>
      <c r="AA23" s="2889">
        <f>ROUND(AVERAGEIF(AA24:AA36,"&lt;&gt;0"),4)</f>
        <v>3.5999999999999999E-3</v>
      </c>
      <c r="AB23" s="2887">
        <f>ROUND(AVERAGEIF(AB24:AB36,"&lt;&gt;0"),4)</f>
        <v>8.8999999999999999E-3</v>
      </c>
      <c r="AC23" s="2890"/>
      <c r="AD23" s="2887">
        <f>AA23</f>
        <v>3.5999999999999999E-3</v>
      </c>
    </row>
    <row r="24" spans="1:30" s="2004" customFormat="1" ht="12.75">
      <c r="B24" s="2020"/>
      <c r="J24" s="2891"/>
      <c r="K24" s="2892"/>
      <c r="L24" s="2893"/>
      <c r="M24" s="2893"/>
      <c r="N24" s="2893"/>
      <c r="O24" s="2893"/>
      <c r="P24" s="2893"/>
      <c r="Q24" s="2891"/>
      <c r="R24" s="2022"/>
      <c r="S24" s="2894"/>
      <c r="T24" s="2895"/>
      <c r="U24" s="2022"/>
      <c r="V24" s="2896"/>
      <c r="W24" s="2022"/>
      <c r="X24" s="2891"/>
      <c r="Y24" s="2023"/>
      <c r="Z24" s="2897"/>
      <c r="AA24" s="2898"/>
      <c r="AB24" s="2023"/>
      <c r="AC24" s="2899"/>
      <c r="AD24" s="2023"/>
    </row>
    <row r="25" spans="1:30" s="2040" customFormat="1" ht="12.75">
      <c r="A25" s="2900" t="s">
        <v>3369</v>
      </c>
      <c r="B25" s="2026">
        <v>2023</v>
      </c>
      <c r="C25" s="2037">
        <v>4</v>
      </c>
      <c r="D25" s="2002"/>
      <c r="E25" s="2002">
        <v>0</v>
      </c>
      <c r="F25" s="2002">
        <v>0</v>
      </c>
      <c r="G25" s="2002">
        <v>0</v>
      </c>
      <c r="H25" s="2002"/>
      <c r="I25" s="2003">
        <f t="shared" ref="I25:I36" si="6">F25</f>
        <v>0</v>
      </c>
      <c r="J25" s="2901"/>
      <c r="K25" s="2038"/>
      <c r="L25" s="2023">
        <f t="shared" ref="L25:N36" si="7">E25/100</f>
        <v>0</v>
      </c>
      <c r="M25" s="2023">
        <f t="shared" si="7"/>
        <v>0</v>
      </c>
      <c r="N25" s="2023">
        <f t="shared" si="7"/>
        <v>0</v>
      </c>
      <c r="O25" s="2023"/>
      <c r="P25" s="2023">
        <f>M25</f>
        <v>0</v>
      </c>
      <c r="Q25" s="2901"/>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1"/>
      <c r="Y25" s="2023"/>
      <c r="Z25" s="2897">
        <f>IF(E25=0,0,ROUND(AVERAGE(E25:E36)/100,4))</f>
        <v>0</v>
      </c>
      <c r="AA25" s="2897">
        <f>IF(F25=0,0,ROUND(AVERAGE(F25:F36)/100,4))</f>
        <v>0</v>
      </c>
      <c r="AB25" s="2897">
        <f>IF(G25=0,0,ROUND(AVERAGE(G25:G36)/100,4))</f>
        <v>0</v>
      </c>
      <c r="AC25" s="2899"/>
      <c r="AD25" s="2023">
        <f>IF(I25=0,0,ROUND(AVERAGE(I25:I36)/100,4))</f>
        <v>0</v>
      </c>
    </row>
    <row r="26" spans="1:30" s="2040" customFormat="1" ht="12.75">
      <c r="A26" s="2900" t="s">
        <v>3370</v>
      </c>
      <c r="B26" s="2026">
        <v>2023</v>
      </c>
      <c r="C26" s="2037">
        <v>3</v>
      </c>
      <c r="D26" s="2002"/>
      <c r="E26" s="2002">
        <v>0</v>
      </c>
      <c r="F26" s="2002">
        <v>0</v>
      </c>
      <c r="G26" s="2002">
        <v>0</v>
      </c>
      <c r="H26" s="2912"/>
      <c r="I26" s="2003">
        <f t="shared" si="6"/>
        <v>0</v>
      </c>
      <c r="J26" s="2901"/>
      <c r="K26" s="2038"/>
      <c r="L26" s="2023">
        <f t="shared" ref="L26:N28" si="8">E26/100</f>
        <v>0</v>
      </c>
      <c r="M26" s="2023">
        <f t="shared" si="8"/>
        <v>0</v>
      </c>
      <c r="N26" s="2023">
        <f t="shared" si="8"/>
        <v>0</v>
      </c>
      <c r="O26" s="2023"/>
      <c r="P26" s="2023">
        <f>M26</f>
        <v>0</v>
      </c>
      <c r="Q26" s="2901"/>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1"/>
      <c r="Y26" s="2023"/>
      <c r="Z26" s="2897"/>
      <c r="AA26" s="2023"/>
      <c r="AB26" s="2023"/>
      <c r="AC26" s="2899"/>
      <c r="AD26" s="2023"/>
    </row>
    <row r="27" spans="1:30" s="2040" customFormat="1" ht="12.75">
      <c r="A27" s="2900" t="s">
        <v>3368</v>
      </c>
      <c r="B27" s="2026">
        <v>2023</v>
      </c>
      <c r="C27" s="2037">
        <v>2</v>
      </c>
      <c r="D27" s="2002"/>
      <c r="E27" s="2002">
        <v>0</v>
      </c>
      <c r="F27" s="2002">
        <v>0</v>
      </c>
      <c r="G27" s="2002">
        <v>0</v>
      </c>
      <c r="H27" s="2912"/>
      <c r="I27" s="2003">
        <f t="shared" si="6"/>
        <v>0</v>
      </c>
      <c r="J27" s="2901"/>
      <c r="K27" s="2038"/>
      <c r="L27" s="2023">
        <f t="shared" si="8"/>
        <v>0</v>
      </c>
      <c r="M27" s="2023">
        <f t="shared" si="8"/>
        <v>0</v>
      </c>
      <c r="N27" s="2023">
        <f t="shared" si="8"/>
        <v>0</v>
      </c>
      <c r="O27" s="2023"/>
      <c r="P27" s="2023">
        <f>M27</f>
        <v>0</v>
      </c>
      <c r="Q27" s="2901"/>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1"/>
      <c r="Y27" s="2023"/>
      <c r="Z27" s="2897"/>
      <c r="AA27" s="2023"/>
      <c r="AB27" s="2023"/>
      <c r="AC27" s="2899"/>
      <c r="AD27" s="2023"/>
    </row>
    <row r="28" spans="1:30" s="2911" customFormat="1" ht="12.75">
      <c r="A28" s="2902" t="s">
        <v>3371</v>
      </c>
      <c r="B28" s="2903">
        <v>2023</v>
      </c>
      <c r="C28" s="2904">
        <v>1</v>
      </c>
      <c r="D28" s="2905"/>
      <c r="E28" s="2905">
        <v>0.55000000000000004</v>
      </c>
      <c r="F28" s="2905">
        <v>0.59</v>
      </c>
      <c r="G28" s="2905">
        <v>0.64</v>
      </c>
      <c r="H28" s="2906"/>
      <c r="I28" s="2907">
        <f t="shared" si="6"/>
        <v>0.59</v>
      </c>
      <c r="J28" s="2908"/>
      <c r="K28" s="2909"/>
      <c r="L28" s="2910">
        <f t="shared" si="8"/>
        <v>5.5000000000000005E-3</v>
      </c>
      <c r="M28" s="2910">
        <f t="shared" si="8"/>
        <v>5.8999999999999999E-3</v>
      </c>
      <c r="N28" s="2910">
        <f t="shared" si="8"/>
        <v>6.4000000000000003E-3</v>
      </c>
      <c r="O28" s="2910"/>
      <c r="P28" s="2910">
        <f>M28</f>
        <v>5.8999999999999999E-3</v>
      </c>
      <c r="Q28" s="2908"/>
      <c r="R28" s="2908"/>
      <c r="S28" s="2908">
        <f>ROUND(IF([2]项目基本情况!$B$8="出让",SUMPRODUCT(PRODUCT(1+L28:L$36)),SUMPRODUCT(PRODUCT(1+L28:L$35))),4)</f>
        <v>1.0344</v>
      </c>
      <c r="T28" s="2908">
        <f>ROUND(IF([2]项目基本情况!$B$8="出让",SUMPRODUCT(PRODUCT(1+M28:M$36)),SUMPRODUCT(PRODUCT(1+M28:M$35))),4)</f>
        <v>1.0224</v>
      </c>
      <c r="U28" s="2908">
        <f>ROUND(IF([2]项目基本情况!$B$8="出让",SUMPRODUCT(PRODUCT(1+N28:N$36)),SUMPRODUCT(PRODUCT(1+N28:N$35))),4)</f>
        <v>1.0573999999999999</v>
      </c>
      <c r="V28" s="2908"/>
      <c r="W28" s="2908">
        <f>T28</f>
        <v>1.0224</v>
      </c>
      <c r="X28" s="2908"/>
      <c r="Y28" s="2910"/>
      <c r="Z28" s="2926"/>
      <c r="AA28" s="2927"/>
      <c r="AB28" s="2910"/>
      <c r="AC28" s="2928"/>
      <c r="AD28" s="2910"/>
    </row>
    <row r="29" spans="1:30" s="2040" customFormat="1" ht="12.75">
      <c r="A29" s="2900" t="s">
        <v>3372</v>
      </c>
      <c r="B29" s="2026">
        <v>2022</v>
      </c>
      <c r="C29" s="2037">
        <v>4</v>
      </c>
      <c r="D29" s="2002"/>
      <c r="E29" s="2002">
        <v>0.45</v>
      </c>
      <c r="F29" s="2002">
        <v>0.2</v>
      </c>
      <c r="G29" s="2002">
        <v>0.38</v>
      </c>
      <c r="H29" s="2912"/>
      <c r="I29" s="2003">
        <f t="shared" si="6"/>
        <v>0.2</v>
      </c>
      <c r="J29" s="2901"/>
      <c r="K29" s="2038"/>
      <c r="L29" s="2023">
        <f t="shared" si="7"/>
        <v>4.5000000000000005E-3</v>
      </c>
      <c r="M29" s="2023">
        <f t="shared" si="7"/>
        <v>2E-3</v>
      </c>
      <c r="N29" s="2023">
        <f t="shared" si="7"/>
        <v>3.8E-3</v>
      </c>
      <c r="O29" s="2023"/>
      <c r="P29" s="2023">
        <f t="shared" ref="P29:P36" si="9">M29</f>
        <v>2E-3</v>
      </c>
      <c r="Q29" s="2901"/>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1"/>
      <c r="Y29" s="2023"/>
      <c r="Z29" s="2897">
        <f t="shared" ref="Z29:AD36" si="11">IF(E29=0,0,ROUND(AVERAGE(E29:E37)/100,4))</f>
        <v>4.0000000000000001E-3</v>
      </c>
      <c r="AA29" s="2898">
        <f t="shared" si="11"/>
        <v>2.5999999999999999E-3</v>
      </c>
      <c r="AB29" s="2023">
        <f t="shared" si="11"/>
        <v>7.4000000000000003E-3</v>
      </c>
      <c r="AC29" s="2899"/>
      <c r="AD29" s="2023">
        <f t="shared" si="11"/>
        <v>2.5999999999999999E-3</v>
      </c>
    </row>
    <row r="30" spans="1:30" s="2040" customFormat="1" ht="12.75">
      <c r="A30" s="2900" t="s">
        <v>3365</v>
      </c>
      <c r="B30" s="2026">
        <v>2022</v>
      </c>
      <c r="C30" s="2037">
        <v>3</v>
      </c>
      <c r="D30" s="2002"/>
      <c r="E30" s="2002">
        <v>0.3</v>
      </c>
      <c r="F30" s="2002">
        <v>0.28999999999999998</v>
      </c>
      <c r="G30" s="2002">
        <v>0.83</v>
      </c>
      <c r="H30" s="2912"/>
      <c r="I30" s="2003">
        <f t="shared" si="6"/>
        <v>0.28999999999999998</v>
      </c>
      <c r="J30" s="2901"/>
      <c r="K30" s="2038"/>
      <c r="L30" s="2023">
        <f t="shared" si="7"/>
        <v>3.0000000000000001E-3</v>
      </c>
      <c r="M30" s="2023">
        <f t="shared" si="7"/>
        <v>2.8999999999999998E-3</v>
      </c>
      <c r="N30" s="2023">
        <f t="shared" si="7"/>
        <v>8.3000000000000001E-3</v>
      </c>
      <c r="O30" s="2023"/>
      <c r="P30" s="2023">
        <f t="shared" si="9"/>
        <v>2.8999999999999998E-3</v>
      </c>
      <c r="Q30" s="2901"/>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1"/>
      <c r="Y30" s="2023"/>
      <c r="Z30" s="2897">
        <f t="shared" si="11"/>
        <v>3.8999999999999998E-3</v>
      </c>
      <c r="AA30" s="2898">
        <f t="shared" si="11"/>
        <v>2.7000000000000001E-3</v>
      </c>
      <c r="AB30" s="2023">
        <f t="shared" si="11"/>
        <v>7.9000000000000008E-3</v>
      </c>
      <c r="AC30" s="2899"/>
      <c r="AD30" s="2023">
        <f t="shared" si="11"/>
        <v>2.7000000000000001E-3</v>
      </c>
    </row>
    <row r="31" spans="1:30" s="2040" customFormat="1" ht="12.75">
      <c r="A31" s="2900" t="s">
        <v>3355</v>
      </c>
      <c r="B31" s="2026">
        <v>2022</v>
      </c>
      <c r="C31" s="2037">
        <v>2</v>
      </c>
      <c r="D31" s="2002"/>
      <c r="E31" s="2002">
        <v>-0.11</v>
      </c>
      <c r="F31" s="2002">
        <v>-0.13</v>
      </c>
      <c r="G31" s="2002">
        <v>0.53</v>
      </c>
      <c r="H31" s="2912"/>
      <c r="I31" s="2003">
        <f t="shared" si="6"/>
        <v>-0.13</v>
      </c>
      <c r="J31" s="2901"/>
      <c r="K31" s="2038"/>
      <c r="L31" s="2023">
        <f t="shared" si="7"/>
        <v>-1.1000000000000001E-3</v>
      </c>
      <c r="M31" s="2023">
        <f t="shared" si="7"/>
        <v>-1.2999999999999999E-3</v>
      </c>
      <c r="N31" s="2023">
        <f t="shared" si="7"/>
        <v>5.3E-3</v>
      </c>
      <c r="O31" s="2023"/>
      <c r="P31" s="2023">
        <f t="shared" si="9"/>
        <v>-1.2999999999999999E-3</v>
      </c>
      <c r="Q31" s="2901"/>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1"/>
      <c r="Y31" s="2023"/>
      <c r="Z31" s="2897">
        <f t="shared" si="11"/>
        <v>4.1000000000000003E-3</v>
      </c>
      <c r="AA31" s="2898">
        <f t="shared" si="11"/>
        <v>2.7000000000000001E-3</v>
      </c>
      <c r="AB31" s="2023">
        <f t="shared" si="11"/>
        <v>7.9000000000000008E-3</v>
      </c>
      <c r="AC31" s="2899"/>
      <c r="AD31" s="2023">
        <f t="shared" si="11"/>
        <v>2.7000000000000001E-3</v>
      </c>
    </row>
    <row r="32" spans="1:30" s="2040" customFormat="1" ht="12.75">
      <c r="A32" s="2900" t="s">
        <v>2834</v>
      </c>
      <c r="B32" s="2026">
        <v>2022</v>
      </c>
      <c r="C32" s="2037">
        <v>1</v>
      </c>
      <c r="D32" s="2002"/>
      <c r="E32" s="2002">
        <v>0.6</v>
      </c>
      <c r="F32" s="2002">
        <v>0.45</v>
      </c>
      <c r="G32" s="2002">
        <v>0.53</v>
      </c>
      <c r="H32" s="2912"/>
      <c r="I32" s="2003">
        <f t="shared" si="6"/>
        <v>0.45</v>
      </c>
      <c r="J32" s="2901"/>
      <c r="K32" s="2038"/>
      <c r="L32" s="2023">
        <f t="shared" si="7"/>
        <v>6.0000000000000001E-3</v>
      </c>
      <c r="M32" s="2023">
        <f t="shared" si="7"/>
        <v>4.5000000000000005E-3</v>
      </c>
      <c r="N32" s="2023">
        <f t="shared" si="7"/>
        <v>5.3E-3</v>
      </c>
      <c r="O32" s="2023"/>
      <c r="P32" s="2023">
        <f t="shared" si="9"/>
        <v>4.5000000000000005E-3</v>
      </c>
      <c r="Q32" s="2901"/>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1"/>
      <c r="Y32" s="2023"/>
      <c r="Z32" s="2897">
        <f t="shared" si="11"/>
        <v>5.1000000000000004E-3</v>
      </c>
      <c r="AA32" s="2898">
        <f t="shared" si="11"/>
        <v>3.5000000000000001E-3</v>
      </c>
      <c r="AB32" s="2023">
        <f t="shared" si="11"/>
        <v>8.3999999999999995E-3</v>
      </c>
      <c r="AC32" s="2899"/>
      <c r="AD32" s="2023">
        <f t="shared" si="11"/>
        <v>3.5000000000000001E-3</v>
      </c>
    </row>
    <row r="33" spans="1:30" s="2040" customFormat="1" ht="12.75">
      <c r="A33" s="2900" t="s">
        <v>2835</v>
      </c>
      <c r="B33" s="2026">
        <v>2021</v>
      </c>
      <c r="C33" s="2037">
        <v>4</v>
      </c>
      <c r="D33" s="2002"/>
      <c r="E33" s="2002">
        <v>0.57999999999999996</v>
      </c>
      <c r="F33" s="2002">
        <v>0.08</v>
      </c>
      <c r="G33" s="2002">
        <v>0.68</v>
      </c>
      <c r="H33" s="2912"/>
      <c r="I33" s="2003">
        <f t="shared" si="6"/>
        <v>0.08</v>
      </c>
      <c r="J33" s="2901"/>
      <c r="K33" s="2038"/>
      <c r="L33" s="2023">
        <f t="shared" si="7"/>
        <v>5.7999999999999996E-3</v>
      </c>
      <c r="M33" s="2023">
        <f t="shared" si="7"/>
        <v>8.0000000000000004E-4</v>
      </c>
      <c r="N33" s="2023">
        <f t="shared" si="7"/>
        <v>6.8000000000000005E-3</v>
      </c>
      <c r="O33" s="2023"/>
      <c r="P33" s="2023">
        <f t="shared" si="9"/>
        <v>8.0000000000000004E-4</v>
      </c>
      <c r="Q33" s="2901"/>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1"/>
      <c r="Y33" s="2023"/>
      <c r="Z33" s="2897">
        <f t="shared" si="11"/>
        <v>4.8999999999999998E-3</v>
      </c>
      <c r="AA33" s="2898">
        <f t="shared" si="11"/>
        <v>3.3E-3</v>
      </c>
      <c r="AB33" s="2023">
        <f t="shared" si="11"/>
        <v>9.1999999999999998E-3</v>
      </c>
      <c r="AC33" s="2899"/>
      <c r="AD33" s="2023">
        <f t="shared" si="11"/>
        <v>3.3E-3</v>
      </c>
    </row>
    <row r="34" spans="1:30" s="2040" customFormat="1" ht="12.75">
      <c r="A34" s="2900" t="s">
        <v>2836</v>
      </c>
      <c r="B34" s="2026">
        <v>2021</v>
      </c>
      <c r="C34" s="2037">
        <v>3</v>
      </c>
      <c r="D34" s="2002"/>
      <c r="E34" s="2002">
        <v>0.47</v>
      </c>
      <c r="F34" s="2002">
        <v>0.28000000000000003</v>
      </c>
      <c r="G34" s="2002">
        <v>0.91</v>
      </c>
      <c r="H34" s="2912"/>
      <c r="I34" s="2003">
        <f t="shared" si="6"/>
        <v>0.28000000000000003</v>
      </c>
      <c r="J34" s="2901"/>
      <c r="K34" s="2038"/>
      <c r="L34" s="2023">
        <f t="shared" si="7"/>
        <v>4.6999999999999993E-3</v>
      </c>
      <c r="M34" s="2023">
        <f t="shared" si="7"/>
        <v>2.8000000000000004E-3</v>
      </c>
      <c r="N34" s="2023">
        <f t="shared" si="7"/>
        <v>9.1000000000000004E-3</v>
      </c>
      <c r="O34" s="2023"/>
      <c r="P34" s="2023">
        <f t="shared" si="9"/>
        <v>2.8000000000000004E-3</v>
      </c>
      <c r="Q34" s="2901"/>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1"/>
      <c r="Y34" s="2023"/>
      <c r="Z34" s="2897">
        <f t="shared" si="11"/>
        <v>4.5999999999999999E-3</v>
      </c>
      <c r="AA34" s="2898">
        <f t="shared" si="11"/>
        <v>4.1000000000000003E-3</v>
      </c>
      <c r="AB34" s="2023">
        <f t="shared" si="11"/>
        <v>0.01</v>
      </c>
      <c r="AC34" s="2899"/>
      <c r="AD34" s="2023">
        <f t="shared" si="11"/>
        <v>4.1000000000000003E-3</v>
      </c>
    </row>
    <row r="35" spans="1:30" s="2040" customFormat="1" ht="12.75">
      <c r="A35" s="2900" t="s">
        <v>2837</v>
      </c>
      <c r="B35" s="2026">
        <v>2021</v>
      </c>
      <c r="C35" s="2037">
        <v>2</v>
      </c>
      <c r="D35" s="2002"/>
      <c r="E35" s="2002">
        <v>0.55000000000000004</v>
      </c>
      <c r="F35" s="2002">
        <v>0.46</v>
      </c>
      <c r="G35" s="2002">
        <v>1.1000000000000001</v>
      </c>
      <c r="H35" s="2912"/>
      <c r="I35" s="2003">
        <f t="shared" si="6"/>
        <v>0.46</v>
      </c>
      <c r="J35" s="2901"/>
      <c r="K35" s="2038"/>
      <c r="L35" s="2023">
        <f t="shared" si="7"/>
        <v>5.5000000000000005E-3</v>
      </c>
      <c r="M35" s="2023">
        <f t="shared" si="7"/>
        <v>4.5999999999999999E-3</v>
      </c>
      <c r="N35" s="2023">
        <f t="shared" si="7"/>
        <v>1.1000000000000001E-2</v>
      </c>
      <c r="O35" s="2023"/>
      <c r="P35" s="2023">
        <f t="shared" si="9"/>
        <v>4.5999999999999999E-3</v>
      </c>
      <c r="Q35" s="2901"/>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1"/>
      <c r="Y35" s="2023"/>
      <c r="Z35" s="2897">
        <f t="shared" si="11"/>
        <v>4.4999999999999997E-3</v>
      </c>
      <c r="AA35" s="2898">
        <f t="shared" si="11"/>
        <v>4.7000000000000002E-3</v>
      </c>
      <c r="AB35" s="2023">
        <f t="shared" si="11"/>
        <v>1.04E-2</v>
      </c>
      <c r="AC35" s="2899"/>
      <c r="AD35" s="2023">
        <f t="shared" si="11"/>
        <v>4.7000000000000002E-3</v>
      </c>
    </row>
    <row r="36" spans="1:30" s="2923" customFormat="1" thickBot="1">
      <c r="A36" s="2913" t="s">
        <v>2822</v>
      </c>
      <c r="B36" s="2914">
        <v>2021</v>
      </c>
      <c r="C36" s="2915">
        <v>1</v>
      </c>
      <c r="D36" s="2916"/>
      <c r="E36" s="2916">
        <v>0.35</v>
      </c>
      <c r="F36" s="2916">
        <v>0.48</v>
      </c>
      <c r="G36" s="2916">
        <v>0.98</v>
      </c>
      <c r="H36" s="2917"/>
      <c r="I36" s="2918">
        <f t="shared" si="6"/>
        <v>0.48</v>
      </c>
      <c r="J36" s="2919"/>
      <c r="K36" s="2920"/>
      <c r="L36" s="2921">
        <f t="shared" si="7"/>
        <v>3.4999999999999996E-3</v>
      </c>
      <c r="M36" s="2921">
        <f>F36/100</f>
        <v>4.7999999999999996E-3</v>
      </c>
      <c r="N36" s="2921">
        <f t="shared" si="7"/>
        <v>9.7999999999999997E-3</v>
      </c>
      <c r="O36" s="2921"/>
      <c r="P36" s="2921">
        <f t="shared" si="9"/>
        <v>4.7999999999999996E-3</v>
      </c>
      <c r="Q36" s="2919"/>
      <c r="R36" s="2922"/>
      <c r="S36" s="2922">
        <v>1</v>
      </c>
      <c r="T36" s="2922">
        <v>1</v>
      </c>
      <c r="U36" s="2922">
        <v>1</v>
      </c>
      <c r="V36" s="2922"/>
      <c r="W36" s="2922">
        <f t="shared" si="10"/>
        <v>1</v>
      </c>
      <c r="X36" s="2919"/>
      <c r="Y36" s="2921"/>
      <c r="Z36" s="2929">
        <f t="shared" si="11"/>
        <v>3.5000000000000001E-3</v>
      </c>
      <c r="AA36" s="2930">
        <f t="shared" si="11"/>
        <v>4.7999999999999996E-3</v>
      </c>
      <c r="AB36" s="2921">
        <f t="shared" si="11"/>
        <v>9.7999999999999997E-3</v>
      </c>
      <c r="AC36" s="2931"/>
      <c r="AD36" s="2921">
        <f t="shared" si="11"/>
        <v>4.7999999999999996E-3</v>
      </c>
    </row>
    <row r="37" spans="1:30" ht="14.25" thickTop="1"/>
    <row r="38" spans="1:30">
      <c r="A38" s="3138"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1">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1"/>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1"/>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8"/>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4">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1"/>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1"/>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8"/>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4">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1"/>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1"/>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2"/>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20">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1"/>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1"/>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2"/>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20">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1"/>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1"/>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2"/>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5">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6"/>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6"/>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7"/>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20">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1"/>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1"/>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2"/>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20">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1">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1">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2">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20">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1">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1">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2">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20">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1">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1">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2">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20">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1">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1">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2">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20">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1">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1">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2">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20">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1">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1">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2">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20">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1">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1">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2">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20">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1">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1">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2">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20">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1">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1">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2">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20">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1">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1">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2">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45288</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0">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9">
        <v>4.25</v>
      </c>
      <c r="E21" s="2569">
        <v>4.25</v>
      </c>
      <c r="F21" s="2569">
        <v>4.25</v>
      </c>
      <c r="G21" s="2569">
        <v>4.25</v>
      </c>
      <c r="H21" s="2569">
        <v>4.8499999999999996</v>
      </c>
      <c r="I21" s="2569"/>
      <c r="J21" s="2569"/>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1"/>
      <c r="B22" s="2572"/>
      <c r="C22" s="2573">
        <v>42301</v>
      </c>
      <c r="D22" s="2574">
        <v>4.3499999999999996</v>
      </c>
      <c r="E22" s="2574">
        <v>4.3499999999999996</v>
      </c>
      <c r="F22" s="2574">
        <v>4.75</v>
      </c>
      <c r="G22" s="2574">
        <v>4.75</v>
      </c>
      <c r="H22" s="2574">
        <v>4.9000000000000004</v>
      </c>
      <c r="I22" s="2574"/>
      <c r="J22" s="2574"/>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203"/>
      <c r="B3" s="3203"/>
      <c r="C3" s="3203"/>
      <c r="D3" s="800" t="s">
        <v>925</v>
      </c>
      <c r="E3" s="800" t="s">
        <v>931</v>
      </c>
      <c r="F3" s="800" t="s">
        <v>925</v>
      </c>
      <c r="G3" s="800" t="s">
        <v>926</v>
      </c>
      <c r="H3" s="800" t="s">
        <v>925</v>
      </c>
      <c r="I3" s="800" t="s">
        <v>926</v>
      </c>
    </row>
    <row r="4" spans="1:9" ht="15">
      <c r="A4" s="1401" t="str">
        <f>项目基本情况!S2</f>
        <v>北京市房地产</v>
      </c>
      <c r="B4" s="800">
        <f>项目基本情况!C17</f>
        <v>45.34</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3" t="s">
        <v>927</v>
      </c>
      <c r="B5" s="3203"/>
      <c r="C5" s="3203"/>
      <c r="D5" s="3203" t="e">
        <f ca="1">结果表!D119</f>
        <v>#REF!</v>
      </c>
      <c r="E5" s="3203"/>
      <c r="F5" s="3203" t="e">
        <f ca="1">结果表!F119</f>
        <v>#REF!</v>
      </c>
      <c r="G5" s="3203"/>
      <c r="H5" s="3203" t="e">
        <f ca="1">结果表!H119</f>
        <v>#REF!</v>
      </c>
      <c r="I5" s="3203"/>
    </row>
    <row r="6" spans="1:9" ht="15.75">
      <c r="A6" s="3204" t="str">
        <f>结果表!A120</f>
        <v>估价师知悉的法定优先受偿款</v>
      </c>
      <c r="B6" s="3204"/>
      <c r="C6" s="3204"/>
      <c r="D6" s="3204">
        <f>结果表!D120</f>
        <v>0</v>
      </c>
      <c r="E6" s="3204"/>
      <c r="F6" s="3204"/>
      <c r="G6" s="3204"/>
      <c r="H6" s="3204"/>
      <c r="I6" s="3204"/>
    </row>
    <row r="7" spans="1:9" ht="15">
      <c r="A7" s="3203" t="s">
        <v>927</v>
      </c>
      <c r="B7" s="3203"/>
      <c r="C7" s="3203"/>
      <c r="D7" s="3205" t="str">
        <f>结果表!D121</f>
        <v>零元整</v>
      </c>
      <c r="E7" s="3206"/>
      <c r="F7" s="3206"/>
      <c r="G7" s="3206"/>
      <c r="H7" s="3206"/>
      <c r="I7" s="3207"/>
    </row>
    <row r="8" spans="1:9" ht="15.75">
      <c r="A8" s="3204" t="str">
        <f>结果表!A122</f>
        <v>房地产抵押价值</v>
      </c>
      <c r="B8" s="3204"/>
      <c r="C8" s="3204"/>
      <c r="D8" s="3204" t="e">
        <f ca="1">结果表!D122</f>
        <v>#REF!</v>
      </c>
      <c r="E8" s="3204"/>
      <c r="F8" s="3204"/>
      <c r="G8" s="3204"/>
      <c r="H8" s="3204"/>
      <c r="I8" s="3204"/>
    </row>
    <row r="9" spans="1:9" ht="15">
      <c r="A9" s="3203" t="s">
        <v>927</v>
      </c>
      <c r="B9" s="3203"/>
      <c r="C9" s="3203"/>
      <c r="D9" s="3203" t="e">
        <f ca="1">结果表!D123</f>
        <v>#REF!</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927</v>
      </c>
      <c r="B11" s="3203"/>
      <c r="C11" s="3203"/>
      <c r="D11" s="3203" t="e">
        <f>结果表!D125</f>
        <v>#VALUE!</v>
      </c>
      <c r="E11" s="3203"/>
      <c r="F11" s="3203"/>
      <c r="G11" s="3203"/>
      <c r="H11" s="3203"/>
      <c r="I11" s="3203"/>
    </row>
    <row r="12" spans="1:9" ht="15.75">
      <c r="A12" s="3204" t="str">
        <f>结果表!A126</f>
        <v/>
      </c>
      <c r="B12" s="3204"/>
      <c r="C12" s="3204"/>
      <c r="D12" s="3204" t="str">
        <f>结果表!D126</f>
        <v>——</v>
      </c>
      <c r="E12" s="3204"/>
      <c r="F12" s="3204"/>
      <c r="G12" s="3204"/>
      <c r="H12" s="3204"/>
      <c r="I12" s="3204"/>
    </row>
    <row r="13" spans="1:9" ht="15.75" thickBot="1">
      <c r="A13" s="3208" t="s">
        <v>927</v>
      </c>
      <c r="B13" s="3208"/>
      <c r="C13" s="3208"/>
      <c r="D13" s="3208" t="e">
        <f>结果表!D127</f>
        <v>#VALUE!</v>
      </c>
      <c r="E13" s="3208"/>
      <c r="F13" s="3208"/>
      <c r="G13" s="3208"/>
      <c r="H13" s="3208"/>
      <c r="I13" s="3208"/>
    </row>
    <row r="14" spans="1:9" ht="15" thickTop="1">
      <c r="A14" s="3209" t="s">
        <v>932</v>
      </c>
      <c r="B14" s="3209"/>
      <c r="C14" s="3209"/>
      <c r="D14" s="3209"/>
      <c r="E14" s="3209"/>
      <c r="F14" s="3209"/>
      <c r="G14" s="3209"/>
      <c r="H14" s="3209"/>
      <c r="I14" s="3209"/>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0" t="s">
        <v>949</v>
      </c>
      <c r="B1" s="3210"/>
      <c r="C1" s="3210"/>
      <c r="D1" s="3210"/>
    </row>
    <row r="2" spans="1:4" ht="18">
      <c r="A2" s="3211" t="s">
        <v>933</v>
      </c>
      <c r="B2" s="3211"/>
      <c r="C2" s="3211"/>
      <c r="D2" s="3211"/>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1" t="s">
        <v>939</v>
      </c>
      <c r="B6" s="3211"/>
      <c r="C6" s="3211"/>
      <c r="D6" s="3211"/>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2"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4"/>
      <c r="C12" s="3214"/>
      <c r="D12" s="3214"/>
    </row>
    <row r="13" spans="1:4" ht="30" customHeight="1">
      <c r="A13" s="3213" t="str">
        <f>IF(项目基本情况!B8="抵押","3.抵押双方在办理抵押登记手续时，应使用本公司出具的正式《房地产评估报告》，特提醒报告使用者注意。","——")</f>
        <v>——</v>
      </c>
      <c r="B13" s="3214"/>
      <c r="C13" s="3214"/>
      <c r="D13" s="3214"/>
    </row>
    <row r="14" spans="1:4" ht="15.75" customHeight="1">
      <c r="A14" s="3213" t="str">
        <f>IF(项目基本情况!B8="抵押","4.本次评估估价师所知悉的法定优先受偿款情况说明如下：","——")</f>
        <v>——</v>
      </c>
      <c r="B14" s="3214"/>
      <c r="C14" s="3214"/>
      <c r="D14" s="3214"/>
    </row>
    <row r="15" spans="1:4" ht="42" customHeight="1">
      <c r="A15" s="3213" t="str">
        <f>IF(项目基本情况!B8="抵押","（1）"&amp;CONCATENATE(项目基本情况!L20,项目基本情况!L21,项目基本情况!L22),"——")</f>
        <v>——</v>
      </c>
      <c r="B15" s="3213"/>
      <c r="C15" s="3213"/>
      <c r="D15" s="3213"/>
    </row>
    <row r="16" spans="1:4" ht="30" customHeight="1">
      <c r="A16" s="3216" t="s">
        <v>943</v>
      </c>
      <c r="B16" s="3216"/>
      <c r="C16" s="3216"/>
      <c r="D16" s="3216"/>
    </row>
    <row r="17" spans="1:4" ht="144" customHeight="1">
      <c r="A17" s="3216" t="s">
        <v>944</v>
      </c>
      <c r="B17" s="3216"/>
      <c r="C17" s="3216"/>
      <c r="D17" s="3216"/>
    </row>
    <row r="18" spans="1:4" ht="15.75" customHeight="1">
      <c r="A18" s="3213" t="str">
        <f>IF(项目基本情况!B8="抵押",结果表!K120,"——")</f>
        <v>——</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945</v>
      </c>
      <c r="B22" s="3218"/>
      <c r="C22" s="3218"/>
      <c r="D22" s="3218"/>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5">
        <v>42551</v>
      </c>
      <c r="D31" s="32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4" t="s">
        <v>956</v>
      </c>
      <c r="B15" s="3219" t="s">
        <v>109</v>
      </c>
      <c r="C15" s="3220"/>
    </row>
    <row r="16" spans="1:7" ht="13.5">
      <c r="A16" s="3225"/>
      <c r="B16" s="3219" t="s">
        <v>42</v>
      </c>
      <c r="C16" s="3220"/>
    </row>
    <row r="17" spans="1:3" ht="13.5">
      <c r="A17" s="3225"/>
      <c r="B17" s="3222" t="s">
        <v>957</v>
      </c>
      <c r="C17" s="1427" t="s">
        <v>956</v>
      </c>
    </row>
    <row r="18" spans="1:3" ht="13.5">
      <c r="A18" s="3225"/>
      <c r="B18" s="3222"/>
      <c r="C18" s="1427" t="s">
        <v>958</v>
      </c>
    </row>
    <row r="19" spans="1:3" ht="13.5">
      <c r="A19" s="3225"/>
      <c r="B19" s="3222"/>
      <c r="C19" s="1427" t="s">
        <v>959</v>
      </c>
    </row>
    <row r="20" spans="1:3" ht="13.5">
      <c r="A20" s="3226"/>
      <c r="B20" s="3221" t="s">
        <v>960</v>
      </c>
      <c r="C20" s="3220"/>
    </row>
    <row r="21" spans="1:3" ht="13.5">
      <c r="A21" s="1428" t="s">
        <v>961</v>
      </c>
      <c r="B21" s="1429"/>
      <c r="C21" s="1430"/>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7" t="s">
        <v>967</v>
      </c>
    </row>
    <row r="26" spans="1:3" ht="13.5">
      <c r="A26" s="3223"/>
      <c r="B26" s="3222"/>
      <c r="C26" s="1427" t="s">
        <v>968</v>
      </c>
    </row>
    <row r="27" spans="1:3" ht="13.5">
      <c r="A27" s="3223"/>
      <c r="B27" s="3222"/>
      <c r="C27" s="1427" t="s">
        <v>969</v>
      </c>
    </row>
    <row r="28" spans="1:3" ht="13.5">
      <c r="A28" s="3223"/>
      <c r="B28" s="3222"/>
      <c r="C28" s="1427" t="s">
        <v>970</v>
      </c>
    </row>
    <row r="29" spans="1:3" ht="13.5">
      <c r="A29" s="3223"/>
      <c r="B29" s="3222"/>
      <c r="C29" s="1427" t="s">
        <v>971</v>
      </c>
    </row>
    <row r="30" spans="1:3" ht="13.5">
      <c r="A30" s="3223"/>
      <c r="B30" s="3222"/>
      <c r="C30" s="1427" t="s">
        <v>972</v>
      </c>
    </row>
    <row r="31" spans="1:3" ht="13.5">
      <c r="A31" s="3223"/>
      <c r="B31" s="3222"/>
      <c r="C31" s="1427" t="s">
        <v>973</v>
      </c>
    </row>
    <row r="32" spans="1:3" ht="13.5">
      <c r="A32" s="3223"/>
      <c r="B32" s="3222"/>
      <c r="C32" s="1427" t="s">
        <v>974</v>
      </c>
    </row>
    <row r="33" spans="1:3" ht="13.5">
      <c r="A33" s="3223"/>
      <c r="B33" s="322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45310</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f ca="1">IF(C6&lt;B2,"已过期",1120050019)</f>
        <v>1120050019</v>
      </c>
      <c r="C6" s="2157">
        <v>45410</v>
      </c>
      <c r="D6" s="2158" t="str">
        <f t="shared" ca="1" si="0"/>
        <v>王鹏（注册号：1120050019）</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f ca="1">IF(C13&lt;B2,"已过期",1120020033)</f>
        <v>1120020033</v>
      </c>
      <c r="C13" s="2157">
        <v>45375</v>
      </c>
      <c r="D13" s="2158" t="str">
        <f t="shared" ca="1" si="0"/>
        <v>刘敬东（注册号：1120020033）</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7" t="s">
        <v>2157</v>
      </c>
      <c r="B17" s="3227"/>
      <c r="C17" s="3227"/>
      <c r="D17" s="3227"/>
      <c r="E17" s="3227"/>
      <c r="F17" s="3227"/>
      <c r="G17" s="3227"/>
      <c r="H17" s="3227"/>
    </row>
    <row r="18" spans="1:8" ht="24" customHeight="1">
      <c r="A18" s="3228" t="s">
        <v>2158</v>
      </c>
      <c r="B18" s="3228"/>
      <c r="C18" s="3228"/>
      <c r="D18" s="2155"/>
      <c r="E18" s="3229" t="s">
        <v>2159</v>
      </c>
      <c r="F18" s="3228"/>
      <c r="G18" s="3228"/>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2024-01-19T09:25:30Z</dcterms:modified>
</cp:coreProperties>
</file>