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45" windowWidth="19320" windowHeight="13095" tabRatio="899" firstSheet="10"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8"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典型户型修正" sheetId="31" state="hidden" r:id="rId21"/>
    <sheet name="Sheet1" sheetId="81" r:id="rId22"/>
    <sheet name="成本法" sheetId="68" r:id="rId23"/>
    <sheet name="成本法 (元)" sheetId="69" state="hidden" r:id="rId24"/>
    <sheet name="假设开发法" sheetId="12" state="hidden" r:id="rId25"/>
    <sheet name="基准地价修正" sheetId="43" r:id="rId26"/>
    <sheet name="收益法" sheetId="15" r:id="rId27"/>
    <sheet name="收益法 (元)" sheetId="67" state="hidden" r:id="rId28"/>
    <sheet name="收益法（汇总）" sheetId="70" state="hidden" r:id="rId29"/>
    <sheet name="酒店收入计算" sheetId="66" state="hidden" r:id="rId30"/>
    <sheet name="酒店过往经营表现" sheetId="79" r:id="rId31"/>
    <sheet name="酒店经营情况" sheetId="80"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s>
  <definedNames>
    <definedName name="_xlnm._FilterDatabase" localSheetId="19"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25">基准地价修正!$A$1:$J$41,基准地价修正!$A$45:$H$88,基准地价修正!$R$1:$V$16</definedName>
    <definedName name="_xlnm.Print_Area" localSheetId="24">假设开发法!$A$1:$K$32</definedName>
    <definedName name="_xlnm.Print_Area" localSheetId="18">结果表!$A$1:$O$127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8">'土地比较法-工业'!$A$1:$K$61,'土地比较法-工业'!$A$64:$M$121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区片价!$J$1:$J$21</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修正!$C$59:$C$119</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'比较法-办公'!$B$113:$M$113</definedName>
    <definedName name="一级">区片价!$H$1:$H$6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6" i="68" l="1"/>
  <c r="F52" i="34" l="1"/>
  <c r="E52" i="34"/>
  <c r="G52" i="34" l="1"/>
  <c r="H52" i="34" s="1"/>
  <c r="I52" i="34"/>
  <c r="J52" i="34" s="1"/>
  <c r="N20" i="1"/>
  <c r="N22" i="1" s="1"/>
  <c r="N6" i="1" s="1"/>
  <c r="G24" i="78" l="1"/>
  <c r="G23" i="78"/>
  <c r="G22" i="78"/>
  <c r="G21" i="78"/>
  <c r="G20" i="78"/>
  <c r="G26" i="78" s="1"/>
  <c r="F15" i="78"/>
  <c r="H9" i="78" s="1"/>
  <c r="C75" i="9" l="1"/>
  <c r="C66" i="9"/>
  <c r="I48" i="34"/>
  <c r="G48" i="34"/>
  <c r="D60" i="34"/>
  <c r="E60" i="34" s="1"/>
  <c r="F60" i="34" s="1"/>
  <c r="G60" i="34" s="1"/>
  <c r="H60" i="34" s="1"/>
  <c r="I60" i="34" s="1"/>
  <c r="J60" i="34" s="1"/>
  <c r="K60" i="34" s="1"/>
  <c r="L60" i="34" s="1"/>
  <c r="M60" i="34" s="1"/>
  <c r="E48" i="34"/>
  <c r="R168" i="81"/>
  <c r="O10" i="80" l="1"/>
  <c r="D10" i="80"/>
  <c r="O9" i="80"/>
  <c r="O8" i="80" s="1"/>
  <c r="E41" i="79"/>
  <c r="E32" i="79"/>
  <c r="D32" i="79"/>
  <c r="C32" i="79"/>
  <c r="E30" i="79"/>
  <c r="C28" i="79"/>
  <c r="E26" i="79"/>
  <c r="D26" i="79"/>
  <c r="C26" i="79"/>
  <c r="D23" i="79"/>
  <c r="H22" i="79"/>
  <c r="C19" i="79"/>
  <c r="C18" i="79" s="1"/>
  <c r="E18" i="79"/>
  <c r="D18" i="79"/>
  <c r="D17" i="79"/>
  <c r="C17" i="79"/>
  <c r="F12" i="79"/>
  <c r="E12" i="79"/>
  <c r="D12" i="79"/>
  <c r="G12" i="79" s="1"/>
  <c r="C12" i="79"/>
  <c r="H10" i="79"/>
  <c r="D10" i="79"/>
  <c r="C10" i="79"/>
  <c r="E9" i="79"/>
  <c r="E10" i="79" s="1"/>
  <c r="H12" i="79" s="1"/>
  <c r="F22" i="79" l="1"/>
  <c r="F18" i="79"/>
  <c r="H18" i="79"/>
  <c r="D30" i="79"/>
  <c r="D31" i="79" s="1"/>
  <c r="H31" i="79" s="1"/>
  <c r="C30" i="79"/>
  <c r="C31" i="79" s="1"/>
  <c r="G31" i="79" s="1"/>
  <c r="E31" i="79"/>
  <c r="I31" i="79" s="1"/>
  <c r="G18" i="79"/>
  <c r="G22" i="79"/>
  <c r="C37" i="34" l="1"/>
  <c r="R13" i="78"/>
  <c r="Q13" i="78"/>
  <c r="O13" i="78"/>
  <c r="N13" i="78"/>
  <c r="M13" i="78"/>
  <c r="L13" i="78"/>
  <c r="P9" i="78"/>
  <c r="P13" i="78" s="1"/>
  <c r="I5" i="78"/>
  <c r="G5" i="78"/>
  <c r="H5" i="78" l="1"/>
  <c r="Y6" i="1"/>
  <c r="G19" i="6"/>
  <c r="F19" i="6"/>
  <c r="AH5" i="71" l="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c r="AD11" i="71"/>
  <c r="Q11" i="71"/>
  <c r="P11" i="71"/>
  <c r="O11" i="71"/>
  <c r="N11" i="71"/>
  <c r="AH12" i="71"/>
  <c r="AG12" i="71"/>
  <c r="AE12" i="71"/>
  <c r="AF12" i="71" s="1"/>
  <c r="AD12" i="71"/>
  <c r="Q13" i="71"/>
  <c r="Q14" i="71"/>
  <c r="P13" i="71"/>
  <c r="P14" i="71"/>
  <c r="O13" i="71"/>
  <c r="O14" i="71"/>
  <c r="N13" i="71"/>
  <c r="N14" i="71"/>
  <c r="AH13" i="71"/>
  <c r="AG13" i="71"/>
  <c r="AE13" i="71"/>
  <c r="AF13" i="71" s="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O16" i="71"/>
  <c r="O17" i="71"/>
  <c r="N16" i="71"/>
  <c r="N17" i="71"/>
  <c r="N18" i="71"/>
  <c r="AH17" i="71"/>
  <c r="AG17" i="71"/>
  <c r="AE17" i="71"/>
  <c r="AF17" i="71" s="1"/>
  <c r="AD17" i="71"/>
  <c r="Q18" i="71"/>
  <c r="P18" i="71"/>
  <c r="O18" i="71"/>
  <c r="D20" i="71"/>
  <c r="AH18" i="71"/>
  <c r="AG18" i="71"/>
  <c r="AE18" i="71"/>
  <c r="AF18" i="71" s="1"/>
  <c r="AD18" i="71"/>
  <c r="AD19" i="71"/>
  <c r="AG19" i="71"/>
  <c r="AH19" i="71"/>
  <c r="AE19" i="71"/>
  <c r="AF19" i="71" s="1"/>
  <c r="N19" i="71"/>
  <c r="Q19" i="71"/>
  <c r="P19" i="71"/>
  <c r="O19" i="71"/>
  <c r="Q20" i="71"/>
  <c r="F19" i="71"/>
  <c r="F18" i="71" s="1"/>
  <c r="F17" i="71" s="1"/>
  <c r="P20" i="71"/>
  <c r="E19" i="71"/>
  <c r="E18" i="71" s="1"/>
  <c r="E17" i="71" s="1"/>
  <c r="O20" i="71"/>
  <c r="N20" i="71"/>
  <c r="V19" i="71"/>
  <c r="A2" i="53"/>
  <c r="K59" i="67"/>
  <c r="P61" i="67"/>
  <c r="K59" i="15"/>
  <c r="P74" i="15" s="1"/>
  <c r="P61"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1" i="71"/>
  <c r="P21" i="71"/>
  <c r="O21" i="71"/>
  <c r="N2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H34" i="71"/>
  <c r="AG34" i="71"/>
  <c r="AE34" i="71"/>
  <c r="AF34" i="71" s="1"/>
  <c r="AD34" i="71"/>
  <c r="AD35" i="71"/>
  <c r="AE35" i="71"/>
  <c r="AF35" i="71" s="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4" i="71"/>
  <c r="F83" i="71"/>
  <c r="E83" i="71"/>
  <c r="E82" i="71" s="1"/>
  <c r="E81" i="71" s="1"/>
  <c r="C83" i="71"/>
  <c r="D83" i="71"/>
  <c r="B83" i="71"/>
  <c r="F82" i="71"/>
  <c r="F81" i="71" s="1"/>
  <c r="B82" i="71"/>
  <c r="B81" i="71" s="1"/>
  <c r="D80" i="71"/>
  <c r="F79" i="71"/>
  <c r="E79" i="71"/>
  <c r="E78" i="71" s="1"/>
  <c r="E77" i="71"/>
  <c r="C79" i="71"/>
  <c r="D79" i="71"/>
  <c r="B79" i="71"/>
  <c r="F78" i="71"/>
  <c r="F77" i="71" s="1"/>
  <c r="B78" i="71"/>
  <c r="B77" i="71" s="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s="1"/>
  <c r="E71" i="71"/>
  <c r="U71" i="71" s="1"/>
  <c r="C71" i="71"/>
  <c r="T71" i="71" s="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E63" i="71"/>
  <c r="P63" i="71" s="1"/>
  <c r="C63" i="71"/>
  <c r="B63" i="71"/>
  <c r="S63" i="71"/>
  <c r="B62" i="71"/>
  <c r="D60" i="71"/>
  <c r="Q59" i="71"/>
  <c r="P59" i="71"/>
  <c r="O59" i="71"/>
  <c r="N59" i="71"/>
  <c r="Q58" i="71"/>
  <c r="P58" i="71"/>
  <c r="O58" i="71"/>
  <c r="N58" i="71"/>
  <c r="Q57" i="71"/>
  <c r="P57" i="71"/>
  <c r="O57" i="71"/>
  <c r="N57" i="71"/>
  <c r="Q56" i="71"/>
  <c r="F57" i="71" s="1"/>
  <c r="F58" i="71" s="1"/>
  <c r="F59" i="71" s="1"/>
  <c r="V59" i="71" s="1"/>
  <c r="P56" i="71"/>
  <c r="E57" i="71"/>
  <c r="O56" i="71"/>
  <c r="C57" i="71"/>
  <c r="N56" i="71"/>
  <c r="B57" i="71"/>
  <c r="B58" i="71" s="1"/>
  <c r="B59" i="71" s="1"/>
  <c r="S59" i="71" s="1"/>
  <c r="D56" i="71"/>
  <c r="Q55" i="71"/>
  <c r="P55" i="71"/>
  <c r="O55" i="71"/>
  <c r="N55" i="71"/>
  <c r="Q54" i="71"/>
  <c r="P54" i="71"/>
  <c r="O54" i="71"/>
  <c r="N54" i="71"/>
  <c r="Q53" i="71"/>
  <c r="P53" i="71"/>
  <c r="O53" i="71"/>
  <c r="N53" i="71"/>
  <c r="Q52" i="71"/>
  <c r="F53" i="71"/>
  <c r="F54" i="71" s="1"/>
  <c r="F55" i="71" s="1"/>
  <c r="V55" i="71" s="1"/>
  <c r="P52" i="71"/>
  <c r="E53" i="71" s="1"/>
  <c r="O52" i="71"/>
  <c r="C53" i="71" s="1"/>
  <c r="N52" i="71"/>
  <c r="B53" i="71" s="1"/>
  <c r="B54" i="71" s="1"/>
  <c r="B55" i="71" s="1"/>
  <c r="S55" i="71" s="1"/>
  <c r="D52" i="71"/>
  <c r="Q51" i="71"/>
  <c r="P51" i="71"/>
  <c r="O51" i="71"/>
  <c r="N51" i="71"/>
  <c r="Q50" i="71"/>
  <c r="P50" i="71"/>
  <c r="O50" i="71"/>
  <c r="N50" i="71"/>
  <c r="Q49" i="71"/>
  <c r="P49" i="71"/>
  <c r="O49" i="71"/>
  <c r="N49" i="71"/>
  <c r="C49" i="71"/>
  <c r="Q48" i="71"/>
  <c r="F49" i="71"/>
  <c r="F50" i="71" s="1"/>
  <c r="F51" i="71" s="1"/>
  <c r="V51" i="71" s="1"/>
  <c r="P48" i="71"/>
  <c r="E49" i="71" s="1"/>
  <c r="O48" i="71"/>
  <c r="N48" i="71"/>
  <c r="B49" i="71"/>
  <c r="B50" i="71" s="1"/>
  <c r="B51" i="71"/>
  <c r="S51" i="71" s="1"/>
  <c r="D48" i="71"/>
  <c r="Q47" i="71"/>
  <c r="P47" i="71"/>
  <c r="O47" i="71"/>
  <c r="N47" i="71"/>
  <c r="Q46" i="71"/>
  <c r="P46" i="71"/>
  <c r="O46" i="71"/>
  <c r="N46" i="71"/>
  <c r="Q45" i="71"/>
  <c r="P45" i="71"/>
  <c r="O45" i="71"/>
  <c r="N45" i="71"/>
  <c r="Q44" i="71"/>
  <c r="F45" i="71"/>
  <c r="P44" i="71"/>
  <c r="E45" i="71"/>
  <c r="E46" i="71" s="1"/>
  <c r="E47" i="71"/>
  <c r="U47" i="71" s="1"/>
  <c r="O44" i="71"/>
  <c r="C45" i="71" s="1"/>
  <c r="N44" i="71"/>
  <c r="B45" i="71" s="1"/>
  <c r="B46" i="71" s="1"/>
  <c r="B47" i="71" s="1"/>
  <c r="S47" i="71" s="1"/>
  <c r="D44" i="71"/>
  <c r="T43" i="71"/>
  <c r="Q43" i="71"/>
  <c r="P43" i="71"/>
  <c r="O43" i="71"/>
  <c r="N43" i="71"/>
  <c r="D43" i="71"/>
  <c r="Q42" i="71"/>
  <c r="P42" i="71"/>
  <c r="O42" i="71"/>
  <c r="N42" i="71"/>
  <c r="Q41" i="71"/>
  <c r="P41" i="71"/>
  <c r="O41" i="71"/>
  <c r="N41" i="71"/>
  <c r="Q40" i="71"/>
  <c r="F41" i="71" s="1"/>
  <c r="F42" i="71" s="1"/>
  <c r="F43" i="71" s="1"/>
  <c r="V43" i="71" s="1"/>
  <c r="P40" i="71"/>
  <c r="E41" i="7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c r="E38" i="71" s="1"/>
  <c r="E39" i="71" s="1"/>
  <c r="U39" i="71" s="1"/>
  <c r="O36" i="71"/>
  <c r="C37" i="71" s="1"/>
  <c r="N36" i="71"/>
  <c r="B37" i="71" s="1"/>
  <c r="B38" i="71" s="1"/>
  <c r="B39" i="71" s="1"/>
  <c r="S39" i="71" s="1"/>
  <c r="D36" i="71"/>
  <c r="Q35" i="71"/>
  <c r="P35" i="71"/>
  <c r="O35" i="71"/>
  <c r="N35" i="71"/>
  <c r="AB34" i="71"/>
  <c r="Q34" i="71"/>
  <c r="P34" i="71"/>
  <c r="O34" i="71"/>
  <c r="N34" i="71"/>
  <c r="X34" i="71"/>
  <c r="Q33" i="71"/>
  <c r="AB33" i="71"/>
  <c r="P33" i="71"/>
  <c r="O33" i="71"/>
  <c r="Y33" i="71" s="1"/>
  <c r="Z33" i="71" s="1"/>
  <c r="N33" i="71"/>
  <c r="Q32" i="71"/>
  <c r="F33" i="71" s="1"/>
  <c r="F34" i="71" s="1"/>
  <c r="F35" i="71" s="1"/>
  <c r="V35" i="71" s="1"/>
  <c r="P32" i="71"/>
  <c r="O32" i="71"/>
  <c r="C33" i="71" s="1"/>
  <c r="N32" i="71"/>
  <c r="D32" i="71"/>
  <c r="Q31" i="71"/>
  <c r="AB31" i="71"/>
  <c r="P31" i="71"/>
  <c r="O31" i="71"/>
  <c r="Y31" i="71" s="1"/>
  <c r="Z31" i="71" s="1"/>
  <c r="N31" i="71"/>
  <c r="Q30" i="71"/>
  <c r="AB30" i="71" s="1"/>
  <c r="P30" i="71"/>
  <c r="AA28" i="71" s="1"/>
  <c r="O30" i="71"/>
  <c r="Y30" i="71"/>
  <c r="Z30" i="71" s="1"/>
  <c r="N30" i="71"/>
  <c r="X28" i="71" s="1"/>
  <c r="Q29" i="71"/>
  <c r="AB29" i="71"/>
  <c r="P29" i="71"/>
  <c r="O29" i="71"/>
  <c r="Y29" i="71" s="1"/>
  <c r="Z29" i="71" s="1"/>
  <c r="N29" i="71"/>
  <c r="Q28" i="71"/>
  <c r="F29" i="71" s="1"/>
  <c r="F30" i="71" s="1"/>
  <c r="F31" i="71" s="1"/>
  <c r="V31" i="71" s="1"/>
  <c r="P28" i="71"/>
  <c r="O28" i="71"/>
  <c r="N28" i="71"/>
  <c r="D28" i="71"/>
  <c r="Q27" i="71"/>
  <c r="AB27" i="71"/>
  <c r="P27" i="71"/>
  <c r="O27" i="71"/>
  <c r="Y27" i="71" s="1"/>
  <c r="Z27" i="71" s="1"/>
  <c r="N27" i="71"/>
  <c r="Q26" i="71"/>
  <c r="AB26" i="71" s="1"/>
  <c r="P26" i="71"/>
  <c r="AA25" i="71" s="1"/>
  <c r="O26" i="71"/>
  <c r="Y26" i="71"/>
  <c r="Z26" i="71" s="1"/>
  <c r="N26" i="71"/>
  <c r="X24" i="71" s="1"/>
  <c r="Q25" i="71"/>
  <c r="AB25" i="71"/>
  <c r="P25" i="71"/>
  <c r="O25" i="71"/>
  <c r="Y25" i="71" s="1"/>
  <c r="Z25" i="71" s="1"/>
  <c r="N25" i="71"/>
  <c r="Q24" i="71"/>
  <c r="AB24" i="71" s="1"/>
  <c r="P24" i="71"/>
  <c r="O24" i="71"/>
  <c r="Y24" i="71" s="1"/>
  <c r="Z24" i="71" s="1"/>
  <c r="N24" i="71"/>
  <c r="D24" i="71"/>
  <c r="O23" i="71"/>
  <c r="N23" i="71"/>
  <c r="B23" i="71" s="1"/>
  <c r="B25" i="71"/>
  <c r="B26" i="71"/>
  <c r="B27" i="71" s="1"/>
  <c r="S27" i="71" s="1"/>
  <c r="E25" i="71"/>
  <c r="E26" i="71" s="1"/>
  <c r="E27" i="71" s="1"/>
  <c r="U27" i="71" s="1"/>
  <c r="AA24" i="71"/>
  <c r="B29" i="71"/>
  <c r="B30" i="71"/>
  <c r="B31" i="71" s="1"/>
  <c r="S31" i="71" s="1"/>
  <c r="B33" i="71"/>
  <c r="B34" i="71" s="1"/>
  <c r="B35" i="71" s="1"/>
  <c r="S35" i="71" s="1"/>
  <c r="X32" i="71"/>
  <c r="E33" i="71"/>
  <c r="E34" i="71"/>
  <c r="E35" i="71" s="1"/>
  <c r="U35" i="71" s="1"/>
  <c r="N63" i="71"/>
  <c r="E29" i="71"/>
  <c r="E30" i="71"/>
  <c r="E31" i="71" s="1"/>
  <c r="U31" i="71" s="1"/>
  <c r="C25" i="71"/>
  <c r="D25" i="71" s="1"/>
  <c r="X25" i="71"/>
  <c r="X26" i="71"/>
  <c r="X27" i="71"/>
  <c r="C29" i="71"/>
  <c r="C30" i="71" s="1"/>
  <c r="Y28" i="71"/>
  <c r="Z28" i="71" s="1"/>
  <c r="AB28" i="71"/>
  <c r="AA29" i="71"/>
  <c r="AA30" i="71"/>
  <c r="X31" i="71"/>
  <c r="AA31" i="71"/>
  <c r="Y32" i="71"/>
  <c r="Z32" i="71" s="1"/>
  <c r="AB32" i="71"/>
  <c r="X33" i="71"/>
  <c r="AA33" i="71"/>
  <c r="F46" i="71"/>
  <c r="F47" i="71"/>
  <c r="V47" i="71" s="1"/>
  <c r="C23" i="71"/>
  <c r="C22" i="71" s="1"/>
  <c r="X20" i="71"/>
  <c r="X22" i="71"/>
  <c r="C26" i="71"/>
  <c r="D26" i="71" s="1"/>
  <c r="D29" i="71"/>
  <c r="C46" i="71"/>
  <c r="D46" i="71" s="1"/>
  <c r="D45" i="71"/>
  <c r="P23" i="71"/>
  <c r="AA3" i="71" s="1"/>
  <c r="E50" i="71"/>
  <c r="E51" i="71"/>
  <c r="U51" i="71" s="1"/>
  <c r="E54" i="71"/>
  <c r="E55" i="71" s="1"/>
  <c r="U55" i="71" s="1"/>
  <c r="E58" i="71"/>
  <c r="E59" i="71"/>
  <c r="U59" i="71" s="1"/>
  <c r="U63" i="71"/>
  <c r="E62" i="71"/>
  <c r="E61" i="71" s="1"/>
  <c r="Q23" i="71"/>
  <c r="C50" i="71"/>
  <c r="D50" i="71" s="1"/>
  <c r="D49" i="71"/>
  <c r="C54" i="71"/>
  <c r="D54" i="71" s="1"/>
  <c r="D53" i="71"/>
  <c r="C58" i="71"/>
  <c r="C59" i="71" s="1"/>
  <c r="D57" i="71"/>
  <c r="N62" i="71"/>
  <c r="B61" i="71"/>
  <c r="T63" i="71"/>
  <c r="O63" i="71"/>
  <c r="D63" i="71"/>
  <c r="C62" i="71"/>
  <c r="O62" i="71" s="1"/>
  <c r="Q63" i="71"/>
  <c r="C66" i="71"/>
  <c r="D66" i="71" s="1"/>
  <c r="E66" i="71"/>
  <c r="E65" i="71"/>
  <c r="D67" i="71"/>
  <c r="C70" i="71"/>
  <c r="C69" i="71" s="1"/>
  <c r="D69" i="71" s="1"/>
  <c r="E70" i="71"/>
  <c r="E69" i="71"/>
  <c r="D71" i="71"/>
  <c r="C74" i="71"/>
  <c r="C73" i="71" s="1"/>
  <c r="D73" i="71" s="1"/>
  <c r="E74" i="71"/>
  <c r="E73" i="71"/>
  <c r="D75" i="71"/>
  <c r="C78" i="71"/>
  <c r="D78" i="71" s="1"/>
  <c r="C82" i="71"/>
  <c r="T23" i="71"/>
  <c r="F23" i="71"/>
  <c r="F22" i="71"/>
  <c r="F21" i="71" s="1"/>
  <c r="AB20" i="71"/>
  <c r="AB21" i="71"/>
  <c r="AB22" i="71"/>
  <c r="AB23" i="71"/>
  <c r="E23" i="71"/>
  <c r="E22" i="71" s="1"/>
  <c r="E21" i="71" s="1"/>
  <c r="AA20" i="71"/>
  <c r="AA22" i="71"/>
  <c r="D23" i="71"/>
  <c r="U23" i="71" s="1"/>
  <c r="C61" i="71"/>
  <c r="D61" i="71" s="1"/>
  <c r="D62" i="71"/>
  <c r="D58" i="71"/>
  <c r="C77" i="71"/>
  <c r="D77" i="71" s="1"/>
  <c r="D70" i="71"/>
  <c r="N60" i="71"/>
  <c r="N61" i="71"/>
  <c r="D82" i="71"/>
  <c r="C81" i="71"/>
  <c r="D81" i="71" s="1"/>
  <c r="D74" i="71"/>
  <c r="C65" i="71"/>
  <c r="D65" i="71" s="1"/>
  <c r="C55" i="71"/>
  <c r="T55" i="71" s="1"/>
  <c r="C51" i="71"/>
  <c r="T51" i="71" s="1"/>
  <c r="P62" i="71"/>
  <c r="C47" i="71"/>
  <c r="T47" i="71" s="1"/>
  <c r="C27" i="71"/>
  <c r="T27" i="71" s="1"/>
  <c r="O61" i="71"/>
  <c r="O60" i="71"/>
  <c r="D27" i="71"/>
  <c r="D47" i="71"/>
  <c r="D51" i="71"/>
  <c r="D55"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29" i="39"/>
  <c r="S18" i="36"/>
  <c r="U18" i="36"/>
  <c r="H25" i="40"/>
  <c r="AB25" i="40" s="1"/>
  <c r="J25" i="40"/>
  <c r="AC25" i="40" s="1"/>
  <c r="H29" i="39"/>
  <c r="AB29" i="39" s="1"/>
  <c r="J29" i="39"/>
  <c r="AC29" i="39" s="1"/>
  <c r="J18" i="36"/>
  <c r="AC18" i="36" s="1"/>
  <c r="H18" i="35"/>
  <c r="AB18" i="35" s="1"/>
  <c r="G68" i="35"/>
  <c r="J18" i="35"/>
  <c r="F77" i="37"/>
  <c r="G77" i="37" s="1"/>
  <c r="H21" i="37"/>
  <c r="F21" i="37"/>
  <c r="AA21" i="37" s="1"/>
  <c r="H21" i="34"/>
  <c r="AB21" i="34" s="1"/>
  <c r="H21" i="33"/>
  <c r="U21" i="33" s="1"/>
  <c r="F21" i="33"/>
  <c r="E83" i="21"/>
  <c r="F83" i="21" s="1"/>
  <c r="G83" i="21" s="1"/>
  <c r="H1" i="69"/>
  <c r="W25" i="40"/>
  <c r="U25" i="40"/>
  <c r="U29" i="39"/>
  <c r="W29" i="39"/>
  <c r="W18" i="36"/>
  <c r="AB21" i="37"/>
  <c r="U21" i="37"/>
  <c r="S21" i="37"/>
  <c r="AB21" i="33"/>
  <c r="AA21" i="33"/>
  <c r="S21" i="33"/>
  <c r="U18" i="35"/>
  <c r="AC18" i="35"/>
  <c r="W18" i="35"/>
  <c r="J21" i="37"/>
  <c r="W21" i="37" s="1"/>
  <c r="J21" i="34"/>
  <c r="W21" i="34" s="1"/>
  <c r="J21" i="33"/>
  <c r="AC21" i="33" s="1"/>
  <c r="H21" i="21"/>
  <c r="AB21" i="21" s="1"/>
  <c r="F38" i="69"/>
  <c r="E37" i="69"/>
  <c r="F36" i="69"/>
  <c r="F35" i="69"/>
  <c r="F21" i="69"/>
  <c r="F40" i="69" s="1"/>
  <c r="F20" i="69"/>
  <c r="F39" i="69" s="1"/>
  <c r="E10" i="69"/>
  <c r="E9" i="69"/>
  <c r="C7" i="69"/>
  <c r="AC21" i="34"/>
  <c r="U21" i="21"/>
  <c r="J21" i="21"/>
  <c r="W21" i="21" s="1"/>
  <c r="C40" i="69"/>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G41" i="43" s="1"/>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c r="C55" i="40" s="1"/>
  <c r="H54" i="40"/>
  <c r="I54" i="40" s="1"/>
  <c r="C54" i="40"/>
  <c r="H53" i="40"/>
  <c r="I53" i="40"/>
  <c r="C53" i="40" s="1"/>
  <c r="H52" i="40"/>
  <c r="I52" i="40" s="1"/>
  <c r="C52" i="40"/>
  <c r="H65" i="39"/>
  <c r="I65" i="39" s="1"/>
  <c r="C65" i="39" s="1"/>
  <c r="H64" i="39"/>
  <c r="I64" i="39" s="1"/>
  <c r="C64" i="39" s="1"/>
  <c r="H60" i="39"/>
  <c r="I60" i="39"/>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W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G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AA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F36" i="35" s="1"/>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H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C5" i="3" s="1"/>
  <c r="BD585" i="3"/>
  <c r="BE585" i="3"/>
  <c r="BF585" i="3"/>
  <c r="BG585" i="3"/>
  <c r="BG5" i="3" s="1"/>
  <c r="BH585" i="3"/>
  <c r="BI585" i="3"/>
  <c r="BJ585" i="3"/>
  <c r="BK585" i="3"/>
  <c r="BK5" i="3" s="1"/>
  <c r="BM585" i="3"/>
  <c r="BN585" i="3"/>
  <c r="BN5" i="3" s="1"/>
  <c r="G29" i="6" s="1"/>
  <c r="BO585" i="3"/>
  <c r="BP585" i="3"/>
  <c r="BQ585" i="3"/>
  <c r="BR585" i="3"/>
  <c r="BS585" i="3"/>
  <c r="BT585" i="3"/>
  <c r="BL585" i="3" s="1"/>
  <c r="BB586" i="3"/>
  <c r="BC586" i="3"/>
  <c r="BA586" i="3" s="1"/>
  <c r="AZ586" i="3" s="1"/>
  <c r="BD586" i="3"/>
  <c r="BE586" i="3"/>
  <c r="BF586" i="3"/>
  <c r="BG586" i="3"/>
  <c r="BH586" i="3"/>
  <c r="BI586" i="3"/>
  <c r="BJ586" i="3"/>
  <c r="BK586" i="3"/>
  <c r="BM586" i="3"/>
  <c r="BN586" i="3"/>
  <c r="BO586" i="3"/>
  <c r="BL586" i="3" s="1"/>
  <c r="BP586" i="3"/>
  <c r="BQ586" i="3"/>
  <c r="BR586" i="3"/>
  <c r="BS586" i="3"/>
  <c r="BS5" i="3" s="1"/>
  <c r="BT586" i="3"/>
  <c r="BB587" i="3"/>
  <c r="BB5" i="3" s="1"/>
  <c r="BC587" i="3"/>
  <c r="BD587" i="3"/>
  <c r="BE587" i="3"/>
  <c r="BF587" i="3"/>
  <c r="BF5" i="3" s="1"/>
  <c r="BG587" i="3"/>
  <c r="BH587" i="3"/>
  <c r="BI587" i="3"/>
  <c r="BJ587" i="3"/>
  <c r="BJ5" i="3" s="1"/>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W28" i="35"/>
  <c r="U31" i="35"/>
  <c r="W22" i="35"/>
  <c r="S31" i="35"/>
  <c r="F36" i="34"/>
  <c r="S36" i="34" s="1"/>
  <c r="J35" i="34"/>
  <c r="H39" i="33"/>
  <c r="AB39" i="33"/>
  <c r="F26" i="33"/>
  <c r="AA26" i="33"/>
  <c r="S9" i="33"/>
  <c r="U33" i="33"/>
  <c r="U35" i="33"/>
  <c r="S40" i="33"/>
  <c r="W33" i="33"/>
  <c r="W39" i="33"/>
  <c r="H39" i="37"/>
  <c r="AB39" i="37"/>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G101" i="39" s="1"/>
  <c r="H27" i="39"/>
  <c r="U27" i="39"/>
  <c r="J19" i="39"/>
  <c r="AC19" i="39"/>
  <c r="J17" i="39"/>
  <c r="J27" i="39"/>
  <c r="AC27" i="39" s="1"/>
  <c r="F27" i="39"/>
  <c r="F11" i="21"/>
  <c r="S11" i="21"/>
  <c r="U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H36" i="34"/>
  <c r="U36" i="34" s="1"/>
  <c r="F28" i="34"/>
  <c r="AA28" i="34" s="1"/>
  <c r="F27" i="34"/>
  <c r="AA27" i="34" s="1"/>
  <c r="F25" i="34"/>
  <c r="S25" i="34" s="1"/>
  <c r="J23" i="34"/>
  <c r="F19" i="34"/>
  <c r="H17" i="34"/>
  <c r="U17" i="34" s="1"/>
  <c r="F15" i="34"/>
  <c r="S15" i="34" s="1"/>
  <c r="J15" i="34"/>
  <c r="AC15" i="34" s="1"/>
  <c r="H15" i="34"/>
  <c r="AB15" i="34" s="1"/>
  <c r="W8" i="34"/>
  <c r="J28" i="34"/>
  <c r="W28" i="34" s="1"/>
  <c r="F41" i="33"/>
  <c r="AA41" i="33" s="1"/>
  <c r="S38" i="33"/>
  <c r="E113" i="33"/>
  <c r="F32" i="33"/>
  <c r="AA32" i="33" s="1"/>
  <c r="J19" i="33"/>
  <c r="AC19" i="33" s="1"/>
  <c r="J15" i="33"/>
  <c r="AC15" i="33" s="1"/>
  <c r="F11" i="33"/>
  <c r="AA11" i="33" s="1"/>
  <c r="S26"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s="1"/>
  <c r="H25" i="34"/>
  <c r="AB25" i="34" s="1"/>
  <c r="J25" i="34"/>
  <c r="AC25" i="34" s="1"/>
  <c r="F23" i="34"/>
  <c r="AA23" i="34" s="1"/>
  <c r="J19" i="34"/>
  <c r="AC19" i="34" s="1"/>
  <c r="F17" i="34"/>
  <c r="AA17" i="34" s="1"/>
  <c r="S41" i="33"/>
  <c r="F113" i="33"/>
  <c r="G113" i="33"/>
  <c r="H113" i="33" s="1"/>
  <c r="I113" i="33" s="1"/>
  <c r="J113" i="33" s="1"/>
  <c r="K113" i="33" s="1"/>
  <c r="L113" i="33" s="1"/>
  <c r="M113" i="33" s="1"/>
  <c r="H37" i="33"/>
  <c r="AB37" i="33"/>
  <c r="H15" i="33"/>
  <c r="AB15" i="33"/>
  <c r="H11" i="33"/>
  <c r="AB11" i="33"/>
  <c r="F28" i="40"/>
  <c r="AA28" i="40"/>
  <c r="AA42" i="34"/>
  <c r="S42" i="34"/>
  <c r="AC38" i="34"/>
  <c r="AA38" i="34"/>
  <c r="J11" i="33"/>
  <c r="W11" i="33" s="1"/>
  <c r="S28" i="34"/>
  <c r="J42" i="21"/>
  <c r="AC42" i="21"/>
  <c r="H42" i="21"/>
  <c r="U42" i="21"/>
  <c r="J44" i="34"/>
  <c r="AC44" i="34" s="1"/>
  <c r="F44" i="34"/>
  <c r="AA44" i="34" s="1"/>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c r="F30" i="35"/>
  <c r="S30" i="35"/>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BA585" i="3"/>
  <c r="AZ585" i="3" s="1"/>
  <c r="F17" i="21"/>
  <c r="AA17" i="21"/>
  <c r="H17" i="21"/>
  <c r="AB17" i="21"/>
  <c r="F15" i="21"/>
  <c r="S15" i="21"/>
  <c r="J41" i="39"/>
  <c r="W41" i="39" s="1"/>
  <c r="AC45"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AZ502" i="3" s="1"/>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L549" i="3" s="1"/>
  <c r="AZ549" i="3" s="1"/>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G5" i="3" s="1"/>
  <c r="B3"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F14" i="36"/>
  <c r="AA14" i="36"/>
  <c r="F22" i="36"/>
  <c r="S22" i="36"/>
  <c r="F26" i="36"/>
  <c r="S26" i="36"/>
  <c r="H27" i="34"/>
  <c r="AB27" i="34"/>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AC32" i="36"/>
  <c r="AC33" i="36"/>
  <c r="AA12" i="35"/>
  <c r="W14" i="37"/>
  <c r="U33" i="37"/>
  <c r="U39" i="37"/>
  <c r="W26" i="37"/>
  <c r="AC8" i="37"/>
  <c r="U26" i="37"/>
  <c r="AB13" i="34"/>
  <c r="AA13" i="33"/>
  <c r="AC31" i="33"/>
  <c r="AC45" i="33"/>
  <c r="W44" i="33"/>
  <c r="U11" i="33"/>
  <c r="U19" i="21"/>
  <c r="U26" i="21"/>
  <c r="U12" i="21"/>
  <c r="F43" i="33"/>
  <c r="AA43" i="33" s="1"/>
  <c r="W16" i="35"/>
  <c r="W40" i="37"/>
  <c r="G107" i="37"/>
  <c r="H107" i="37" s="1"/>
  <c r="I107" i="37" s="1"/>
  <c r="J107" i="37" s="1"/>
  <c r="K107" i="37" s="1"/>
  <c r="L107" i="37" s="1"/>
  <c r="M107" i="37" s="1"/>
  <c r="H37" i="21"/>
  <c r="U37" i="21"/>
  <c r="S42" i="21"/>
  <c r="H19" i="34"/>
  <c r="AB19" i="34" s="1"/>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AC13" i="40"/>
  <c r="W23" i="39"/>
  <c r="AC43" i="39"/>
  <c r="W43" i="39"/>
  <c r="U45" i="39"/>
  <c r="AB45" i="39"/>
  <c r="AB44" i="39"/>
  <c r="U44"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K5" i="4" s="1"/>
  <c r="B47" i="48" s="1"/>
  <c r="A2" i="9"/>
  <c r="AZ20" i="3"/>
  <c r="AZ24" i="3"/>
  <c r="AZ28" i="3"/>
  <c r="AZ32" i="3"/>
  <c r="AZ494"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H5" i="3"/>
  <c r="BD5" i="3"/>
  <c r="AZ317" i="3"/>
  <c r="AZ333" i="3"/>
  <c r="BQ5" i="3"/>
  <c r="F28" i="6" s="1"/>
  <c r="AZ496" i="3"/>
  <c r="G548" i="3"/>
  <c r="G538" i="3"/>
  <c r="G520" i="3"/>
  <c r="G502" i="3"/>
  <c r="BP5" i="3"/>
  <c r="AZ343" i="3"/>
  <c r="BI5" i="3"/>
  <c r="BE5" i="3"/>
  <c r="G17" i="3"/>
  <c r="BA17" i="3"/>
  <c r="BT5" i="3"/>
  <c r="AZ350" i="3"/>
  <c r="AZ352" i="3"/>
  <c r="AZ360" i="3"/>
  <c r="AZ368" i="3"/>
  <c r="BA15" i="3"/>
  <c r="AZ15" i="3"/>
  <c r="BR5" i="3"/>
  <c r="G28" i="6" s="1"/>
  <c r="G30" i="6" s="1"/>
  <c r="G31" i="6" s="1"/>
  <c r="AZ380" i="3"/>
  <c r="AZ388" i="3"/>
  <c r="AZ396" i="3"/>
  <c r="G509" i="3"/>
  <c r="BL493" i="3"/>
  <c r="AZ491" i="3"/>
  <c r="AZ390" i="3"/>
  <c r="AZ493" i="3"/>
  <c r="F36" i="43"/>
  <c r="F81" i="43"/>
  <c r="H83" i="43" s="1"/>
  <c r="H113" i="43"/>
  <c r="F48" i="43"/>
  <c r="H52" i="43" s="1"/>
  <c r="F70" i="43"/>
  <c r="H73" i="43" s="1"/>
  <c r="M11" i="43"/>
  <c r="D17" i="43"/>
  <c r="F39" i="43"/>
  <c r="I17" i="43"/>
  <c r="F35" i="43"/>
  <c r="J17" i="43"/>
  <c r="F6" i="1"/>
  <c r="U17" i="39"/>
  <c r="S14" i="35"/>
  <c r="U43" i="21"/>
  <c r="AC35" i="21"/>
  <c r="G8" i="1"/>
  <c r="G9" i="1"/>
  <c r="G10" i="1"/>
  <c r="W37" i="37"/>
  <c r="W44" i="34"/>
  <c r="S15" i="37"/>
  <c r="U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E98" i="40"/>
  <c r="F98" i="40" s="1"/>
  <c r="G98" i="40" s="1"/>
  <c r="H98" i="40" s="1"/>
  <c r="I98" i="40" s="1"/>
  <c r="J98" i="40" s="1"/>
  <c r="K98" i="40" s="1"/>
  <c r="L98" i="40" s="1"/>
  <c r="M98" i="40" s="1"/>
  <c r="F10" i="33"/>
  <c r="S10" i="33"/>
  <c r="F34" i="33"/>
  <c r="S34" i="33"/>
  <c r="H34" i="33"/>
  <c r="U34" i="33"/>
  <c r="F35" i="33"/>
  <c r="S35" i="33"/>
  <c r="F39" i="34"/>
  <c r="S39" i="34" s="1"/>
  <c r="J39" i="34"/>
  <c r="W39"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c r="F20" i="36"/>
  <c r="AA20" i="36" s="1"/>
  <c r="J33" i="34"/>
  <c r="AC33" i="34" s="1"/>
  <c r="H23" i="39"/>
  <c r="U23" i="39"/>
  <c r="H86" i="43"/>
  <c r="H82" i="43"/>
  <c r="H87" i="43"/>
  <c r="K9" i="1"/>
  <c r="M9" i="1" s="1"/>
  <c r="AE9" i="1"/>
  <c r="D93" i="9"/>
  <c r="K6" i="1"/>
  <c r="AC26" i="33"/>
  <c r="W26" i="33"/>
  <c r="W27" i="34"/>
  <c r="AB34" i="36"/>
  <c r="U34" i="36"/>
  <c r="AB33" i="36"/>
  <c r="U33" i="36"/>
  <c r="AC12" i="39"/>
  <c r="AC39" i="40"/>
  <c r="W39" i="40"/>
  <c r="AZ401" i="3"/>
  <c r="AZ412" i="3"/>
  <c r="AZ417" i="3"/>
  <c r="AZ428" i="3"/>
  <c r="AZ433" i="3"/>
  <c r="AZ465" i="3"/>
  <c r="W12" i="33"/>
  <c r="AC12" i="33"/>
  <c r="S32" i="36"/>
  <c r="AZ550" i="3"/>
  <c r="AZ408" i="3"/>
  <c r="AZ437" i="3"/>
  <c r="AZ441" i="3"/>
  <c r="AZ457" i="3"/>
  <c r="AZ473" i="3"/>
  <c r="AZ490" i="3"/>
  <c r="BL14" i="3"/>
  <c r="AZ266" i="3"/>
  <c r="U30" i="33"/>
  <c r="AC13" i="34"/>
  <c r="AA47" i="34"/>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H100" i="43"/>
  <c r="C30" i="66"/>
  <c r="E26" i="66"/>
  <c r="AA34" i="33"/>
  <c r="B41" i="1"/>
  <c r="F48" i="9" s="1"/>
  <c r="O52" i="9" s="1"/>
  <c r="S22" i="31"/>
  <c r="J100" i="43"/>
  <c r="AB37" i="40"/>
  <c r="U35" i="40"/>
  <c r="S17" i="40"/>
  <c r="S23" i="40"/>
  <c r="AC17" i="40"/>
  <c r="AB27" i="40"/>
  <c r="S30" i="40"/>
  <c r="AA19" i="40"/>
  <c r="S28" i="40"/>
  <c r="AA27" i="40"/>
  <c r="U21" i="40"/>
  <c r="AB19" i="40"/>
  <c r="W42" i="39"/>
  <c r="U37" i="39"/>
  <c r="W39" i="39"/>
  <c r="S43"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B27" i="36"/>
  <c r="U26" i="36"/>
  <c r="S33" i="36"/>
  <c r="AA26" i="36"/>
  <c r="AA34" i="36"/>
  <c r="S29" i="36"/>
  <c r="AC26" i="36"/>
  <c r="AA22" i="36"/>
  <c r="AB14" i="36"/>
  <c r="U22" i="36"/>
  <c r="S16" i="36"/>
  <c r="S24" i="36"/>
  <c r="U24" i="36"/>
  <c r="U23" i="36"/>
  <c r="AB20" i="36"/>
  <c r="U16" i="36"/>
  <c r="S14" i="36"/>
  <c r="U10" i="36"/>
  <c r="AA25" i="35"/>
  <c r="S23" i="35"/>
  <c r="W24" i="35"/>
  <c r="U29" i="35"/>
  <c r="U28" i="35"/>
  <c r="AB27" i="35"/>
  <c r="U32" i="35"/>
  <c r="AA33" i="35"/>
  <c r="AC30" i="35"/>
  <c r="S32" i="35"/>
  <c r="W32" i="35"/>
  <c r="S28" i="35"/>
  <c r="AB16" i="35"/>
  <c r="U22" i="35"/>
  <c r="S20" i="35"/>
  <c r="AC20" i="35"/>
  <c r="S22" i="35"/>
  <c r="U14" i="35"/>
  <c r="AC10" i="35"/>
  <c r="AA10" i="35"/>
  <c r="AB10" i="35"/>
  <c r="AA11" i="35"/>
  <c r="S8" i="35"/>
  <c r="AC9" i="35"/>
  <c r="W9" i="35"/>
  <c r="AC12" i="35"/>
  <c r="F9" i="35"/>
  <c r="H9" i="35"/>
  <c r="F26" i="35"/>
  <c r="AA26" i="35" s="1"/>
  <c r="J26" i="35"/>
  <c r="H26" i="35"/>
  <c r="AB40" i="37"/>
  <c r="S25" i="37"/>
  <c r="W27" i="37"/>
  <c r="S26" i="37"/>
  <c r="AC9" i="37"/>
  <c r="AC29" i="37"/>
  <c r="U29" i="37"/>
  <c r="S32" i="37"/>
  <c r="AB31" i="37"/>
  <c r="W30" i="37"/>
  <c r="S36" i="37"/>
  <c r="U32" i="37"/>
  <c r="AC35" i="37"/>
  <c r="S30" i="37"/>
  <c r="AC15" i="37"/>
  <c r="J17" i="37"/>
  <c r="W17" i="37"/>
  <c r="F17" i="37"/>
  <c r="AA17" i="37" s="1"/>
  <c r="AB17" i="37"/>
  <c r="F75" i="37"/>
  <c r="F19" i="37"/>
  <c r="F23" i="37"/>
  <c r="S23" i="37" s="1"/>
  <c r="U23" i="37"/>
  <c r="U15" i="37"/>
  <c r="AC13" i="37"/>
  <c r="U9" i="37"/>
  <c r="AA13" i="37"/>
  <c r="AA12" i="37"/>
  <c r="AA9" i="37"/>
  <c r="H10" i="37"/>
  <c r="H60" i="37"/>
  <c r="F63" i="37"/>
  <c r="F11" i="37"/>
  <c r="S11" i="37" s="1"/>
  <c r="S27" i="34"/>
  <c r="AB8" i="34"/>
  <c r="U43" i="34"/>
  <c r="W41" i="34"/>
  <c r="AC42" i="34"/>
  <c r="U39" i="34"/>
  <c r="AB41" i="34"/>
  <c r="AA29" i="34"/>
  <c r="U27" i="34"/>
  <c r="S23" i="34"/>
  <c r="U15" i="34"/>
  <c r="S10" i="34"/>
  <c r="S13" i="34"/>
  <c r="H67" i="34"/>
  <c r="H10" i="34"/>
  <c r="F11" i="34"/>
  <c r="S11" i="34" s="1"/>
  <c r="AA35" i="33"/>
  <c r="S32" i="33"/>
  <c r="AA29" i="33"/>
  <c r="AB29" i="33"/>
  <c r="W38" i="33"/>
  <c r="H41" i="33"/>
  <c r="F121" i="33"/>
  <c r="G121" i="33"/>
  <c r="H121" i="33" s="1"/>
  <c r="I121" i="33" s="1"/>
  <c r="J121" i="33" s="1"/>
  <c r="K121" i="33" s="1"/>
  <c r="L121" i="33" s="1"/>
  <c r="M121" i="33" s="1"/>
  <c r="U42" i="33"/>
  <c r="S42" i="33"/>
  <c r="F36" i="33"/>
  <c r="G111" i="33"/>
  <c r="J35" i="33"/>
  <c r="S37" i="33"/>
  <c r="AA37" i="33"/>
  <c r="F101" i="33"/>
  <c r="G101" i="33" s="1"/>
  <c r="H101" i="33" s="1"/>
  <c r="I101" i="33" s="1"/>
  <c r="J101" i="33" s="1"/>
  <c r="K101" i="33" s="1"/>
  <c r="L101" i="33" s="1"/>
  <c r="M101" i="33" s="1"/>
  <c r="J32" i="33"/>
  <c r="S46" i="33"/>
  <c r="W43" i="33"/>
  <c r="F91" i="33"/>
  <c r="H27" i="33"/>
  <c r="F87" i="33"/>
  <c r="H25" i="33"/>
  <c r="F25" i="33"/>
  <c r="J23" i="33"/>
  <c r="F85" i="33"/>
  <c r="H23" i="33"/>
  <c r="F81" i="33"/>
  <c r="F19" i="33"/>
  <c r="S19" i="33"/>
  <c r="J17" i="33"/>
  <c r="F79" i="33"/>
  <c r="S15" i="33"/>
  <c r="U9" i="33"/>
  <c r="I66" i="33"/>
  <c r="J10" i="33"/>
  <c r="H10" i="33"/>
  <c r="AA10" i="33"/>
  <c r="AB14" i="33"/>
  <c r="W43" i="21"/>
  <c r="W36" i="21"/>
  <c r="W41" i="21"/>
  <c r="AB39" i="21"/>
  <c r="S39" i="21"/>
  <c r="AA36" i="21"/>
  <c r="J15" i="21"/>
  <c r="W15" i="21" s="1"/>
  <c r="F77" i="21"/>
  <c r="G77" i="21" s="1"/>
  <c r="F23" i="21"/>
  <c r="S23" i="21" s="1"/>
  <c r="E85" i="21"/>
  <c r="AA14" i="21"/>
  <c r="S8" i="21"/>
  <c r="M3" i="43"/>
  <c r="M1" i="43"/>
  <c r="N8" i="43"/>
  <c r="D120" i="9"/>
  <c r="D121" i="9" s="1"/>
  <c r="D7" i="52" s="1"/>
  <c r="C18" i="9"/>
  <c r="D18" i="9" s="1"/>
  <c r="F34" i="67"/>
  <c r="F62" i="67" s="1"/>
  <c r="M20" i="67"/>
  <c r="F34" i="15"/>
  <c r="F62" i="15" s="1"/>
  <c r="G13" i="3"/>
  <c r="BA13" i="3"/>
  <c r="BL17" i="3"/>
  <c r="AZ17" i="3"/>
  <c r="BL13" i="3"/>
  <c r="J56" i="9"/>
  <c r="J57" i="9" s="1"/>
  <c r="J59" i="9" s="1"/>
  <c r="J61" i="9" s="1"/>
  <c r="A24" i="51"/>
  <c r="B18" i="72" s="1"/>
  <c r="E32" i="6"/>
  <c r="L19" i="6"/>
  <c r="G1" i="68"/>
  <c r="K1" i="12"/>
  <c r="AR12" i="1"/>
  <c r="AQ12" i="1"/>
  <c r="T12" i="1"/>
  <c r="AR10" i="1"/>
  <c r="T10" i="1"/>
  <c r="E19" i="69"/>
  <c r="E19" i="68"/>
  <c r="E19" i="11"/>
  <c r="E1" i="73"/>
  <c r="G22" i="69"/>
  <c r="G22" i="68"/>
  <c r="G26" i="12"/>
  <c r="G22" i="11"/>
  <c r="C100" i="43"/>
  <c r="C7" i="43"/>
  <c r="E81" i="43"/>
  <c r="B79" i="43" s="1"/>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c r="C48" i="35"/>
  <c r="D48" i="35" s="1"/>
  <c r="C4" i="12"/>
  <c r="H55" i="43"/>
  <c r="H56" i="43"/>
  <c r="H72" i="43"/>
  <c r="L20" i="6"/>
  <c r="B6" i="1"/>
  <c r="E6" i="1" s="1"/>
  <c r="S8" i="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C45" i="34"/>
  <c r="AA31" i="34"/>
  <c r="AA30" i="34"/>
  <c r="AB45" i="34"/>
  <c r="AB47" i="34"/>
  <c r="U25" i="34"/>
  <c r="AB36" i="34"/>
  <c r="AC14" i="34"/>
  <c r="AC32" i="34"/>
  <c r="AC29" i="34"/>
  <c r="W29" i="34"/>
  <c r="W46" i="34"/>
  <c r="AC46" i="34"/>
  <c r="S32" i="34"/>
  <c r="AA32" i="34"/>
  <c r="U30" i="34"/>
  <c r="AB30" i="34"/>
  <c r="U38" i="34"/>
  <c r="AC40" i="34"/>
  <c r="W40" i="34"/>
  <c r="AA19" i="34"/>
  <c r="S19" i="34"/>
  <c r="AA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S45" i="21"/>
  <c r="F33" i="21"/>
  <c r="J33" i="21"/>
  <c r="H33" i="21"/>
  <c r="AB33" i="21"/>
  <c r="F37" i="21"/>
  <c r="AA37" i="21"/>
  <c r="AA26" i="21"/>
  <c r="AB14" i="21"/>
  <c r="AB46" i="21"/>
  <c r="U40" i="21"/>
  <c r="AC15" i="21"/>
  <c r="U13" i="21"/>
  <c r="AB13" i="21"/>
  <c r="W8" i="21"/>
  <c r="S35" i="21"/>
  <c r="AB37" i="21"/>
  <c r="J37" i="21"/>
  <c r="W37" i="2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T11" i="1"/>
  <c r="AR11" i="1"/>
  <c r="T13" i="1"/>
  <c r="S7" i="1"/>
  <c r="AQ7" i="1" s="1"/>
  <c r="E7" i="70"/>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J10" i="37"/>
  <c r="I60" i="37"/>
  <c r="G63" i="37"/>
  <c r="H11" i="37"/>
  <c r="AB10" i="37"/>
  <c r="U10" i="37"/>
  <c r="H11" i="34"/>
  <c r="AB11" i="34" s="1"/>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181" i="3"/>
  <c r="E122" i="3"/>
  <c r="E157" i="3"/>
  <c r="E89" i="3"/>
  <c r="E149" i="3"/>
  <c r="E207" i="3"/>
  <c r="E77" i="3"/>
  <c r="E252" i="3"/>
  <c r="E212" i="3"/>
  <c r="E271" i="3"/>
  <c r="E253" i="3"/>
  <c r="E204" i="3"/>
  <c r="E167" i="3"/>
  <c r="E145" i="3"/>
  <c r="E199" i="3"/>
  <c r="E164"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AB45" i="21"/>
  <c r="AC33" i="21"/>
  <c r="W33" i="21"/>
  <c r="S33" i="21"/>
  <c r="AA33" i="21"/>
  <c r="W32" i="21"/>
  <c r="AC32" i="21"/>
  <c r="AB9" i="21"/>
  <c r="U9" i="21"/>
  <c r="AA32" i="21"/>
  <c r="S32" i="21"/>
  <c r="W9" i="21"/>
  <c r="AC9" i="21"/>
  <c r="AB32" i="21"/>
  <c r="U32" i="21"/>
  <c r="AA10" i="21"/>
  <c r="S10" i="21"/>
  <c r="AR7" i="1"/>
  <c r="D3" i="34"/>
  <c r="U32" i="39"/>
  <c r="AB32" i="39"/>
  <c r="AC32" i="39"/>
  <c r="W32" i="39"/>
  <c r="W19" i="37"/>
  <c r="AC19" i="37"/>
  <c r="W23" i="37"/>
  <c r="AC23" i="37"/>
  <c r="AB11" i="37"/>
  <c r="U11" i="37"/>
  <c r="H63" i="37"/>
  <c r="I63" i="37"/>
  <c r="J63" i="37" s="1"/>
  <c r="K63" i="37" s="1"/>
  <c r="L63" i="37" s="1"/>
  <c r="M63" i="37" s="1"/>
  <c r="J11" i="37"/>
  <c r="W10" i="37"/>
  <c r="AC10" i="37"/>
  <c r="U11" i="34"/>
  <c r="AC10" i="34"/>
  <c r="W10" i="34"/>
  <c r="J11" i="34"/>
  <c r="W11" i="34" s="1"/>
  <c r="AC36" i="33"/>
  <c r="W36" i="33"/>
  <c r="U36" i="33"/>
  <c r="AB36" i="33"/>
  <c r="W27" i="33"/>
  <c r="AC27" i="33"/>
  <c r="W25" i="33"/>
  <c r="AC25" i="33"/>
  <c r="AA23" i="33"/>
  <c r="S23" i="33"/>
  <c r="AB19" i="33"/>
  <c r="U19" i="33"/>
  <c r="AA17" i="33"/>
  <c r="S17" i="33"/>
  <c r="U17" i="33"/>
  <c r="AB17" i="33"/>
  <c r="U23" i="21"/>
  <c r="AB23" i="21"/>
  <c r="AC23" i="21"/>
  <c r="W23" i="21"/>
  <c r="M18" i="9"/>
  <c r="B118" i="9" s="1"/>
  <c r="B14" i="74" s="1"/>
  <c r="B1" i="74" s="1"/>
  <c r="AC11" i="37"/>
  <c r="W11" i="37"/>
  <c r="R7" i="1"/>
  <c r="F34" i="11"/>
  <c r="F11" i="12"/>
  <c r="C23" i="12" s="1"/>
  <c r="F34" i="68"/>
  <c r="R8" i="1"/>
  <c r="AE7" i="1"/>
  <c r="AE8" i="1"/>
  <c r="AG6" i="1"/>
  <c r="H109" i="9"/>
  <c r="H110" i="9"/>
  <c r="D18" i="53" s="1"/>
  <c r="B35" i="72" s="1"/>
  <c r="D124" i="9"/>
  <c r="H14" i="74" s="1"/>
  <c r="B7" i="74" s="1"/>
  <c r="D16" i="53"/>
  <c r="B34" i="72" s="1"/>
  <c r="D10" i="52"/>
  <c r="D125" i="9"/>
  <c r="D11" i="52" s="1"/>
  <c r="AD3" i="71"/>
  <c r="J1" i="73"/>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s="1"/>
  <c r="H46" i="36" s="1"/>
  <c r="I46" i="36" s="1"/>
  <c r="C24" i="12"/>
  <c r="AB17" i="71"/>
  <c r="X15" i="71"/>
  <c r="X14" i="71"/>
  <c r="AA15" i="71"/>
  <c r="AA14" i="71"/>
  <c r="X18" i="71"/>
  <c r="Y14" i="71"/>
  <c r="Z14" i="71" s="1"/>
  <c r="AB15" i="71"/>
  <c r="AB14" i="71"/>
  <c r="F16" i="71"/>
  <c r="F15" i="71"/>
  <c r="F14" i="71" s="1"/>
  <c r="F13" i="71" s="1"/>
  <c r="F12" i="71" s="1"/>
  <c r="Y15" i="71"/>
  <c r="Z15" i="71" s="1"/>
  <c r="X3" i="71"/>
  <c r="E16" i="71"/>
  <c r="E15" i="71" s="1"/>
  <c r="I59" i="34"/>
  <c r="J59" i="34" s="1"/>
  <c r="E9" i="76"/>
  <c r="AO8" i="1"/>
  <c r="C76" i="67"/>
  <c r="AO12" i="1"/>
  <c r="F7" i="15"/>
  <c r="E2" i="68"/>
  <c r="D3" i="73"/>
  <c r="M23" i="15"/>
  <c r="F26" i="15"/>
  <c r="F26" i="67"/>
  <c r="M9" i="15"/>
  <c r="F16" i="15"/>
  <c r="F40" i="15"/>
  <c r="M28" i="67"/>
  <c r="AO13" i="1"/>
  <c r="F38" i="15"/>
  <c r="E2" i="69"/>
  <c r="M6" i="67"/>
  <c r="F41" i="67"/>
  <c r="E11" i="76"/>
  <c r="L48" i="67"/>
  <c r="M29" i="15"/>
  <c r="F3" i="73"/>
  <c r="AO7" i="1"/>
  <c r="F43" i="67"/>
  <c r="B7" i="76"/>
  <c r="AO10" i="1"/>
  <c r="B8" i="76"/>
  <c r="E10" i="76"/>
  <c r="D4" i="73"/>
  <c r="L47" i="15"/>
  <c r="M28" i="15"/>
  <c r="F9" i="15"/>
  <c r="F35" i="67"/>
  <c r="AO9" i="1"/>
  <c r="M8" i="15"/>
  <c r="M27" i="67"/>
  <c r="F40" i="67"/>
  <c r="M26" i="67"/>
  <c r="B12" i="76"/>
  <c r="F16" i="67"/>
  <c r="F20" i="31"/>
  <c r="F36" i="67"/>
  <c r="F37" i="67"/>
  <c r="D2" i="36"/>
  <c r="F13" i="15"/>
  <c r="L48" i="15"/>
  <c r="F9" i="67"/>
  <c r="B11" i="76"/>
  <c r="J15" i="15"/>
  <c r="M9" i="67"/>
  <c r="D2" i="35"/>
  <c r="F43" i="15"/>
  <c r="D2" i="34"/>
  <c r="M24" i="67"/>
  <c r="E7" i="76"/>
  <c r="F36" i="15"/>
  <c r="D2" i="21"/>
  <c r="M29" i="67"/>
  <c r="F7" i="73"/>
  <c r="B9" i="76"/>
  <c r="F38" i="67"/>
  <c r="D2" i="37"/>
  <c r="F37" i="15"/>
  <c r="E13" i="76"/>
  <c r="M22" i="67"/>
  <c r="F42" i="67"/>
  <c r="D6" i="73"/>
  <c r="B13" i="76"/>
  <c r="F6" i="73"/>
  <c r="F7" i="67"/>
  <c r="L47" i="67"/>
  <c r="M22" i="15"/>
  <c r="AO11" i="1"/>
  <c r="F8" i="15"/>
  <c r="M24" i="15"/>
  <c r="M23" i="67"/>
  <c r="D2" i="33"/>
  <c r="E12" i="76"/>
  <c r="D7" i="73"/>
  <c r="F5" i="73"/>
  <c r="F42" i="15"/>
  <c r="M27" i="15"/>
  <c r="M21" i="67"/>
  <c r="M8" i="67"/>
  <c r="E8" i="76"/>
  <c r="M26" i="15"/>
  <c r="B10" i="76"/>
  <c r="F4" i="73"/>
  <c r="F13" i="67"/>
  <c r="M6" i="15"/>
  <c r="F6" i="15"/>
  <c r="J15" i="67"/>
  <c r="C76" i="15"/>
  <c r="F8" i="67"/>
  <c r="D5" i="73"/>
  <c r="F6" i="67"/>
  <c r="E14" i="71" l="1"/>
  <c r="E13" i="71" s="1"/>
  <c r="E12" i="71" s="1"/>
  <c r="E11" i="71" s="1"/>
  <c r="V15" i="71"/>
  <c r="E68" i="39"/>
  <c r="F68" i="39" s="1"/>
  <c r="D17" i="53"/>
  <c r="B36" i="72" s="1"/>
  <c r="AZ495" i="3"/>
  <c r="BL5" i="3"/>
  <c r="AZ521" i="3"/>
  <c r="AZ501" i="3"/>
  <c r="E8" i="6"/>
  <c r="E15" i="6"/>
  <c r="E13" i="6"/>
  <c r="E10" i="6"/>
  <c r="E11" i="6"/>
  <c r="E14" i="6"/>
  <c r="E64" i="39" s="1"/>
  <c r="E12" i="6"/>
  <c r="E28" i="6"/>
  <c r="K14" i="1" s="1"/>
  <c r="AZ509" i="3"/>
  <c r="E545" i="3"/>
  <c r="E567" i="3"/>
  <c r="E510" i="3"/>
  <c r="E461" i="3"/>
  <c r="E352" i="3"/>
  <c r="E227" i="3"/>
  <c r="E205" i="3"/>
  <c r="E165" i="3"/>
  <c r="E128" i="3"/>
  <c r="E353" i="3"/>
  <c r="E385" i="3"/>
  <c r="E495" i="3"/>
  <c r="E518" i="3"/>
  <c r="AN6" i="3"/>
  <c r="AI6" i="3"/>
  <c r="E578" i="3"/>
  <c r="E402" i="3"/>
  <c r="E423" i="3"/>
  <c r="E350" i="3"/>
  <c r="E382" i="3"/>
  <c r="E303" i="3"/>
  <c r="E263" i="3"/>
  <c r="E301" i="3"/>
  <c r="E245" i="3"/>
  <c r="E159" i="3"/>
  <c r="E191" i="3"/>
  <c r="E99" i="3"/>
  <c r="E188" i="3"/>
  <c r="E148" i="3"/>
  <c r="E228" i="3"/>
  <c r="E269"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35" i="3"/>
  <c r="E91" i="3"/>
  <c r="E290" i="3"/>
  <c r="E221" i="3"/>
  <c r="E161" i="3"/>
  <c r="E180" i="3"/>
  <c r="E117" i="3"/>
  <c r="E140" i="3"/>
  <c r="E120" i="3"/>
  <c r="E85" i="3"/>
  <c r="E45" i="3"/>
  <c r="E223" i="3"/>
  <c r="E277" i="3"/>
  <c r="E238" i="3"/>
  <c r="E224" i="3"/>
  <c r="E197" i="3"/>
  <c r="E177" i="3"/>
  <c r="E116" i="3"/>
  <c r="E193" i="3"/>
  <c r="E173" i="3"/>
  <c r="E586" i="3"/>
  <c r="U31" i="21"/>
  <c r="AB31" i="21"/>
  <c r="W45" i="21"/>
  <c r="AC45" i="21"/>
  <c r="U28" i="33"/>
  <c r="AB28" i="33"/>
  <c r="AB28" i="34"/>
  <c r="U28" i="34"/>
  <c r="S36" i="35"/>
  <c r="AA36" i="35"/>
  <c r="U29" i="34"/>
  <c r="BA5" i="3"/>
  <c r="AB8" i="21"/>
  <c r="AC11" i="21"/>
  <c r="AC40" i="21"/>
  <c r="AA38" i="21"/>
  <c r="AA43" i="21"/>
  <c r="AC11" i="33"/>
  <c r="W15" i="33"/>
  <c r="W19" i="33"/>
  <c r="S43" i="33"/>
  <c r="S39" i="33"/>
  <c r="S27" i="33"/>
  <c r="W42" i="33"/>
  <c r="S17" i="34"/>
  <c r="AA25" i="34"/>
  <c r="AA45" i="34"/>
  <c r="S43" i="34"/>
  <c r="AC39" i="34"/>
  <c r="AA33" i="34"/>
  <c r="W25" i="34"/>
  <c r="S37" i="37"/>
  <c r="W39" i="37"/>
  <c r="W38" i="37"/>
  <c r="AA38" i="37"/>
  <c r="W13" i="35"/>
  <c r="AB13" i="35"/>
  <c r="W10" i="36"/>
  <c r="AA25" i="36"/>
  <c r="W14" i="36"/>
  <c r="S27" i="36"/>
  <c r="AC27" i="36"/>
  <c r="S37" i="39"/>
  <c r="AC15" i="40"/>
  <c r="AA32" i="40"/>
  <c r="AC36" i="40"/>
  <c r="S35" i="40"/>
  <c r="AC34" i="33"/>
  <c r="W28" i="37"/>
  <c r="F40" i="34"/>
  <c r="S11" i="40"/>
  <c r="AB23" i="35"/>
  <c r="AA12" i="40"/>
  <c r="U13" i="37"/>
  <c r="AC11" i="39"/>
  <c r="U10" i="21"/>
  <c r="U35" i="21"/>
  <c r="U36" i="40"/>
  <c r="AC5" i="3"/>
  <c r="BM5" i="3"/>
  <c r="F29" i="6" s="1"/>
  <c r="F30" i="6" s="1"/>
  <c r="AB33" i="40"/>
  <c r="S14" i="40"/>
  <c r="AB38" i="21"/>
  <c r="AC46" i="21"/>
  <c r="W44" i="21"/>
  <c r="W47" i="34"/>
  <c r="AB28" i="37"/>
  <c r="W23" i="35"/>
  <c r="U35" i="35"/>
  <c r="AA36" i="39"/>
  <c r="AB27" i="37"/>
  <c r="S35" i="39"/>
  <c r="W35" i="39"/>
  <c r="W44" i="39"/>
  <c r="AB11" i="21"/>
  <c r="W31" i="34"/>
  <c r="AB30" i="21"/>
  <c r="AA13" i="35"/>
  <c r="J28" i="33"/>
  <c r="F28" i="33"/>
  <c r="U23" i="40"/>
  <c r="AA29" i="35"/>
  <c r="J17" i="34"/>
  <c r="W17" i="34" s="1"/>
  <c r="U33" i="35"/>
  <c r="AC34" i="36"/>
  <c r="AC11" i="40"/>
  <c r="U40" i="33"/>
  <c r="H23" i="34"/>
  <c r="S35" i="34"/>
  <c r="AA39" i="37"/>
  <c r="C15" i="39"/>
  <c r="S34" i="21"/>
  <c r="S40" i="21"/>
  <c r="S38" i="40"/>
  <c r="S27" i="35"/>
  <c r="AC27" i="35"/>
  <c r="J34" i="35"/>
  <c r="H34" i="35"/>
  <c r="F34" i="35"/>
  <c r="J9" i="34"/>
  <c r="F9" i="34"/>
  <c r="H36" i="35"/>
  <c r="J36" i="35"/>
  <c r="F59" i="43"/>
  <c r="A15" i="62"/>
  <c r="B61" i="72" s="1"/>
  <c r="AZ409" i="3"/>
  <c r="AZ416" i="3"/>
  <c r="AZ425" i="3"/>
  <c r="AZ432" i="3"/>
  <c r="AZ445" i="3"/>
  <c r="AZ464" i="3"/>
  <c r="AZ467" i="3"/>
  <c r="AZ474" i="3"/>
  <c r="AZ480" i="3"/>
  <c r="AZ482" i="3"/>
  <c r="AZ486" i="3"/>
  <c r="AZ488" i="3"/>
  <c r="AZ277" i="3"/>
  <c r="AZ22" i="3"/>
  <c r="H38" i="40"/>
  <c r="J38" i="40"/>
  <c r="H39" i="40"/>
  <c r="AZ399" i="3"/>
  <c r="AZ440" i="3"/>
  <c r="AZ449" i="3"/>
  <c r="AZ453" i="3"/>
  <c r="AZ455" i="3"/>
  <c r="AZ208" i="3"/>
  <c r="AZ211" i="3"/>
  <c r="AZ219" i="3"/>
  <c r="AZ236" i="3"/>
  <c r="AZ247" i="3"/>
  <c r="AZ260" i="3"/>
  <c r="AZ264" i="3"/>
  <c r="AZ285" i="3"/>
  <c r="AZ290" i="3"/>
  <c r="AZ293" i="3"/>
  <c r="AZ153" i="3"/>
  <c r="AZ27" i="3"/>
  <c r="AZ34" i="3"/>
  <c r="AZ56" i="3"/>
  <c r="AZ73" i="3"/>
  <c r="AZ78" i="3"/>
  <c r="AZ91" i="3"/>
  <c r="AZ98" i="3"/>
  <c r="AZ104" i="3"/>
  <c r="AZ108" i="3"/>
  <c r="F3" i="35"/>
  <c r="F40" i="68"/>
  <c r="C21" i="68"/>
  <c r="C40" i="68"/>
  <c r="W21" i="33"/>
  <c r="AC21" i="37"/>
  <c r="D30" i="71"/>
  <c r="C31" i="71"/>
  <c r="B22" i="71"/>
  <c r="B21" i="71" s="1"/>
  <c r="S23" i="71"/>
  <c r="C34" i="71"/>
  <c r="D33" i="71"/>
  <c r="C38" i="71"/>
  <c r="D37" i="71"/>
  <c r="C42" i="71"/>
  <c r="D42" i="71" s="1"/>
  <c r="D41" i="71"/>
  <c r="T59" i="71"/>
  <c r="D59" i="71"/>
  <c r="P61" i="71"/>
  <c r="P60" i="71"/>
  <c r="C21" i="71"/>
  <c r="D21" i="71" s="1"/>
  <c r="D22" i="71"/>
  <c r="F25" i="71"/>
  <c r="F26" i="71" s="1"/>
  <c r="F27" i="71" s="1"/>
  <c r="V27" i="71" s="1"/>
  <c r="Y5" i="71"/>
  <c r="Z5" i="71" s="1"/>
  <c r="AA5" i="71"/>
  <c r="V63" i="71"/>
  <c r="F62" i="71"/>
  <c r="X19" i="71"/>
  <c r="AA18" i="71"/>
  <c r="X17" i="71"/>
  <c r="X16" i="71"/>
  <c r="Y13" i="71"/>
  <c r="Z13" i="71" s="1"/>
  <c r="X12" i="71"/>
  <c r="Y12" i="71"/>
  <c r="Z12" i="71" s="1"/>
  <c r="AA12" i="71"/>
  <c r="AB13" i="71"/>
  <c r="Y9" i="71"/>
  <c r="Z9" i="71" s="1"/>
  <c r="AB6" i="71"/>
  <c r="S21" i="21"/>
  <c r="S18" i="35"/>
  <c r="V23" i="71"/>
  <c r="AA23" i="71"/>
  <c r="AA21" i="71"/>
  <c r="X23" i="71"/>
  <c r="X21" i="71"/>
  <c r="Y23" i="71"/>
  <c r="Z23" i="71" s="1"/>
  <c r="Y22" i="71"/>
  <c r="Z22" i="71" s="1"/>
  <c r="Y21" i="71"/>
  <c r="Z21" i="71" s="1"/>
  <c r="Y20" i="71"/>
  <c r="Z20" i="71" s="1"/>
  <c r="X30" i="71"/>
  <c r="X29" i="71"/>
  <c r="AA27" i="71"/>
  <c r="AA26" i="71"/>
  <c r="AA32" i="71"/>
  <c r="X5" i="71"/>
  <c r="Y34" i="71"/>
  <c r="Z34" i="71" s="1"/>
  <c r="AA34" i="71"/>
  <c r="AB5" i="71"/>
  <c r="Y19" i="71"/>
  <c r="Z19" i="71" s="1"/>
  <c r="Y17" i="71"/>
  <c r="Z17" i="71" s="1"/>
  <c r="AB18" i="71"/>
  <c r="AA16" i="71"/>
  <c r="X13" i="71"/>
  <c r="AA13" i="71"/>
  <c r="Y16" i="71"/>
  <c r="Z16" i="71" s="1"/>
  <c r="AA17" i="71"/>
  <c r="AB16" i="71"/>
  <c r="X10" i="71"/>
  <c r="AA10" i="71"/>
  <c r="AB8" i="71"/>
  <c r="Y6" i="71"/>
  <c r="Z6" i="71" s="1"/>
  <c r="Y8" i="71"/>
  <c r="Z8" i="71" s="1"/>
  <c r="AA6" i="71"/>
  <c r="AA8" i="71"/>
  <c r="X6" i="71"/>
  <c r="X8" i="71"/>
  <c r="AA19" i="71"/>
  <c r="AB19" i="71"/>
  <c r="B19" i="71"/>
  <c r="C19" i="71"/>
  <c r="Y18" i="71"/>
  <c r="Z18" i="71" s="1"/>
  <c r="AB10" i="71"/>
  <c r="AB12" i="71"/>
  <c r="AB7" i="71"/>
  <c r="AB9" i="71"/>
  <c r="Y7" i="71"/>
  <c r="Z7" i="71" s="1"/>
  <c r="AA7" i="71"/>
  <c r="AA9" i="71"/>
  <c r="X7" i="71"/>
  <c r="X9" i="71"/>
  <c r="C36" i="69"/>
  <c r="W33" i="34"/>
  <c r="AB33" i="34"/>
  <c r="AA15" i="34"/>
  <c r="AB35" i="34"/>
  <c r="F112" i="34"/>
  <c r="G112" i="34" s="1"/>
  <c r="H112" i="34" s="1"/>
  <c r="I112" i="34" s="1"/>
  <c r="J112" i="34" s="1"/>
  <c r="K112" i="34" s="1"/>
  <c r="L112" i="34" s="1"/>
  <c r="M112" i="34" s="1"/>
  <c r="J37" i="34"/>
  <c r="F37" i="34"/>
  <c r="H37" i="34"/>
  <c r="AC11" i="34"/>
  <c r="AA11" i="34"/>
  <c r="AB40" i="34"/>
  <c r="AA39" i="34"/>
  <c r="S44" i="34"/>
  <c r="U44" i="34"/>
  <c r="AC36" i="34"/>
  <c r="U21" i="34"/>
  <c r="S21" i="34"/>
  <c r="AB17" i="34"/>
  <c r="W15" i="34"/>
  <c r="AC17" i="34"/>
  <c r="E10" i="43"/>
  <c r="E8" i="43"/>
  <c r="E11" i="43"/>
  <c r="E9" i="43"/>
  <c r="H62" i="43"/>
  <c r="G62" i="43" s="1"/>
  <c r="H65" i="43"/>
  <c r="G65" i="43" s="1"/>
  <c r="H63" i="43"/>
  <c r="G63" i="43" s="1"/>
  <c r="H66" i="43"/>
  <c r="G66" i="43" s="1"/>
  <c r="H64" i="43"/>
  <c r="G64" i="43" s="1"/>
  <c r="H67" i="43"/>
  <c r="G67" i="43" s="1"/>
  <c r="H60" i="43"/>
  <c r="G60" i="43" s="1"/>
  <c r="H59" i="43"/>
  <c r="G59" i="43" s="1"/>
  <c r="H61" i="43"/>
  <c r="G61" i="43" s="1"/>
  <c r="G17" i="43"/>
  <c r="C16" i="43" s="1"/>
  <c r="C94" i="9"/>
  <c r="C92" i="9"/>
  <c r="F30" i="69"/>
  <c r="F48" i="69" s="1"/>
  <c r="M18" i="15"/>
  <c r="F52" i="9"/>
  <c r="F54" i="9"/>
  <c r="F32" i="15"/>
  <c r="F60" i="15" s="1"/>
  <c r="F32" i="67"/>
  <c r="F60" i="67" s="1"/>
  <c r="F28" i="67"/>
  <c r="C28" i="67" s="1"/>
  <c r="C77" i="9"/>
  <c r="C74" i="9" s="1"/>
  <c r="C13" i="12"/>
  <c r="C30" i="11"/>
  <c r="D68" i="9"/>
  <c r="F28" i="15"/>
  <c r="C28" i="15" s="1"/>
  <c r="C48" i="69"/>
  <c r="M18" i="67"/>
  <c r="F31" i="12"/>
  <c r="C31" i="12" s="1"/>
  <c r="F30" i="68"/>
  <c r="F53" i="9"/>
  <c r="C21" i="69"/>
  <c r="D22" i="67"/>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D9" i="69"/>
  <c r="C9" i="69" s="1"/>
  <c r="C36" i="11"/>
  <c r="F27" i="6"/>
  <c r="E56" i="39"/>
  <c r="E51" i="40"/>
  <c r="E59" i="40"/>
  <c r="D19" i="12"/>
  <c r="C19" i="12" s="1"/>
  <c r="E16" i="6"/>
  <c r="O11" i="1"/>
  <c r="P11" i="1" s="1"/>
  <c r="O8" i="1"/>
  <c r="P8" i="1" s="1"/>
  <c r="O14" i="1"/>
  <c r="P14" i="1" s="1"/>
  <c r="O12" i="1"/>
  <c r="P12" i="1" s="1"/>
  <c r="O9" i="1"/>
  <c r="P9" i="1" s="1"/>
  <c r="T7" i="1"/>
  <c r="H16" i="1"/>
  <c r="Q16" i="1"/>
  <c r="T9" i="1"/>
  <c r="AQ9"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50" i="43"/>
  <c r="C5" i="43"/>
  <c r="D5" i="43"/>
  <c r="H75" i="43"/>
  <c r="C7" i="74"/>
  <c r="E70" i="39"/>
  <c r="F70" i="39"/>
  <c r="G68" i="39"/>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1" i="71"/>
  <c r="Z11" i="71" s="1"/>
  <c r="Y10" i="71"/>
  <c r="AA11" i="71"/>
  <c r="AB3" i="71"/>
  <c r="X11" i="71"/>
  <c r="AB11" i="71"/>
  <c r="Z10" i="71"/>
  <c r="Y3" i="71"/>
  <c r="Z3" i="71" s="1"/>
  <c r="F11" i="7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6" i="67"/>
  <c r="C16" i="15"/>
  <c r="C36" i="68"/>
  <c r="C14" i="67"/>
  <c r="D9" i="68"/>
  <c r="G1" i="73"/>
  <c r="F7" i="36" l="1"/>
  <c r="J7" i="34"/>
  <c r="AC7" i="34" s="1"/>
  <c r="F31" i="6"/>
  <c r="K61" i="43"/>
  <c r="J61" i="43" s="1"/>
  <c r="D61" i="43" s="1"/>
  <c r="M61" i="43"/>
  <c r="N61" i="43" s="1"/>
  <c r="K60" i="43"/>
  <c r="M60" i="43"/>
  <c r="N60" i="43" s="1"/>
  <c r="K64" i="43"/>
  <c r="M64" i="43"/>
  <c r="N64" i="43" s="1"/>
  <c r="K63" i="43"/>
  <c r="J63" i="43" s="1"/>
  <c r="M63" i="43"/>
  <c r="N63" i="43" s="1"/>
  <c r="D63" i="43" s="1"/>
  <c r="K62" i="43"/>
  <c r="J62" i="43" s="1"/>
  <c r="M62" i="43"/>
  <c r="N62" i="43" s="1"/>
  <c r="D62" i="43" s="1"/>
  <c r="B18" i="71"/>
  <c r="B17" i="71" s="1"/>
  <c r="B16" i="71" s="1"/>
  <c r="B15" i="71" s="1"/>
  <c r="S19" i="71"/>
  <c r="F61" i="71"/>
  <c r="Q62" i="71"/>
  <c r="D38" i="71"/>
  <c r="C39" i="71"/>
  <c r="D34" i="71"/>
  <c r="C35" i="71"/>
  <c r="AC38" i="40"/>
  <c r="W38" i="40"/>
  <c r="AZ5" i="3"/>
  <c r="AC36" i="35"/>
  <c r="W36" i="35"/>
  <c r="AA9" i="34"/>
  <c r="S9" i="34"/>
  <c r="C19" i="43"/>
  <c r="AB34" i="35"/>
  <c r="U34" i="35"/>
  <c r="U23" i="34"/>
  <c r="AB23" i="34"/>
  <c r="AA28" i="33"/>
  <c r="S28" i="33"/>
  <c r="S40" i="34"/>
  <c r="AA40" i="34"/>
  <c r="E29" i="6"/>
  <c r="E60" i="40"/>
  <c r="E65" i="39"/>
  <c r="K59" i="43"/>
  <c r="J59" i="43" s="1"/>
  <c r="M59" i="43"/>
  <c r="N59" i="43" s="1"/>
  <c r="K67" i="43"/>
  <c r="J67" i="43" s="1"/>
  <c r="D67" i="43" s="1"/>
  <c r="M67" i="43"/>
  <c r="N67" i="43" s="1"/>
  <c r="K66" i="43"/>
  <c r="J66" i="43" s="1"/>
  <c r="D66" i="43" s="1"/>
  <c r="M66" i="43"/>
  <c r="N66" i="43" s="1"/>
  <c r="K65" i="43"/>
  <c r="M65" i="43"/>
  <c r="N65" i="43" s="1"/>
  <c r="C18" i="71"/>
  <c r="T19" i="71"/>
  <c r="D19" i="71"/>
  <c r="U19" i="71" s="1"/>
  <c r="T31" i="71"/>
  <c r="D31" i="71"/>
  <c r="U39" i="40"/>
  <c r="AB39" i="40"/>
  <c r="AB38" i="40"/>
  <c r="U38" i="40"/>
  <c r="AB36" i="35"/>
  <c r="U36" i="35"/>
  <c r="AC9" i="34"/>
  <c r="W9" i="34"/>
  <c r="S34" i="35"/>
  <c r="AA34" i="35"/>
  <c r="AC34" i="35"/>
  <c r="W34" i="35"/>
  <c r="W28" i="33"/>
  <c r="AC28" i="33"/>
  <c r="M14" i="1"/>
  <c r="M16" i="1" s="1"/>
  <c r="C34" i="69"/>
  <c r="E57" i="40"/>
  <c r="E62" i="39"/>
  <c r="E61" i="39"/>
  <c r="E56" i="40"/>
  <c r="E58" i="40"/>
  <c r="E63" i="39"/>
  <c r="E10" i="71"/>
  <c r="E9" i="71" s="1"/>
  <c r="E8" i="71" s="1"/>
  <c r="E7" i="71" s="1"/>
  <c r="V11" i="71"/>
  <c r="U37" i="34"/>
  <c r="AB37" i="34"/>
  <c r="AC37" i="34"/>
  <c r="W37" i="34"/>
  <c r="AA37" i="34"/>
  <c r="S37" i="34"/>
  <c r="C9" i="68"/>
  <c r="C30" i="69"/>
  <c r="F48" i="68"/>
  <c r="C30" i="68"/>
  <c r="C48" i="68"/>
  <c r="H6" i="3"/>
  <c r="AC6" i="3"/>
  <c r="E27" i="6"/>
  <c r="C34" i="34" s="1"/>
  <c r="P16" i="1"/>
  <c r="C11" i="12" s="1"/>
  <c r="F27" i="69"/>
  <c r="F28" i="12"/>
  <c r="C29" i="12" s="1"/>
  <c r="D28" i="12" s="1"/>
  <c r="F27" i="11"/>
  <c r="N16" i="1"/>
  <c r="L16" i="1"/>
  <c r="C34" i="11"/>
  <c r="O16" i="1"/>
  <c r="L109" i="43"/>
  <c r="L102" i="43"/>
  <c r="L105" i="43"/>
  <c r="L104" i="43"/>
  <c r="L106" i="43"/>
  <c r="L107" i="43"/>
  <c r="L103" i="43"/>
  <c r="J104" i="43"/>
  <c r="J105" i="43"/>
  <c r="J103" i="43"/>
  <c r="J106" i="43"/>
  <c r="J109" i="43"/>
  <c r="J107" i="43"/>
  <c r="J102" i="43"/>
  <c r="G105" i="43"/>
  <c r="G102" i="43"/>
  <c r="G103" i="43"/>
  <c r="G107" i="43"/>
  <c r="G104" i="43"/>
  <c r="G106" i="43"/>
  <c r="G109" i="43"/>
  <c r="E102" i="43"/>
  <c r="E106" i="43"/>
  <c r="E103" i="43"/>
  <c r="E104" i="43"/>
  <c r="E105" i="43"/>
  <c r="E109" i="43"/>
  <c r="E107" i="43"/>
  <c r="M102" i="43"/>
  <c r="M106" i="43"/>
  <c r="M103" i="43"/>
  <c r="M109" i="43"/>
  <c r="M107" i="43"/>
  <c r="M104" i="43"/>
  <c r="M105" i="43"/>
  <c r="N103" i="43"/>
  <c r="N106" i="43"/>
  <c r="N107" i="43"/>
  <c r="N109" i="43"/>
  <c r="N102" i="43"/>
  <c r="N105" i="43"/>
  <c r="N104" i="43"/>
  <c r="K107" i="43"/>
  <c r="K104" i="43"/>
  <c r="K106" i="43"/>
  <c r="K109" i="43"/>
  <c r="K103" i="43"/>
  <c r="K102" i="43"/>
  <c r="K105" i="43"/>
  <c r="H102" i="43"/>
  <c r="H107" i="43"/>
  <c r="H106" i="43"/>
  <c r="H105" i="43"/>
  <c r="H103"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7" i="43"/>
  <c r="I105" i="43"/>
  <c r="D109" i="43"/>
  <c r="D103" i="43"/>
  <c r="D104" i="43"/>
  <c r="D107" i="43"/>
  <c r="D105" i="43"/>
  <c r="D106" i="43"/>
  <c r="D102" i="43"/>
  <c r="D22" i="43"/>
  <c r="F107" i="43"/>
  <c r="F106" i="43"/>
  <c r="F103" i="43"/>
  <c r="F109" i="43"/>
  <c r="F104" i="43"/>
  <c r="F102" i="43"/>
  <c r="F105" i="43"/>
  <c r="J10" i="40"/>
  <c r="W10" i="40" s="1"/>
  <c r="H10" i="39"/>
  <c r="AB10" i="39" s="1"/>
  <c r="F10" i="40"/>
  <c r="AA10" i="40" s="1"/>
  <c r="J10" i="39"/>
  <c r="W10" i="39" s="1"/>
  <c r="H10" i="40"/>
  <c r="AB10" i="40" s="1"/>
  <c r="J7" i="37"/>
  <c r="H7" i="36"/>
  <c r="H7" i="34"/>
  <c r="U7" i="34" s="1"/>
  <c r="F7" i="34"/>
  <c r="AA7" i="34" s="1"/>
  <c r="F59" i="67"/>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C10" i="40"/>
  <c r="F7" i="33"/>
  <c r="E58" i="21"/>
  <c r="AC7" i="36"/>
  <c r="V36" i="36" s="1"/>
  <c r="I36" i="36" s="1"/>
  <c r="W7" i="36"/>
  <c r="F7" i="37"/>
  <c r="W7" i="34"/>
  <c r="M17" i="67"/>
  <c r="M17" i="15"/>
  <c r="F59" i="15"/>
  <c r="P24" i="43"/>
  <c r="B66" i="40" s="1"/>
  <c r="P21" i="43"/>
  <c r="C49" i="67"/>
  <c r="P25" i="43"/>
  <c r="P23" i="43"/>
  <c r="B71" i="39" s="1"/>
  <c r="C49" i="15"/>
  <c r="C15" i="67"/>
  <c r="C18" i="67"/>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AE6" i="1"/>
  <c r="F27" i="68"/>
  <c r="E41" i="43" l="1"/>
  <c r="C41" i="43" s="1"/>
  <c r="C20" i="43"/>
  <c r="E6" i="71"/>
  <c r="E5" i="71" s="1"/>
  <c r="V7" i="71"/>
  <c r="E66" i="39"/>
  <c r="E30" i="6"/>
  <c r="K15" i="1"/>
  <c r="K16" i="1" s="1"/>
  <c r="E3" i="6"/>
  <c r="AY6" i="3"/>
  <c r="Q61" i="71"/>
  <c r="Q60" i="71"/>
  <c r="B14" i="71"/>
  <c r="B13" i="71" s="1"/>
  <c r="B12" i="71" s="1"/>
  <c r="B11" i="71" s="1"/>
  <c r="S15" i="71"/>
  <c r="D64" i="43"/>
  <c r="J64" i="43"/>
  <c r="D60" i="43"/>
  <c r="J60" i="43"/>
  <c r="H34" i="34"/>
  <c r="F34" i="34"/>
  <c r="J34" i="34"/>
  <c r="C35" i="69"/>
  <c r="C38" i="69"/>
  <c r="C17" i="71"/>
  <c r="D18" i="71"/>
  <c r="D65" i="43"/>
  <c r="J65" i="43"/>
  <c r="T35" i="71"/>
  <c r="D35" i="71"/>
  <c r="M19" i="43" s="1"/>
  <c r="T39" i="71"/>
  <c r="D39" i="71"/>
  <c r="AB7" i="34"/>
  <c r="S7" i="34"/>
  <c r="E6" i="3"/>
  <c r="U10" i="39"/>
  <c r="K20" i="6"/>
  <c r="M20" i="6" s="1"/>
  <c r="I20" i="6" s="1"/>
  <c r="K19" i="6"/>
  <c r="S6" i="1" s="1"/>
  <c r="K25" i="6"/>
  <c r="M25" i="6" s="1"/>
  <c r="I25" i="6" s="1"/>
  <c r="K21" i="6"/>
  <c r="M21" i="6" s="1"/>
  <c r="I21" i="6" s="1"/>
  <c r="K24" i="6"/>
  <c r="M24" i="6" s="1"/>
  <c r="I24" i="6" s="1"/>
  <c r="K26" i="6"/>
  <c r="M26" i="6" s="1"/>
  <c r="I26" i="6" s="1"/>
  <c r="S26" i="6" s="1"/>
  <c r="K23" i="6"/>
  <c r="M23" i="6" s="1"/>
  <c r="I23" i="6" s="1"/>
  <c r="K22" i="6"/>
  <c r="M22" i="6" s="1"/>
  <c r="I22" i="6" s="1"/>
  <c r="E31" i="6"/>
  <c r="U10" i="40"/>
  <c r="S10" i="40"/>
  <c r="C38" i="11"/>
  <c r="C35" i="11"/>
  <c r="F50" i="69"/>
  <c r="F50" i="11"/>
  <c r="F50" i="68"/>
  <c r="C47" i="11"/>
  <c r="D45" i="11" s="1"/>
  <c r="C29" i="11"/>
  <c r="D27" i="11" s="1"/>
  <c r="C47" i="69"/>
  <c r="D45" i="69" s="1"/>
  <c r="F45" i="69"/>
  <c r="C29" i="69"/>
  <c r="D27" i="69" s="1"/>
  <c r="C29" i="68"/>
  <c r="D27" i="68" s="1"/>
  <c r="C47" i="68"/>
  <c r="D45" i="68" s="1"/>
  <c r="F45" i="68"/>
  <c r="C15" i="12"/>
  <c r="C12" i="12"/>
  <c r="C115" i="43"/>
  <c r="D113" i="43" s="1"/>
  <c r="S5" i="43"/>
  <c r="S3" i="43"/>
  <c r="S2" i="43"/>
  <c r="S6" i="43"/>
  <c r="S7" i="43"/>
  <c r="C23" i="43"/>
  <c r="C21" i="43" s="1"/>
  <c r="S4" i="43"/>
  <c r="AC10" i="39"/>
  <c r="I68" i="39"/>
  <c r="H70"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D10" i="68"/>
  <c r="C17" i="15"/>
  <c r="C10" i="68" l="1"/>
  <c r="C8" i="68" s="1"/>
  <c r="D19" i="68"/>
  <c r="C16" i="71"/>
  <c r="D17" i="71"/>
  <c r="AA34" i="34"/>
  <c r="R49" i="34" s="1"/>
  <c r="S34" i="34"/>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62" i="3"/>
  <c r="BO6" i="3"/>
  <c r="AY89"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AY557" i="3"/>
  <c r="AY540" i="3"/>
  <c r="AY105"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525"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03" i="3"/>
  <c r="AY572"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35" i="3"/>
  <c r="AY574" i="3"/>
  <c r="AY555"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3" i="3"/>
  <c r="AY539"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03" i="3"/>
  <c r="AY516"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419" i="3"/>
  <c r="AY580"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E6" i="70"/>
  <c r="E2" i="70" s="1"/>
  <c r="AC34" i="34"/>
  <c r="V49" i="34" s="1"/>
  <c r="I49" i="34" s="1"/>
  <c r="I53" i="34" s="1"/>
  <c r="J53" i="34" s="1"/>
  <c r="W34" i="34"/>
  <c r="AB34" i="34"/>
  <c r="T49" i="34" s="1"/>
  <c r="G49" i="34" s="1"/>
  <c r="U34" i="34"/>
  <c r="E59" i="43"/>
  <c r="B57" i="43" s="1"/>
  <c r="C24" i="43" s="1"/>
  <c r="T4" i="43" s="1"/>
  <c r="V4" i="43" s="1"/>
  <c r="B10" i="71"/>
  <c r="B9" i="71" s="1"/>
  <c r="B8" i="71" s="1"/>
  <c r="B7" i="71" s="1"/>
  <c r="S11" i="71"/>
  <c r="D3" i="33"/>
  <c r="E6" i="6"/>
  <c r="C17" i="4"/>
  <c r="B4" i="52" s="1"/>
  <c r="B43" i="72" s="1"/>
  <c r="D3" i="37"/>
  <c r="D3" i="21"/>
  <c r="D19" i="11"/>
  <c r="C19" i="11" s="1"/>
  <c r="D37" i="11"/>
  <c r="C37" i="11" s="1"/>
  <c r="C33" i="11" s="1"/>
  <c r="D14" i="12"/>
  <c r="F69" i="15"/>
  <c r="J29" i="15"/>
  <c r="AQ6" i="1"/>
  <c r="T6" i="1"/>
  <c r="S16" i="1"/>
  <c r="AR6" i="1"/>
  <c r="H22" i="6"/>
  <c r="S22" i="6"/>
  <c r="H21" i="6"/>
  <c r="S21" i="6"/>
  <c r="M19" i="6"/>
  <c r="K27" i="6"/>
  <c r="H26" i="6"/>
  <c r="H23" i="6"/>
  <c r="S23" i="6"/>
  <c r="H24" i="6"/>
  <c r="S24" i="6"/>
  <c r="H25" i="6"/>
  <c r="S25" i="6"/>
  <c r="H20" i="6"/>
  <c r="S20" i="6"/>
  <c r="I70" i="39"/>
  <c r="J68" i="39"/>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C34" i="68"/>
  <c r="C14" i="15"/>
  <c r="C39" i="11" l="1"/>
  <c r="C46" i="11" s="1"/>
  <c r="C45" i="11" s="1"/>
  <c r="C42" i="11"/>
  <c r="C38" i="68"/>
  <c r="C35" i="68"/>
  <c r="C15" i="15"/>
  <c r="C18" i="15"/>
  <c r="G54" i="34"/>
  <c r="H54" i="34" s="1"/>
  <c r="G53" i="34"/>
  <c r="H53" i="34" s="1"/>
  <c r="T3" i="43"/>
  <c r="V3" i="43" s="1"/>
  <c r="C29" i="43"/>
  <c r="T8" i="43"/>
  <c r="V8" i="43" s="1"/>
  <c r="C36" i="43"/>
  <c r="T10" i="43"/>
  <c r="V10" i="43" s="1"/>
  <c r="C35" i="43"/>
  <c r="C33" i="43"/>
  <c r="T9" i="43"/>
  <c r="V9" i="43" s="1"/>
  <c r="T14" i="43"/>
  <c r="V14" i="43" s="1"/>
  <c r="D25" i="6"/>
  <c r="D22" i="6"/>
  <c r="D24" i="6"/>
  <c r="D5" i="6"/>
  <c r="D13" i="6"/>
  <c r="E61" i="40"/>
  <c r="D26" i="6"/>
  <c r="D8" i="6"/>
  <c r="D14" i="6"/>
  <c r="D11" i="6"/>
  <c r="D29" i="6"/>
  <c r="D10" i="6"/>
  <c r="D15" i="6"/>
  <c r="D21" i="6"/>
  <c r="D20" i="6"/>
  <c r="D9" i="6"/>
  <c r="D28" i="6"/>
  <c r="D30" i="6" s="1"/>
  <c r="D19" i="6"/>
  <c r="C18" i="4"/>
  <c r="D23" i="6"/>
  <c r="D12" i="6"/>
  <c r="D6" i="6"/>
  <c r="E49" i="34"/>
  <c r="R50" i="34"/>
  <c r="C15" i="71"/>
  <c r="D16" i="71"/>
  <c r="T5" i="43"/>
  <c r="V5" i="43" s="1"/>
  <c r="T7" i="43"/>
  <c r="V7" i="43" s="1"/>
  <c r="C19" i="68"/>
  <c r="C24" i="68" s="1"/>
  <c r="D37" i="68"/>
  <c r="C37" i="68" s="1"/>
  <c r="R20" i="6"/>
  <c r="R25" i="6"/>
  <c r="R24" i="6"/>
  <c r="R23" i="6"/>
  <c r="R26" i="6"/>
  <c r="R21" i="6"/>
  <c r="R22" i="6"/>
  <c r="C39" i="43"/>
  <c r="D17" i="12"/>
  <c r="C17" i="12" s="1"/>
  <c r="C14" i="12"/>
  <c r="C16" i="12" s="1"/>
  <c r="C20" i="11"/>
  <c r="C25" i="11" s="1"/>
  <c r="C28" i="11"/>
  <c r="C27" i="11" s="1"/>
  <c r="D20" i="12"/>
  <c r="C20" i="12" s="1"/>
  <c r="C18" i="12" s="1"/>
  <c r="D10" i="11"/>
  <c r="C10" i="11" s="1"/>
  <c r="D10" i="69"/>
  <c r="C24" i="11"/>
  <c r="T16" i="1"/>
  <c r="C38" i="43"/>
  <c r="B6" i="71"/>
  <c r="B5" i="71" s="1"/>
  <c r="S7" i="71"/>
  <c r="T6" i="43"/>
  <c r="V6" i="43" s="1"/>
  <c r="T15" i="43"/>
  <c r="V15" i="43" s="1"/>
  <c r="C34" i="43"/>
  <c r="T13" i="43"/>
  <c r="V13" i="43" s="1"/>
  <c r="T11" i="43"/>
  <c r="V11" i="43" s="1"/>
  <c r="T16" i="43"/>
  <c r="V16" i="43" s="1"/>
  <c r="T12" i="43"/>
  <c r="V12" i="43" s="1"/>
  <c r="C37" i="43"/>
  <c r="T2" i="43"/>
  <c r="V2" i="43" s="1"/>
  <c r="C43" i="11"/>
  <c r="M27" i="6"/>
  <c r="I19" i="6"/>
  <c r="L18" i="9"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C36" i="67"/>
  <c r="C33" i="67"/>
  <c r="C31" i="67" s="1"/>
  <c r="J14" i="67"/>
  <c r="C13" i="67"/>
  <c r="J19" i="67"/>
  <c r="J17" i="67" s="1"/>
  <c r="C57" i="67"/>
  <c r="C61" i="67" s="1"/>
  <c r="Q49" i="67"/>
  <c r="J59" i="67"/>
  <c r="J60" i="67" s="1"/>
  <c r="C41" i="11" l="1"/>
  <c r="C49" i="11" s="1"/>
  <c r="C51" i="11" s="1"/>
  <c r="C22" i="11"/>
  <c r="C31" i="11" s="1"/>
  <c r="C19" i="15"/>
  <c r="C33" i="68"/>
  <c r="C42" i="68" s="1"/>
  <c r="E37" i="43"/>
  <c r="G37" i="43"/>
  <c r="I37" i="43" s="1"/>
  <c r="G38" i="43"/>
  <c r="I38" i="43" s="1"/>
  <c r="E38" i="43"/>
  <c r="C21" i="12"/>
  <c r="C22" i="12" s="1"/>
  <c r="C27" i="12" s="1"/>
  <c r="C25" i="12" s="1"/>
  <c r="E39" i="43"/>
  <c r="G39" i="43"/>
  <c r="I39" i="43" s="1"/>
  <c r="C39" i="68"/>
  <c r="C49" i="34"/>
  <c r="C50" i="34"/>
  <c r="B2" i="34" s="1"/>
  <c r="B3" i="34" s="1"/>
  <c r="M19" i="9"/>
  <c r="C118" i="9" s="1"/>
  <c r="C14" i="74" s="1"/>
  <c r="B2" i="74" s="1"/>
  <c r="D27" i="6"/>
  <c r="D31" i="6" s="1"/>
  <c r="D16" i="6"/>
  <c r="G33" i="43"/>
  <c r="I33" i="43" s="1"/>
  <c r="E33" i="43"/>
  <c r="G34" i="43"/>
  <c r="I34" i="43" s="1"/>
  <c r="E34" i="43"/>
  <c r="C10" i="69"/>
  <c r="C8" i="69" s="1"/>
  <c r="C5" i="69" s="1"/>
  <c r="D19" i="69"/>
  <c r="C14" i="71"/>
  <c r="T15" i="71"/>
  <c r="D15" i="71"/>
  <c r="U15" i="71" s="1"/>
  <c r="E54" i="34"/>
  <c r="F54" i="34" s="1"/>
  <c r="I54" i="34"/>
  <c r="J54" i="34" s="1"/>
  <c r="E53" i="34"/>
  <c r="F53" i="34" s="1"/>
  <c r="A7" i="51"/>
  <c r="B7" i="72" s="1"/>
  <c r="A10" i="51"/>
  <c r="B9" i="72" s="1"/>
  <c r="C4" i="52"/>
  <c r="B45" i="72" s="1"/>
  <c r="E35" i="43"/>
  <c r="G35" i="43"/>
  <c r="I35" i="43" s="1"/>
  <c r="E36" i="43"/>
  <c r="G36" i="43"/>
  <c r="I36" i="43" s="1"/>
  <c r="E29" i="43"/>
  <c r="C26" i="43" s="1"/>
  <c r="C30" i="43"/>
  <c r="E30" i="43" s="1"/>
  <c r="C27" i="43" s="1"/>
  <c r="C20" i="15"/>
  <c r="C26" i="15" s="1"/>
  <c r="I27" i="6"/>
  <c r="S19" i="6"/>
  <c r="S27" i="6" s="1"/>
  <c r="H19" i="6"/>
  <c r="L19" i="9" s="1"/>
  <c r="I6" i="6"/>
  <c r="I5" i="6"/>
  <c r="K70" i="39"/>
  <c r="L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E6" i="76"/>
  <c r="L51" i="67"/>
  <c r="C52" i="11" l="1"/>
  <c r="B2" i="11" s="1"/>
  <c r="B3" i="11" s="1"/>
  <c r="C30" i="12"/>
  <c r="C28" i="12" s="1"/>
  <c r="C32" i="12" s="1"/>
  <c r="B2" i="12" s="1"/>
  <c r="B3" i="12" s="1"/>
  <c r="E2" i="76"/>
  <c r="B2" i="43"/>
  <c r="C19" i="69"/>
  <c r="C24" i="69" s="1"/>
  <c r="D37" i="69"/>
  <c r="C37" i="69" s="1"/>
  <c r="C33" i="69" s="1"/>
  <c r="D7" i="74"/>
  <c r="C46" i="68"/>
  <c r="C45" i="68" s="1"/>
  <c r="C43" i="68"/>
  <c r="C41" i="68" s="1"/>
  <c r="C23" i="15"/>
  <c r="C29" i="15" s="1"/>
  <c r="C13" i="71"/>
  <c r="D14" i="71"/>
  <c r="C23" i="69"/>
  <c r="H27" i="6"/>
  <c r="R19" i="6"/>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B6" i="76"/>
  <c r="C56" i="11" l="1"/>
  <c r="C57" i="11" s="1"/>
  <c r="C20" i="69"/>
  <c r="C28" i="69" s="1"/>
  <c r="C27" i="69" s="1"/>
  <c r="B2" i="76"/>
  <c r="B3" i="76" s="1"/>
  <c r="C49" i="68"/>
  <c r="C51" i="68" s="1"/>
  <c r="C12" i="71"/>
  <c r="D13" i="71"/>
  <c r="C39" i="69"/>
  <c r="C43" i="69" s="1"/>
  <c r="C42" i="69"/>
  <c r="B3" i="43"/>
  <c r="J19" i="15"/>
  <c r="C57" i="15"/>
  <c r="C33" i="15"/>
  <c r="Q49" i="15"/>
  <c r="J14" i="15"/>
  <c r="C36" i="15"/>
  <c r="C13" i="15"/>
  <c r="R27" i="6"/>
  <c r="R6" i="1"/>
  <c r="J7" i="35"/>
  <c r="AC7" i="35" s="1"/>
  <c r="V38" i="35" s="1"/>
  <c r="I38"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C7" i="68" l="1"/>
  <c r="C5" i="68" s="1"/>
  <c r="C20" i="68" s="1"/>
  <c r="C28" i="68" s="1"/>
  <c r="C27" i="68" s="1"/>
  <c r="J8" i="68"/>
  <c r="C25" i="69"/>
  <c r="C22" i="69" s="1"/>
  <c r="C31" i="69" s="1"/>
  <c r="C41" i="69"/>
  <c r="C61" i="15"/>
  <c r="C64" i="15"/>
  <c r="C23" i="68"/>
  <c r="C46" i="69"/>
  <c r="C45" i="69" s="1"/>
  <c r="Q70" i="15"/>
  <c r="C75" i="15"/>
  <c r="C56" i="15"/>
  <c r="C65" i="15" s="1"/>
  <c r="C37" i="15"/>
  <c r="J13" i="15"/>
  <c r="J23" i="15" s="1"/>
  <c r="J22" i="15"/>
  <c r="C11" i="71"/>
  <c r="D12" i="71"/>
  <c r="J20" i="15"/>
  <c r="J17" i="15" s="1"/>
  <c r="C34" i="15"/>
  <c r="C31" i="15" s="1"/>
  <c r="F63" i="15"/>
  <c r="C62" i="15" s="1"/>
  <c r="R16" i="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49" i="69" l="1"/>
  <c r="C51" i="69" s="1"/>
  <c r="C52" i="69" s="1"/>
  <c r="B2" i="69" s="1"/>
  <c r="B3" i="69" s="1"/>
  <c r="C59" i="15"/>
  <c r="C58" i="15" s="1"/>
  <c r="C67" i="15" s="1"/>
  <c r="C68" i="15" s="1"/>
  <c r="C71" i="15" s="1"/>
  <c r="J16" i="15"/>
  <c r="J25" i="15" s="1"/>
  <c r="C30" i="15"/>
  <c r="C39" i="15" s="1"/>
  <c r="C80" i="15" s="1"/>
  <c r="C79" i="15" s="1"/>
  <c r="C10" i="71"/>
  <c r="T11" i="71"/>
  <c r="D11" i="71"/>
  <c r="U11" i="71" s="1"/>
  <c r="C25" i="68"/>
  <c r="C22" i="68" s="1"/>
  <c r="C31" i="68" s="1"/>
  <c r="C52" i="68" s="1"/>
  <c r="L57" i="15"/>
  <c r="L60" i="15" s="1"/>
  <c r="H7" i="39"/>
  <c r="J7" i="39"/>
  <c r="AA7" i="39"/>
  <c r="R47" i="39" s="1"/>
  <c r="S7" i="39"/>
  <c r="R39" i="35"/>
  <c r="E38" i="35"/>
  <c r="M63" i="40"/>
  <c r="L65" i="40"/>
  <c r="L51" i="15"/>
  <c r="Q69" i="15" l="1"/>
  <c r="Q68" i="15" s="1"/>
  <c r="C40" i="15"/>
  <c r="Q65" i="15" s="1"/>
  <c r="Q67" i="15"/>
  <c r="B2" i="68"/>
  <c r="C57" i="68"/>
  <c r="C56" i="68" s="1"/>
  <c r="C9" i="71"/>
  <c r="D10" i="71"/>
  <c r="C57" i="69"/>
  <c r="C56" i="69" s="1"/>
  <c r="L46" i="15"/>
  <c r="Q57" i="15"/>
  <c r="Q66" i="15"/>
  <c r="E47" i="39"/>
  <c r="R48" i="39"/>
  <c r="W7" i="39"/>
  <c r="AC7" i="39"/>
  <c r="V47" i="39" s="1"/>
  <c r="I47" i="39" s="1"/>
  <c r="U7" i="39"/>
  <c r="AB7" i="39"/>
  <c r="T47" i="39" s="1"/>
  <c r="G47" i="39" s="1"/>
  <c r="C39" i="35"/>
  <c r="B2" i="35" s="1"/>
  <c r="B3" i="35" s="1"/>
  <c r="C38" i="35"/>
  <c r="N63" i="40"/>
  <c r="M65" i="40"/>
  <c r="E43" i="35"/>
  <c r="F43" i="35" s="1"/>
  <c r="E42" i="35"/>
  <c r="F42" i="35" s="1"/>
  <c r="I43" i="35"/>
  <c r="J43" i="35" s="1"/>
  <c r="C19" i="9"/>
  <c r="D19" i="9"/>
  <c r="C43" i="15" l="1"/>
  <c r="B2" i="15"/>
  <c r="Q47" i="15"/>
  <c r="Q53" i="15" s="1"/>
  <c r="C46" i="15"/>
  <c r="C83" i="15"/>
  <c r="C82" i="15" s="1"/>
  <c r="Q56" i="15"/>
  <c r="Q62" i="15" s="1"/>
  <c r="C102" i="9"/>
  <c r="C21" i="9"/>
  <c r="D9" i="71"/>
  <c r="C8" i="71"/>
  <c r="D102" i="9"/>
  <c r="D21" i="9"/>
  <c r="D22" i="9"/>
  <c r="G19" i="9"/>
  <c r="B27" i="9" s="1"/>
  <c r="Q75" i="15"/>
  <c r="B3" i="15"/>
  <c r="E52" i="39"/>
  <c r="F52" i="39" s="1"/>
  <c r="E51" i="39"/>
  <c r="F51" i="39" s="1"/>
  <c r="G51" i="39"/>
  <c r="H51" i="39" s="1"/>
  <c r="G52" i="39"/>
  <c r="H52" i="39" s="1"/>
  <c r="I51" i="39"/>
  <c r="J51" i="39" s="1"/>
  <c r="I52" i="39"/>
  <c r="J52" i="39" s="1"/>
  <c r="C48" i="39"/>
  <c r="C47" i="39"/>
  <c r="O63" i="40"/>
  <c r="O65" i="40" s="1"/>
  <c r="N65" i="40"/>
  <c r="B3" i="68"/>
  <c r="D20" i="9"/>
  <c r="AO6" i="1"/>
  <c r="B6" i="70" l="1"/>
  <c r="B2" i="70" s="1"/>
  <c r="B3" i="70" s="1"/>
  <c r="D8" i="71"/>
  <c r="C7" i="71"/>
  <c r="G21" i="9"/>
  <c r="D27" i="9"/>
  <c r="D103" i="9"/>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20" i="9"/>
  <c r="D34" i="9"/>
  <c r="D35" i="9"/>
  <c r="C103" i="9" l="1"/>
  <c r="G20" i="9"/>
  <c r="C32" i="9" s="1"/>
  <c r="C35" i="9" s="1"/>
  <c r="C34" i="9" s="1"/>
  <c r="C6" i="71"/>
  <c r="T7" i="71"/>
  <c r="D7" i="71"/>
  <c r="U7" i="71" s="1"/>
  <c r="U7" i="40"/>
  <c r="AB7" i="40"/>
  <c r="T42" i="40" s="1"/>
  <c r="G42" i="40" s="1"/>
  <c r="AA7" i="40"/>
  <c r="R42" i="40" s="1"/>
  <c r="S7" i="40"/>
  <c r="AC7" i="40"/>
  <c r="V42" i="40" s="1"/>
  <c r="I42" i="40" s="1"/>
  <c r="W7" i="40"/>
  <c r="D6" i="71" l="1"/>
  <c r="C5" i="71"/>
  <c r="I46" i="40"/>
  <c r="J46" i="40" s="1"/>
  <c r="R43" i="40"/>
  <c r="E42" i="40"/>
  <c r="G47" i="40"/>
  <c r="H47" i="40" s="1"/>
  <c r="G46" i="40"/>
  <c r="H46" i="40" s="1"/>
  <c r="D5" i="71" l="1"/>
  <c r="M20" i="43"/>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D118" i="9"/>
  <c r="D4" i="52" s="1"/>
  <c r="B47" i="72" s="1"/>
  <c r="H118" i="9"/>
  <c r="D119" i="9" l="1"/>
  <c r="D5" i="52" s="1"/>
  <c r="B49" i="72" s="1"/>
  <c r="H4" i="52"/>
  <c r="D14" i="74"/>
  <c r="C104" i="9"/>
  <c r="H101" i="9"/>
  <c r="F4" i="52"/>
  <c r="B51" i="72" s="1"/>
  <c r="F119" i="9"/>
  <c r="F5" i="52" s="1"/>
  <c r="B53" i="72" s="1"/>
  <c r="H119" i="9"/>
  <c r="H5" i="52" s="1"/>
  <c r="I118" i="9"/>
  <c r="G118" i="9"/>
  <c r="G4" i="52" s="1"/>
  <c r="B52" i="72" s="1"/>
  <c r="I4" i="52" l="1"/>
  <c r="C105" i="9"/>
  <c r="H102" i="9"/>
  <c r="D7" i="53" s="1"/>
  <c r="B21" i="72" s="1"/>
  <c r="E118" i="9"/>
  <c r="E4" i="52" s="1"/>
  <c r="B48" i="72" s="1"/>
  <c r="M48" i="9"/>
  <c r="D5" i="53"/>
  <c r="H107" i="9"/>
  <c r="D45" i="9"/>
  <c r="E14" i="74"/>
  <c r="F14" i="74"/>
  <c r="B5" i="74"/>
  <c r="D5" i="74" l="1"/>
  <c r="C5" i="74"/>
  <c r="D53" i="9"/>
  <c r="C78" i="9"/>
  <c r="C73" i="9" s="1"/>
  <c r="D52" i="9"/>
  <c r="C93" i="9"/>
  <c r="C86" i="9" s="1"/>
  <c r="C72" i="9"/>
  <c r="D55" i="9"/>
  <c r="M53" i="9" s="1"/>
  <c r="C64" i="9"/>
  <c r="C63" i="9" s="1"/>
  <c r="C67" i="9" s="1"/>
  <c r="C85" i="9"/>
  <c r="C95" i="9" s="1"/>
  <c r="D6" i="53"/>
  <c r="B22" i="72" s="1"/>
  <c r="B20" i="72"/>
  <c r="D122" i="9"/>
  <c r="H108" i="9"/>
  <c r="D15" i="53" s="1"/>
  <c r="B31" i="72" s="1"/>
  <c r="M49" i="9"/>
  <c r="D13" i="53"/>
  <c r="C79" i="9" l="1"/>
  <c r="C80" i="9" s="1"/>
  <c r="E80" i="9" s="1"/>
  <c r="E81" i="9" s="1"/>
  <c r="L64" i="9"/>
  <c r="M64" i="9" s="1"/>
  <c r="L66" i="9"/>
  <c r="M66" i="9" s="1"/>
  <c r="L65" i="9"/>
  <c r="M65" i="9" s="1"/>
  <c r="L68" i="9"/>
  <c r="M68" i="9" s="1"/>
  <c r="L67" i="9"/>
  <c r="M67" i="9" s="1"/>
  <c r="L63" i="9"/>
  <c r="M63" i="9" s="1"/>
  <c r="G14" i="74"/>
  <c r="B6" i="74" s="1"/>
  <c r="D8" i="52"/>
  <c r="D123" i="9"/>
  <c r="D9" i="52" s="1"/>
  <c r="B30" i="72"/>
  <c r="D14" i="53"/>
  <c r="B32" i="72" s="1"/>
  <c r="C96" i="9"/>
  <c r="E96" i="9" s="1"/>
  <c r="E97" i="9" s="1"/>
  <c r="C68" i="9"/>
  <c r="D54" i="9" s="1"/>
  <c r="D48" i="9" s="1"/>
  <c r="M52" i="9" s="1"/>
  <c r="D59" i="9"/>
  <c r="M55" i="9" s="1"/>
  <c r="C97" i="9" l="1"/>
  <c r="C81" i="9"/>
  <c r="M69" i="9"/>
  <c r="N69" i="9" s="1"/>
  <c r="C6" i="74"/>
  <c r="D6" i="74"/>
  <c r="D58" i="9" l="1"/>
  <c r="D56" i="9" s="1"/>
  <c r="M54" i="9" s="1"/>
  <c r="N57" i="9" s="1"/>
  <c r="P57" i="9" s="1"/>
  <c r="N59" i="9" l="1"/>
  <c r="N58" i="9"/>
  <c r="N61" i="9" l="1"/>
  <c r="H112" i="9" s="1"/>
  <c r="D21" i="53" s="1"/>
  <c r="B39" i="72" s="1"/>
  <c r="H111" i="9"/>
  <c r="N60" i="9"/>
  <c r="D126" i="9" l="1"/>
  <c r="D19" i="53"/>
  <c r="B38" i="72" l="1"/>
  <c r="D20" i="53"/>
  <c r="B40" i="72" s="1"/>
  <c r="I14" i="74"/>
  <c r="B8" i="74" s="1"/>
  <c r="D12" i="52"/>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<sst xmlns="http://schemas.openxmlformats.org/spreadsheetml/2006/main" count="7669" uniqueCount="3347">
  <si>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</si>
  <si>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</si>
  <si>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</si>
  <si>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</si>
  <si>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</si>
  <si>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</si>
  <si>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</si>
  <si>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</si>
  <si>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</si>
  <si>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</si>
  <si>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</si>
  <si>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</si>
  <si>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</si>
  <si>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</si>
  <si>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</si>
  <si>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</si>
  <si>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</si>
  <si>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</si>
  <si>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</si>
  <si>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</si>
  <si>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</si>
  <si>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</si>
  <si>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</si>
  <si>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</si>
  <si>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</si>
  <si>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</si>
  <si>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</si>
  <si>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</si>
  <si>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</si>
  <si>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</si>
  <si>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</si>
  <si>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</si>
  <si>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</si>
  <si>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</si>
  <si>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</si>
  <si>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</si>
  <si>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</si>
  <si>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</si>
  <si>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</si>
  <si>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</si>
  <si>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</si>
  <si>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</si>
  <si>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</si>
  <si>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</si>
  <si>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</si>
  <si>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</si>
  <si>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</si>
  <si>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</si>
  <si>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</si>
  <si>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</si>
  <si>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</si>
  <si>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</si>
  <si>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</si>
  <si>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</si>
  <si>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</si>
  <si>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</si>
  <si>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</si>
  <si>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</si>
  <si>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</si>
  <si>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</si>
  <si>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</si>
  <si>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</si>
  <si>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</si>
  <si>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</si>
  <si>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</si>
  <si>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</si>
  <si>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</si>
  <si>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</si>
  <si>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</si>
  <si>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</si>
  <si>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</si>
  <si>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</si>
  <si>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</si>
  <si>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</si>
  <si>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</si>
  <si>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</si>
  <si>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</si>
  <si>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</si>
  <si>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</si>
  <si>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</si>
  <si>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</si>
  <si>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</si>
  <si>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</si>
  <si>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</si>
  <si>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</si>
  <si>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</si>
  <si>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</si>
  <si>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</si>
  <si>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</si>
  <si>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</si>
  <si>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</si>
  <si>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</si>
  <si>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</si>
  <si>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</si>
  <si>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</si>
  <si>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</si>
  <si>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</si>
  <si>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</si>
  <si>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</si>
  <si>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</si>
  <si>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</si>
  <si>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</si>
  <si>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</si>
  <si>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</si>
  <si>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</si>
  <si>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</si>
  <si>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</si>
  <si>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</si>
  <si>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</si>
  <si>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</si>
  <si>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</si>
  <si>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</si>
  <si>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</si>
  <si>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</si>
  <si>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</si>
  <si>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</si>
  <si>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</si>
  <si>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</si>
  <si>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</si>
  <si>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</si>
  <si>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</si>
  <si>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</si>
  <si>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</si>
  <si>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</si>
  <si>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</si>
  <si>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</si>
  <si>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</si>
  <si>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</si>
  <si>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</si>
  <si>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</si>
  <si>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</si>
  <si>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</si>
  <si>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</si>
  <si>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</si>
  <si>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</si>
  <si>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</si>
  <si>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</si>
  <si>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</si>
  <si>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</si>
  <si>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</si>
  <si>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</si>
  <si>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</si>
  <si>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</si>
  <si>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</si>
  <si>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</si>
  <si>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</si>
  <si>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</si>
  <si>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</si>
  <si>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</si>
  <si>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</si>
  <si>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</si>
  <si>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</si>
  <si>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</si>
  <si>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</si>
  <si>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</si>
  <si>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</si>
  <si>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</si>
  <si>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</si>
  <si>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</si>
  <si>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</si>
  <si>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</si>
  <si>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</si>
  <si>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</si>
  <si>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</si>
  <si>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</si>
  <si>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</si>
  <si>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</si>
  <si>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</si>
  <si>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</si>
  <si>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</si>
  <si>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</si>
  <si>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</si>
  <si>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</si>
  <si>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</si>
  <si>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</si>
  <si>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</si>
  <si>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</si>
  <si>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</si>
  <si>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</si>
  <si>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</si>
  <si>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</si>
  <si>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</si>
  <si>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</si>
  <si>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</si>
  <si>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</si>
  <si>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</si>
  <si>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</si>
  <si>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</si>
  <si>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</si>
  <si>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</si>
  <si>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</si>
  <si>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</si>
  <si>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</si>
  <si>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</si>
  <si>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</si>
  <si>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</si>
  <si>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</si>
  <si>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</si>
  <si>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</si>
  <si>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</si>
  <si>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</si>
  <si>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</si>
  <si>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</si>
  <si>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</si>
  <si>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</si>
  <si>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</si>
  <si>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</si>
  <si>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</si>
  <si>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</si>
  <si>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</si>
  <si>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</si>
  <si>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</si>
  <si>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</si>
  <si>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</si>
  <si>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</si>
  <si>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</si>
  <si>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</si>
  <si>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</si>
  <si>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</si>
  <si>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</si>
  <si>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</si>
  <si>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</si>
  <si>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</si>
  <si>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</si>
  <si>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</si>
  <si>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</si>
  <si>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</si>
  <si>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</si>
  <si>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</si>
  <si>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</si>
  <si>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</si>
  <si>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</si>
  <si>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</si>
  <si>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</si>
  <si>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</si>
  <si>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</si>
  <si>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</si>
  <si>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</si>
  <si>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</si>
  <si>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</si>
  <si>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</si>
  <si>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</si>
  <si>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</si>
  <si>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</si>
  <si>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</si>
  <si>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</si>
  <si>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</si>
  <si>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</si>
  <si>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</si>
  <si>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</si>
  <si>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</si>
  <si>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</si>
  <si>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</si>
  <si>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</si>
  <si>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</si>
  <si>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</si>
  <si>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</si>
  <si>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</si>
  <si>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</si>
  <si>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</si>
  <si>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</si>
  <si>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</si>
  <si>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</si>
  <si>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</si>
  <si>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</si>
  <si>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</si>
  <si>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</si>
  <si>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</si>
  <si>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</si>
  <si>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</si>
  <si>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</si>
  <si>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</si>
  <si>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</si>
  <si>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</si>
  <si>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</si>
  <si>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</si>
  <si>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</si>
  <si>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</si>
  <si>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</si>
  <si>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</si>
  <si>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</si>
  <si>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</si>
  <si>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</si>
  <si>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</si>
  <si>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</si>
  <si>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</si>
  <si>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</si>
  <si>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</si>
  <si>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</si>
  <si>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</si>
  <si>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</si>
  <si>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</si>
  <si>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</si>
  <si>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</si>
  <si>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</si>
  <si>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</si>
  <si>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</si>
  <si>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</si>
  <si>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</si>
  <si>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</si>
  <si>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</si>
  <si>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</si>
  <si>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</si>
  <si>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</si>
  <si>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</si>
  <si>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</si>
  <si>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</si>
  <si>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</si>
  <si>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</si>
  <si>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</si>
  <si>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</si>
  <si>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</si>
  <si>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</si>
  <si>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</si>
  <si>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</si>
  <si>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</si>
  <si>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</si>
  <si>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</si>
  <si>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</si>
  <si>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</si>
  <si>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</si>
  <si>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</si>
  <si>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</si>
  <si>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</si>
  <si>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</si>
  <si>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</si>
  <si>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</si>
  <si>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</si>
  <si>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</si>
  <si>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</si>
  <si>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</si>
  <si>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</si>
  <si>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</si>
  <si>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</si>
  <si>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</si>
  <si>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</si>
  <si>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</si>
  <si>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</si>
  <si>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</si>
  <si>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</si>
  <si>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</si>
  <si>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</si>
  <si>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</si>
  <si>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</si>
  <si>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</si>
  <si>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</si>
  <si>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</si>
  <si>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</si>
  <si>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</si>
  <si>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</si>
  <si>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</si>
  <si>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</si>
  <si>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</si>
  <si>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</si>
  <si>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</si>
  <si>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</si>
  <si>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</si>
  <si>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</si>
  <si>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</si>
  <si>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</si>
  <si>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</si>
  <si>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</si>
  <si>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</si>
  <si>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</si>
  <si>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</si>
  <si>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</si>
  <si>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</si>
  <si>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</si>
  <si>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</si>
  <si>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</si>
  <si>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</si>
  <si>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</si>
  <si>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</si>
  <si>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</si>
  <si>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</si>
  <si>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</si>
  <si>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</si>
  <si>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</si>
  <si>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</si>
  <si>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</si>
  <si>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</si>
  <si>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</si>
  <si>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</si>
  <si>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</si>
  <si>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</si>
  <si>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</si>
  <si>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</si>
  <si>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</si>
  <si>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</si>
  <si>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</si>
  <si>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</si>
  <si>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</si>
  <si>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</si>
  <si>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</si>
  <si>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</si>
  <si>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</si>
  <si>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</si>
  <si>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</si>
  <si>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</si>
  <si>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</si>
  <si>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</si>
  <si>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</si>
  <si>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</si>
  <si>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</si>
  <si>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</si>
  <si>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</si>
  <si>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</si>
  <si>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</si>
  <si>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</si>
  <si>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</si>
  <si>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</si>
  <si>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</si>
  <si>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</si>
  <si>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</si>
  <si>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</si>
  <si>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</si>
  <si>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</si>
  <si>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</si>
  <si>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</si>
  <si>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</si>
  <si>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</si>
  <si>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</si>
  <si>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</si>
  <si>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</si>
  <si>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</si>
  <si>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</si>
  <si>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</si>
  <si>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</si>
  <si>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</si>
  <si>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</si>
  <si>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</si>
  <si>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</si>
  <si>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</si>
  <si>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</si>
  <si>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</si>
  <si>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</si>
  <si>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</si>
  <si>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</si>
  <si>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</si>
  <si>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</si>
  <si>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</si>
  <si>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</si>
  <si>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</si>
  <si>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</si>
  <si>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</si>
  <si>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</si>
  <si>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</si>
  <si>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</si>
  <si>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</si>
  <si>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</si>
  <si>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</si>
  <si>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</si>
  <si>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</si>
  <si>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</si>
  <si>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</si>
  <si>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</si>
  <si>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</si>
  <si>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</si>
  <si>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</si>
  <si>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</si>
  <si>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</si>
  <si>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</si>
  <si>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</si>
  <si>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</si>
  <si>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</si>
  <si>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</si>
  <si>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</si>
  <si>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</si>
  <si>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</si>
  <si>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</si>
  <si>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</si>
  <si>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</si>
  <si>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</si>
  <si>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</si>
  <si>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</si>
  <si>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</si>
  <si>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</si>
  <si>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</si>
  <si>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</si>
  <si>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</si>
  <si>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</si>
  <si>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</si>
  <si>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</si>
  <si>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</si>
  <si>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</si>
  <si>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</si>
  <si>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</si>
  <si>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</si>
  <si>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</si>
  <si>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</si>
  <si>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</si>
  <si>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</si>
  <si>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</si>
  <si>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</si>
  <si>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</si>
  <si>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</si>
  <si>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</si>
  <si>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</si>
  <si>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</si>
  <si>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</si>
  <si>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</si>
  <si>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</si>
  <si>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</si>
  <si>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</si>
  <si>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</si>
  <si>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</si>
  <si>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</si>
  <si>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</si>
  <si>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</si>
  <si>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</si>
  <si>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</si>
  <si>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</si>
  <si>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</si>
  <si>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</si>
  <si>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</si>
  <si>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</si>
  <si>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</si>
  <si>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</si>
  <si>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</si>
  <si>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</si>
  <si>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</si>
  <si>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</si>
  <si>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</si>
  <si>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</si>
  <si>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</si>
  <si>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</si>
  <si>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</si>
  <si>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</si>
  <si>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</si>
  <si>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</si>
  <si>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</si>
  <si>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</si>
  <si>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</si>
  <si>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</si>
  <si>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</si>
  <si>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</si>
  <si>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</si>
  <si>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</si>
  <si>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</si>
  <si>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</si>
  <si>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</si>
  <si>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</si>
  <si>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</si>
  <si>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</si>
  <si>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</si>
  <si>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</si>
  <si>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</si>
  <si>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</si>
  <si>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</si>
  <si>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</si>
  <si>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</si>
  <si>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</si>
  <si>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</si>
  <si>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</si>
  <si>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</si>
  <si>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</si>
  <si>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</si>
  <si>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</si>
  <si>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</si>
  <si>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</si>
  <si>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</si>
  <si>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</si>
  <si>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</si>
  <si>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</si>
  <si>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</si>
  <si>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</si>
  <si>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</si>
  <si>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</si>
  <si>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</si>
  <si>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</si>
  <si>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</si>
  <si>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</si>
  <si>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</si>
  <si>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</si>
  <si>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</si>
  <si>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</si>
  <si>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</si>
  <si>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</si>
  <si>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</si>
  <si>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</si>
  <si>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</si>
  <si>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</si>
  <si>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</si>
  <si>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</si>
  <si>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</si>
  <si>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</si>
  <si>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</si>
  <si>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</si>
  <si>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</si>
  <si>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</si>
  <si>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</si>
  <si>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</si>
  <si>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</si>
  <si>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</si>
  <si>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</si>
  <si>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</si>
  <si>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</si>
  <si>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</si>
  <si>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</si>
  <si>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</si>
  <si>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</si>
  <si>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</si>
  <si>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</si>
  <si>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</si>
  <si>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</si>
  <si>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</si>
  <si>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</si>
  <si>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</si>
  <si>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</si>
  <si>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</si>
  <si>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</si>
  <si>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</si>
  <si>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</si>
  <si>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</si>
  <si>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</si>
  <si>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</si>
  <si>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</si>
  <si>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</si>
  <si>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</si>
  <si>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</si>
  <si>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</si>
  <si>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</si>
  <si>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</si>
  <si>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</si>
  <si>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</si>
  <si>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</si>
  <si>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</si>
  <si>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</si>
  <si>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</si>
  <si>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</si>
  <si>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</si>
  <si>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</si>
  <si>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</si>
  <si>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</si>
  <si>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</si>
  <si>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</si>
  <si>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</si>
  <si>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</si>
  <si>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</si>
  <si>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</si>
  <si>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</si>
  <si>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</si>
  <si>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</si>
  <si>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</si>
  <si>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</si>
  <si>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</si>
  <si>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</si>
  <si>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</si>
  <si>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</si>
  <si>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</si>
  <si>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</si>
  <si>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</si>
  <si>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</si>
  <si>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</si>
  <si>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</si>
  <si>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</si>
  <si>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</si>
  <si>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</si>
  <si>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</si>
  <si>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</si>
  <si>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</si>
  <si>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</si>
  <si>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</si>
  <si>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</si>
  <si>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</si>
  <si>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</si>
  <si>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</si>
  <si>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</si>
  <si>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</si>
  <si>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</si>
  <si>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</si>
  <si>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</si>
  <si>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</si>
  <si>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</si>
  <si>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</si>
  <si>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</si>
  <si>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</si>
  <si>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</si>
  <si>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</si>
  <si>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</si>
  <si>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</si>
  <si>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</si>
  <si>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</si>
  <si>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</si>
  <si>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</si>
  <si>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</si>
  <si>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</si>
  <si>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</si>
  <si>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</si>
  <si>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</si>
  <si>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</si>
  <si>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</si>
  <si>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</si>
  <si>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</si>
  <si>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</si>
  <si>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</si>
  <si>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</si>
  <si>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</si>
  <si>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</si>
  <si>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</si>
  <si>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</si>
  <si>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</si>
  <si>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</si>
  <si>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</si>
  <si>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</si>
  <si>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</si>
  <si>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</si>
  <si>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</si>
  <si>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</si>
  <si>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</si>
  <si>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</si>
  <si>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</si>
  <si>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</si>
  <si>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</si>
  <si>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</si>
  <si>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</si>
  <si>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</si>
  <si>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</si>
  <si>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</si>
  <si>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</si>
  <si>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</si>
  <si>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</si>
  <si>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</si>
  <si>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</si>
  <si>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</si>
  <si>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</si>
  <si>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</si>
  <si>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</si>
  <si>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</si>
  <si>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</si>
  <si>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</si>
  <si>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</si>
  <si>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</si>
  <si>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</si>
  <si>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</si>
  <si>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</si>
  <si>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</si>
  <si>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</si>
  <si>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</si>
  <si>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</si>
  <si>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</si>
  <si>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</si>
  <si>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</si>
  <si>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</si>
  <si>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</si>
  <si>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</si>
  <si>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</si>
  <si>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</si>
  <si>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</si>
  <si>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</si>
  <si>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</si>
  <si>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</si>
  <si>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</si>
  <si>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</si>
  <si>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</si>
  <si>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</si>
  <si>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</si>
  <si>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</si>
  <si>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</si>
  <si>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</si>
  <si>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</si>
  <si>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</si>
  <si>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</si>
  <si>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</si>
  <si>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</si>
  <si>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</si>
  <si>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</si>
  <si>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</si>
  <si>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</si>
  <si>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</si>
  <si>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</si>
  <si>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</si>
  <si>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</si>
  <si>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</si>
  <si>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</si>
  <si>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</si>
  <si>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</si>
  <si>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</si>
  <si>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</si>
  <si>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</si>
  <si>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</si>
  <si>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</si>
  <si>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</si>
  <si>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</si>
  <si>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</si>
  <si>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</si>
  <si>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</si>
  <si>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</si>
  <si>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</si>
  <si>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</si>
  <si>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</si>
  <si>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</si>
  <si>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</si>
  <si>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</si>
  <si>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</si>
  <si>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</si>
  <si>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</si>
  <si>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</si>
  <si>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</si>
  <si>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</si>
  <si>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</si>
  <si>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</si>
  <si>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</si>
  <si>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</si>
  <si>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</si>
  <si>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</si>
  <si>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</si>
  <si>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</si>
  <si>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</si>
  <si>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</si>
  <si>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</si>
  <si>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</si>
  <si>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</si>
  <si>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</si>
  <si>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</si>
  <si>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</si>
  <si>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</si>
  <si>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</si>
  <si>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</si>
  <si>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</si>
  <si>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</si>
  <si>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</si>
  <si>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</si>
  <si>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</si>
  <si>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</si>
  <si>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</si>
  <si>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</si>
  <si>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</si>
  <si>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</si>
  <si>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</si>
  <si>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</si>
  <si>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</si>
  <si>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</si>
  <si>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</si>
  <si>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</si>
  <si>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</si>
  <si>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</si>
  <si>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</si>
  <si>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</si>
  <si>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</si>
  <si>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</si>
  <si>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</si>
  <si>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</si>
  <si>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</si>
  <si>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</si>
  <si>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</si>
  <si>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</si>
  <si>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</si>
  <si>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</si>
  <si>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</si>
  <si>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</si>
  <si>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</si>
  <si>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</si>
  <si>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</si>
  <si>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</si>
  <si>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</si>
  <si>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</si>
  <si>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</si>
  <si>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</si>
  <si>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</si>
  <si>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</si>
  <si>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</si>
  <si>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</si>
  <si>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</si>
  <si>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</si>
  <si>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</si>
  <si>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</si>
  <si>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</si>
  <si>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</si>
  <si>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</si>
  <si>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</si>
  <si>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</si>
  <si>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</si>
  <si>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</si>
  <si>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</si>
  <si>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</si>
  <si>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</si>
  <si>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</si>
  <si>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</si>
  <si>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</si>
  <si>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</si>
  <si>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</si>
  <si>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</si>
  <si>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</si>
  <si>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</si>
  <si>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</si>
  <si>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</si>
  <si>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</si>
  <si>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</si>
  <si>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</si>
  <si>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</si>
  <si>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</si>
  <si>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</si>
  <si>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</si>
  <si>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</si>
  <si>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</si>
  <si>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</si>
  <si>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</si>
  <si>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</si>
  <si>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</si>
  <si>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</si>
  <si>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</si>
  <si>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</si>
  <si>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</si>
  <si>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</si>
  <si>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</si>
  <si>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</si>
  <si>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</si>
  <si>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</si>
  <si>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</si>
  <si>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</si>
  <si>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</si>
  <si>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</si>
  <si>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</si>
  <si>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</si>
  <si>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</si>
  <si>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</si>
  <si>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</si>
  <si>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</si>
  <si>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</si>
  <si>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</si>
  <si>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</si>
  <si>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</si>
  <si>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</si>
  <si>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</si>
  <si>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</si>
  <si>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</si>
  <si>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</si>
  <si>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</si>
  <si>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</si>
  <si>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</si>
  <si>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</si>
  <si>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</si>
  <si>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</si>
  <si>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</si>
  <si>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</si>
  <si>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</si>
  <si>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</si>
  <si>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</si>
  <si>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</si>
  <si>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</si>
  <si>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</si>
  <si>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</si>
  <si>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</si>
  <si>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</si>
  <si>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</si>
  <si>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</si>
  <si>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</si>
  <si>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</si>
  <si>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</si>
  <si>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</si>
  <si>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</si>
  <si>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</si>
  <si>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</si>
  <si>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</si>
  <si>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</si>
  <si>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</si>
  <si>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</si>
  <si>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</si>
  <si>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</si>
  <si>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</si>
  <si>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</si>
  <si>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</si>
  <si>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</si>
  <si>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</si>
  <si>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</si>
  <si>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</si>
  <si>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</si>
  <si>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</si>
  <si>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</si>
  <si>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</si>
  <si>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</si>
  <si>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</si>
  <si>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</si>
  <si>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</si>
  <si>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</si>
  <si>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</si>
  <si>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</si>
  <si>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</si>
  <si>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</si>
  <si>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</si>
  <si>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</si>
  <si>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</si>
  <si>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</si>
  <si>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</si>
  <si>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</si>
  <si>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</si>
  <si>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</si>
  <si>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</si>
  <si>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</si>
  <si>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</si>
  <si>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</si>
  <si>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</si>
  <si>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</si>
  <si>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</si>
  <si>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</si>
  <si>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</si>
  <si>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</si>
  <si>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</si>
  <si>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</si>
  <si>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</si>
  <si>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</si>
  <si>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</si>
  <si>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</si>
  <si>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</si>
  <si>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</si>
  <si>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</si>
  <si>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</si>
  <si>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</si>
  <si>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</si>
  <si>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</si>
  <si>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</si>
  <si>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</si>
  <si>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</si>
  <si>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</si>
  <si>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</si>
  <si>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</si>
  <si>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</si>
  <si>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</si>
  <si>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</si>
  <si>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</si>
  <si>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</si>
  <si>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</si>
  <si>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</si>
  <si>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</si>
  <si>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</si>
  <si>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</si>
  <si>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</si>
  <si>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</si>
  <si>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</si>
  <si>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</si>
  <si>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</si>
  <si>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</si>
  <si>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</si>
  <si>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</si>
  <si>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</si>
  <si>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</si>
  <si>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</si>
  <si>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</si>
  <si>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</si>
  <si>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</si>
  <si>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</si>
  <si>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</si>
  <si>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</si>
  <si>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</si>
  <si>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</si>
  <si>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</si>
  <si>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</si>
  <si>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</si>
  <si>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</si>
  <si>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</si>
  <si>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</si>
  <si>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</si>
  <si>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</si>
  <si>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</si>
  <si>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</si>
  <si>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</si>
  <si>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</si>
  <si>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</si>
  <si>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</si>
  <si>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</si>
  <si>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</si>
  <si>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</si>
  <si>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</si>
  <si>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</si>
  <si>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</si>
  <si>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</si>
  <si>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</si>
  <si>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</si>
  <si>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</si>
  <si>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</si>
  <si>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</si>
  <si>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</si>
  <si>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</si>
  <si>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</si>
  <si>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</si>
  <si>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</si>
  <si>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</si>
  <si>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</si>
  <si>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</si>
  <si>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</si>
  <si>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</si>
  <si>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</si>
  <si>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</si>
  <si>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</si>
  <si>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</si>
  <si>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</si>
  <si>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</si>
  <si>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</si>
  <si>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</si>
  <si>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</si>
  <si>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</si>
  <si>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</si>
  <si>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</si>
  <si>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</si>
  <si>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</si>
  <si>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</si>
  <si>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</si>
  <si>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</si>
  <si>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</si>
  <si>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</si>
  <si>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</si>
  <si>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</si>
  <si>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</si>
  <si>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</si>
  <si>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</si>
  <si>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</si>
  <si>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</si>
  <si>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</si>
  <si>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</si>
  <si>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</si>
  <si>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</si>
  <si>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</si>
  <si>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</si>
  <si>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</si>
  <si>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</si>
  <si>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</si>
  <si>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</si>
  <si>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</si>
  <si>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</si>
  <si>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</si>
  <si>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</si>
  <si>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</si>
  <si>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</si>
  <si>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</si>
  <si>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</si>
  <si>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</si>
  <si>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</si>
  <si>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</si>
  <si>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</si>
  <si>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</si>
  <si>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</si>
  <si>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</si>
  <si>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</si>
  <si>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</si>
  <si>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</si>
  <si>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</si>
  <si>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</si>
  <si>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</si>
  <si>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</si>
  <si>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</si>
  <si>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</si>
  <si>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</si>
  <si>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</si>
  <si>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</si>
  <si>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</si>
  <si>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</si>
  <si>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</si>
  <si>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</si>
  <si>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</si>
  <si>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</si>
  <si>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</si>
  <si>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</si>
  <si>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</si>
  <si>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</si>
  <si>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</si>
  <si>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</si>
  <si>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</si>
  <si>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</si>
  <si>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</si>
  <si>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</si>
  <si>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</si>
  <si>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</si>
  <si>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</si>
  <si>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</si>
  <si>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</si>
  <si>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</si>
  <si>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</si>
  <si>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</si>
  <si>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</si>
  <si>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</si>
  <si>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</si>
  <si>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</si>
  <si>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</si>
  <si>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</si>
  <si>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</si>
  <si>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</si>
  <si>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</si>
  <si>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</si>
  <si>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</si>
  <si>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</si>
  <si>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</si>
  <si>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</si>
  <si>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</si>
  <si>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</si>
  <si>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</si>
  <si>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</si>
  <si>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</si>
  <si>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</si>
  <si>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</si>
  <si>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</si>
  <si>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</si>
  <si>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</si>
  <si>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</si>
  <si>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</si>
  <si>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</si>
  <si>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</si>
  <si>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</si>
  <si>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</si>
  <si>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</si>
  <si>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</si>
  <si>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</si>
  <si>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</si>
  <si>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</si>
  <si>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</si>
  <si>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</si>
  <si>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</si>
  <si>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</si>
  <si>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</si>
  <si>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</si>
  <si>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</si>
  <si>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</si>
  <si>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</si>
  <si>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</si>
  <si>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</si>
  <si>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</si>
  <si>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</si>
  <si>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</si>
  <si>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</si>
  <si>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</si>
  <si>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</si>
  <si>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</si>
  <si>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</si>
  <si>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</si>
  <si>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</si>
  <si>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</si>
  <si>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</si>
  <si>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</si>
  <si>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</si>
  <si>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</si>
  <si>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</si>
  <si>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</si>
  <si>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</si>
  <si>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</si>
  <si>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</si>
  <si>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</si>
  <si>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</si>
  <si>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</si>
  <si>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</si>
  <si>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</si>
  <si>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</si>
  <si>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</si>
  <si>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</si>
  <si>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</si>
  <si>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</si>
  <si>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</si>
  <si>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</si>
  <si>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</si>
  <si>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</si>
  <si>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</si>
  <si>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</si>
  <si>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</si>
  <si>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</si>
  <si>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</si>
  <si>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</si>
  <si>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</si>
  <si>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</si>
  <si>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</si>
  <si>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</si>
  <si>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</si>
  <si>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</si>
  <si>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</si>
  <si>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</si>
  <si>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</si>
  <si>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</si>
  <si>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</si>
  <si>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</si>
  <si>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</si>
  <si>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</si>
  <si>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</si>
  <si>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</si>
  <si>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</si>
  <si>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</si>
  <si>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</si>
  <si>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</si>
  <si>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</si>
  <si>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</si>
  <si>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</si>
  <si>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</si>
  <si>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</si>
  <si>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</si>
  <si>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</si>
  <si>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</si>
  <si>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</si>
  <si>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</si>
  <si>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</si>
  <si>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</si>
  <si>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</si>
  <si>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</si>
  <si>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</si>
  <si>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</si>
  <si>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</si>
  <si>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</si>
  <si>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</si>
  <si>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</si>
  <si>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</si>
  <si>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</si>
  <si>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</si>
  <si>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</si>
  <si>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</si>
  <si>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</si>
  <si>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</si>
  <si>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</si>
  <si>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</si>
  <si>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</si>
  <si>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</si>
  <si>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</si>
  <si>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</si>
  <si>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</si>
  <si>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</si>
  <si>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</si>
  <si>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</si>
  <si>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</si>
  <si>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</si>
  <si>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</si>
  <si>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</si>
  <si>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</si>
  <si>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</si>
  <si>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</si>
  <si>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</si>
  <si>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</si>
  <si>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</si>
  <si>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</si>
  <si>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</si>
  <si>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</si>
  <si>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</si>
  <si>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</si>
  <si>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</si>
  <si>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</si>
  <si>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</si>
  <si>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</si>
  <si>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</si>
  <si>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</si>
  <si>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</si>
  <si>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</si>
  <si>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</si>
  <si>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</si>
  <si>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</si>
  <si>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</si>
  <si>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</si>
  <si>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</si>
  <si>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</si>
  <si>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</si>
  <si>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</si>
  <si>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</si>
  <si>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</si>
  <si>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</si>
  <si>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</si>
  <si>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</si>
  <si>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</si>
  <si>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</si>
  <si>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</si>
  <si>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</si>
  <si>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</si>
  <si>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</si>
  <si>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</si>
  <si>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</si>
  <si>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</si>
  <si>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</si>
  <si>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</si>
  <si>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</si>
  <si>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</si>
  <si>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</si>
  <si>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</si>
  <si>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</si>
  <si>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</si>
  <si>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</si>
  <si>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</si>
  <si>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</si>
  <si>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</si>
  <si>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</si>
  <si>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</si>
  <si>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</si>
  <si>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</si>
  <si>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</si>
  <si>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</si>
  <si>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</si>
  <si>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</si>
  <si>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</si>
  <si>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</si>
  <si>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</si>
  <si>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</si>
  <si>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</si>
  <si>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</si>
  <si>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</si>
  <si>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</si>
  <si>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</si>
  <si>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</si>
  <si>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</si>
  <si>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</si>
  <si>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</si>
  <si>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</si>
  <si>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</si>
  <si>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</si>
  <si>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</si>
  <si>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</si>
  <si>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</si>
  <si>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</si>
  <si>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</si>
  <si>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</si>
  <si>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</si>
  <si>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</si>
  <si>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</si>
  <si>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</si>
  <si>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</si>
  <si>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</si>
  <si>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</si>
  <si>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</si>
  <si>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</si>
  <si>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</si>
  <si>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</si>
  <si>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</si>
  <si>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</si>
  <si>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</si>
  <si>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</si>
  <si>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</si>
  <si>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</si>
  <si>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</si>
  <si>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</si>
  <si>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</si>
  <si>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</si>
  <si>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</si>
  <si>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</si>
  <si>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</si>
  <si>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</si>
  <si>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</si>
  <si>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</si>
  <si>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</si>
  <si>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</si>
  <si>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</si>
  <si>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</si>
  <si>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</si>
  <si>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</si>
  <si>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</si>
  <si>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</si>
  <si>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</si>
  <si>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</si>
  <si>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</si>
  <si>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</si>
  <si>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</si>
  <si>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</si>
  <si>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</si>
  <si>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</si>
  <si>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</si>
  <si>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</si>
  <si>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</si>
  <si>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</si>
  <si>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</si>
  <si>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</si>
  <si>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</si>
  <si>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</si>
  <si>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</si>
  <si>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</si>
  <si>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</si>
  <si>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</si>
  <si>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</si>
  <si>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</si>
  <si>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</si>
  <si>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</si>
  <si>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</si>
  <si>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</si>
  <si>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</si>
  <si>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</si>
  <si>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</si>
  <si>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</si>
  <si>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</si>
  <si>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</si>
  <si>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</si>
  <si>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</si>
  <si>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</si>
  <si>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</si>
  <si>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</si>
  <si>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</si>
  <si>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</si>
  <si>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</si>
  <si>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</si>
  <si>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</si>
  <si>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</si>
  <si>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</si>
  <si>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</si>
  <si>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</si>
  <si>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</si>
  <si>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</si>
  <si>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</si>
  <si>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</si>
  <si>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</si>
  <si>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</si>
  <si>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</si>
  <si>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</si>
  <si>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</si>
  <si>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</si>
  <si>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</si>
  <si>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</si>
  <si>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</si>
  <si>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</si>
  <si>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</si>
  <si>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</si>
  <si>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</si>
  <si>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</si>
  <si>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</si>
  <si>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</si>
  <si>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</si>
  <si>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</si>
  <si>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</si>
  <si>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</si>
  <si>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</si>
  <si>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</si>
  <si>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</si>
  <si>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</si>
  <si>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</si>
  <si>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</si>
  <si>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</si>
  <si>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</si>
  <si>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</si>
  <si>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</si>
  <si>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</si>
  <si>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</si>
  <si>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</si>
  <si>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</si>
  <si>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</si>
  <si>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</si>
  <si>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</si>
  <si>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</si>
  <si>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</si>
  <si>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</si>
  <si>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</si>
  <si>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</si>
  <si>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</si>
  <si>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</si>
  <si>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</si>
  <si>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</si>
  <si>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</si>
  <si>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</si>
  <si>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</si>
  <si>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</si>
  <si>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</si>
  <si>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</si>
  <si>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</si>
  <si>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</si>
  <si>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</si>
  <si>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</si>
  <si>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</si>
  <si>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</si>
  <si>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</si>
  <si>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</si>
  <si>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</si>
  <si>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</si>
  <si>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</si>
  <si>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</si>
  <si>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</si>
  <si>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</si>
  <si>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</si>
  <si>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</si>
  <si>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</si>
  <si>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</si>
  <si>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</si>
  <si>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</si>
  <si>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</si>
  <si>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</si>
  <si>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</si>
  <si>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</si>
  <si>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</si>
  <si>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</si>
  <si>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</si>
  <si>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</si>
  <si>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</si>
  <si>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</si>
  <si>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</si>
  <si>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</si>
  <si>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</si>
  <si>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</si>
  <si>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</si>
  <si>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</si>
  <si>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</si>
  <si>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</si>
  <si>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</si>
  <si>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</si>
  <si>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</si>
  <si>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</si>
  <si>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</si>
  <si>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</si>
  <si>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</si>
  <si>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</si>
  <si>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</si>
  <si>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</si>
  <si>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</si>
  <si>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</si>
  <si>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</si>
  <si>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</si>
  <si>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</si>
  <si>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</si>
  <si>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</si>
  <si>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</si>
  <si>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</si>
  <si>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</si>
  <si>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</si>
  <si>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</si>
  <si>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</si>
  <si>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</si>
  <si>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</si>
  <si>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</si>
  <si>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</si>
  <si>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</si>
  <si>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</si>
  <si>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</si>
  <si>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</si>
  <si>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</si>
  <si>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</si>
  <si>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</si>
  <si>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</si>
  <si>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</si>
  <si>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</si>
  <si>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</si>
  <si>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</si>
  <si>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</si>
  <si>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</si>
  <si>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</si>
  <si>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</si>
  <si>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</si>
  <si>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</si>
  <si>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</si>
  <si>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</si>
  <si>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</si>
  <si>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</si>
  <si>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</si>
  <si>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</si>
  <si>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</si>
  <si>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</si>
  <si>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</si>
  <si>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</si>
  <si>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</si>
  <si>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</si>
  <si>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</si>
  <si>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</si>
  <si>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</si>
  <si>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</si>
  <si>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</si>
  <si>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</si>
  <si>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</si>
  <si>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</si>
  <si>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</si>
  <si>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</si>
  <si>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</si>
  <si>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</si>
  <si>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</si>
  <si>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</si>
  <si>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</si>
  <si>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</si>
  <si>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</si>
  <si>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</si>
  <si>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</si>
  <si>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</si>
  <si>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</si>
  <si>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</si>
  <si>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</si>
  <si>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</si>
  <si>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</si>
  <si>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</si>
  <si>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</si>
  <si>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</si>
  <si>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</si>
  <si>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</si>
  <si>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</si>
  <si>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</si>
  <si>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</si>
  <si>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</si>
  <si>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</si>
  <si>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</si>
  <si>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</si>
  <si>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</si>
  <si>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</si>
  <si>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</si>
  <si>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</si>
  <si>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</si>
  <si>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</si>
  <si>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</si>
  <si>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</si>
  <si>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</si>
  <si>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</si>
  <si>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</si>
  <si>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</si>
  <si>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</si>
  <si>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</si>
  <si>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</si>
  <si>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</si>
  <si>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</si>
  <si>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</si>
  <si>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</si>
  <si>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</si>
  <si>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</si>
  <si>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</si>
  <si>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</si>
  <si>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</si>
  <si>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</si>
  <si>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</si>
  <si>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</si>
  <si>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</si>
  <si>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</si>
  <si>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</si>
  <si>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</si>
  <si>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</si>
  <si>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</si>
  <si>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</si>
  <si>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</si>
  <si>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</si>
  <si>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</si>
  <si>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</si>
  <si>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</si>
  <si>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</si>
  <si>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</si>
  <si>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</si>
  <si>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</si>
  <si>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</si>
  <si>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</si>
  <si>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</si>
  <si>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</si>
  <si>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</si>
  <si>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</si>
  <si>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</si>
  <si>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</si>
  <si>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</si>
  <si>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</si>
  <si>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</si>
  <si>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</si>
  <si>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</si>
  <si>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</si>
  <si>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</si>
  <si>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</si>
  <si>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</si>
  <si>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</si>
  <si>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</si>
  <si>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</si>
  <si>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</si>
  <si>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</si>
  <si>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</si>
  <si>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</si>
  <si>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</si>
  <si>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</si>
  <si>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</si>
  <si>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</si>
  <si>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</si>
  <si>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</si>
  <si>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</si>
  <si>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</si>
  <si>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</si>
  <si>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</si>
  <si>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</si>
  <si>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</si>
  <si>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</si>
  <si>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</si>
  <si>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</si>
  <si>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</si>
  <si>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</si>
  <si>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</si>
  <si>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</si>
  <si>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</si>
  <si>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</si>
  <si>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</si>
  <si>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</si>
  <si>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</si>
  <si>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</si>
  <si>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</si>
  <si>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</si>
  <si>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</si>
  <si>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</si>
  <si>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</si>
  <si>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</si>
  <si>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</si>
  <si>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</si>
  <si>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</si>
  <si>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</si>
  <si>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</si>
  <si>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</si>
  <si>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</si>
  <si>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</si>
  <si>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</si>
  <si>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</si>
  <si>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</si>
  <si>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</si>
  <si>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</si>
  <si>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</si>
  <si>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</si>
  <si>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</si>
  <si>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</si>
  <si>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</si>
  <si>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</si>
  <si>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</si>
  <si>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</si>
  <si>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</si>
  <si>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</si>
  <si>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</si>
  <si>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</si>
  <si>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</si>
  <si>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</si>
  <si>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</si>
  <si>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</si>
  <si>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</si>
  <si>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</si>
  <si>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</si>
  <si>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</si>
  <si>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</si>
  <si>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</si>
  <si>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</si>
  <si>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</si>
  <si>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</si>
  <si>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</si>
  <si>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</si>
  <si>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</si>
  <si>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</si>
  <si>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</si>
  <si>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</si>
  <si>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</si>
  <si>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</si>
  <si>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</si>
  <si>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</si>
  <si>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</si>
  <si>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</si>
  <si>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</si>
  <si>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</si>
  <si>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</si>
  <si>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</si>
  <si>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</si>
  <si>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</si>
  <si>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</si>
  <si>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</si>
  <si>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</si>
  <si>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</si>
  <si>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</si>
  <si>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</si>
  <si>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</si>
  <si>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</si>
  <si>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</si>
  <si>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</si>
  <si>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</si>
  <si>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</si>
  <si>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</si>
  <si>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</si>
  <si>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</si>
  <si>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</si>
  <si>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</si>
  <si>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</si>
  <si>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</si>
  <si>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</si>
  <si>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</si>
  <si>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</si>
  <si>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</si>
  <si>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</si>
  <si>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</si>
  <si>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</si>
  <si>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</si>
  <si>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</si>
  <si>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</si>
  <si>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</si>
  <si>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</si>
  <si>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</si>
  <si>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</si>
  <si>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</si>
  <si>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</si>
  <si>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</si>
  <si>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</si>
  <si>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</si>
  <si>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</si>
  <si>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</si>
  <si>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</si>
  <si>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</si>
  <si>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</si>
  <si>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</si>
  <si>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</si>
  <si>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</si>
  <si>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</si>
  <si>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</si>
  <si>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</si>
  <si>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</si>
  <si>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</si>
  <si>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</si>
  <si>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</si>
  <si>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</si>
  <si>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</si>
  <si>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</si>
  <si>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</si>
  <si>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</si>
  <si>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</si>
  <si>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</si>
  <si>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</si>
  <si>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</si>
  <si>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</si>
  <si>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</si>
  <si>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</si>
  <si>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</si>
  <si>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</si>
  <si>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</si>
  <si>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</si>
  <si>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</si>
  <si>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</si>
  <si>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</si>
  <si>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</si>
  <si>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</si>
  <si>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</si>
  <si>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</si>
  <si>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</si>
  <si>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</si>
  <si>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</si>
  <si>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</si>
  <si>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</si>
  <si>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</si>
  <si>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</si>
  <si>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</si>
  <si>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</si>
  <si>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</si>
  <si>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</si>
  <si>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</si>
  <si>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</si>
  <si>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</si>
  <si>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</si>
  <si>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</si>
  <si>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</si>
  <si>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</si>
  <si>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</si>
  <si>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</si>
  <si>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</si>
  <si>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</si>
  <si>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</si>
  <si>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</si>
  <si>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</si>
  <si>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</si>
  <si>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</si>
  <si>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</si>
  <si>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</si>
  <si>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</si>
  <si>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</si>
  <si>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</si>
  <si>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</si>
  <si>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</si>
  <si>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</si>
  <si>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</si>
  <si>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</si>
  <si>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</si>
  <si>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</si>
  <si>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</si>
  <si>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</si>
  <si>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</si>
  <si>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</si>
  <si>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</si>
  <si>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</si>
  <si>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</si>
  <si>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</si>
  <si>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</si>
  <si>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</si>
  <si>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</si>
  <si>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</si>
  <si>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</si>
  <si>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</si>
  <si>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</si>
  <si>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</si>
  <si>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</si>
  <si>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</si>
  <si>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</si>
  <si>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</si>
  <si>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</si>
  <si>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</si>
  <si>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</si>
  <si>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</si>
  <si>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</si>
  <si>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</si>
  <si>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</si>
  <si>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</si>
  <si>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</si>
  <si>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</si>
  <si>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</si>
  <si>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</si>
  <si>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</si>
  <si>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</si>
  <si>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</si>
  <si>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</si>
  <si>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</si>
  <si>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</si>
  <si>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</si>
  <si>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</si>
  <si>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</si>
  <si>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</si>
  <si>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</si>
  <si>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</si>
  <si>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</si>
  <si>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</si>
  <si>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</si>
  <si>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</si>
  <si>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</si>
  <si>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</si>
  <si>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</si>
  <si>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</si>
  <si>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</si>
  <si>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</si>
  <si>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</si>
  <si>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</si>
  <si>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</si>
  <si>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</si>
  <si>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</si>
  <si>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</si>
  <si>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</si>
  <si>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</si>
  <si>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</si>
  <si>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</si>
  <si>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</si>
  <si>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</si>
  <si>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</si>
  <si>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</si>
  <si>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</si>
  <si>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</si>
  <si>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</si>
  <si>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</si>
  <si>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</si>
  <si>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</si>
  <si>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</si>
  <si>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</si>
  <si>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</si>
  <si>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</si>
  <si>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</si>
  <si>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</si>
  <si>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</si>
  <si>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</si>
  <si>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</si>
  <si>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</si>
  <si>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</si>
  <si>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</si>
  <si>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</si>
  <si>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</si>
  <si>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</si>
  <si>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</si>
  <si>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</si>
  <si>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</si>
  <si>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</si>
  <si>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</si>
  <si>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</si>
  <si>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</si>
  <si>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</si>
  <si>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</si>
  <si>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</si>
  <si>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</si>
  <si>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</si>
  <si>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</si>
  <si>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</si>
  <si>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</si>
  <si>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</si>
  <si>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</si>
  <si>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</si>
  <si>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</si>
  <si>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</si>
  <si>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</si>
  <si>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</si>
  <si>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</si>
  <si>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</si>
  <si>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</si>
  <si>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</si>
  <si>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</si>
  <si>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</si>
  <si>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</si>
  <si>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</si>
  <si>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</si>
  <si>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</si>
  <si>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</si>
  <si>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</si>
  <si>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</si>
  <si>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</si>
  <si>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</si>
  <si>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</si>
  <si>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</si>
  <si>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</si>
  <si>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</si>
  <si>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</si>
  <si>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</si>
  <si>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</si>
  <si>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</si>
  <si>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</si>
  <si>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</si>
  <si>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</si>
  <si>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</si>
  <si>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</si>
  <si>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</si>
  <si>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</si>
  <si>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</si>
  <si>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</si>
  <si>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</si>
  <si>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</si>
  <si>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</si>
  <si>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</si>
  <si>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</si>
  <si>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</si>
  <si>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</si>
  <si>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</si>
  <si>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</si>
  <si>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</si>
  <si>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</si>
  <si>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</si>
  <si>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</si>
  <si>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</si>
  <si>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</si>
  <si>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</si>
  <si>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</si>
  <si>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</si>
  <si>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</si>
  <si>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</si>
  <si>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</si>
  <si>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</si>
  <si>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</si>
  <si>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</si>
  <si>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</si>
  <si>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</si>
  <si>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</si>
  <si>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</si>
  <si>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</si>
  <si>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</si>
  <si>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</si>
  <si>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</si>
  <si>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</si>
  <si>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</si>
  <si>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</si>
  <si>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</si>
  <si>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</si>
  <si>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</si>
  <si>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</si>
  <si>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</si>
  <si>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</si>
  <si>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</si>
  <si>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</si>
  <si>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</si>
  <si>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</si>
  <si>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</si>
  <si>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</si>
  <si>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</si>
  <si>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</si>
  <si>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</si>
  <si>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</si>
  <si>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</si>
  <si>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</si>
  <si>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</si>
  <si>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</si>
  <si>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</si>
  <si>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</si>
  <si>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</si>
  <si>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</si>
  <si>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</si>
  <si>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</si>
  <si>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</si>
  <si>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</si>
  <si>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</si>
  <si>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</si>
  <si>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</si>
  <si>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</si>
  <si>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</si>
  <si>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</si>
  <si>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</si>
  <si>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</si>
  <si>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</si>
  <si>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</si>
  <si>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</si>
  <si>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</si>
  <si>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</si>
  <si>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</si>
  <si>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</si>
  <si>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</si>
  <si>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</si>
  <si>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</si>
  <si>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</si>
  <si>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</si>
  <si>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</si>
  <si>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</si>
  <si>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</si>
  <si>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</si>
  <si>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</si>
  <si>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</si>
  <si>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</si>
  <si>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</si>
  <si>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</si>
  <si>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</si>
  <si>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</si>
  <si>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</si>
  <si>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</si>
  <si>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</si>
  <si>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</si>
  <si>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</si>
  <si>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</si>
  <si>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</si>
  <si>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</si>
  <si>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</si>
  <si>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</si>
  <si>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</si>
  <si>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</si>
  <si>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</si>
  <si>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</si>
  <si>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</si>
  <si>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</si>
  <si>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</si>
  <si>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</si>
  <si>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</si>
  <si>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</si>
  <si>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</si>
  <si>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</si>
  <si>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</si>
  <si>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</si>
  <si>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</si>
  <si>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</si>
  <si>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</si>
  <si>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</si>
  <si>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</si>
  <si>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</si>
  <si>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</si>
  <si>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</si>
  <si>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</si>
  <si>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</si>
  <si>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</si>
  <si>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</si>
  <si>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</si>
  <si>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</si>
  <si>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</si>
  <si>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</si>
  <si>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</si>
  <si>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</si>
  <si>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</si>
  <si>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</si>
  <si>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</si>
  <si>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</si>
  <si>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</si>
  <si>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</si>
  <si>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</si>
  <si>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</si>
  <si>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</si>
  <si>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</si>
  <si>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</si>
  <si>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</si>
  <si>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</si>
  <si>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</si>
  <si>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</si>
  <si>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</si>
  <si>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</si>
  <si>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</si>
  <si>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</si>
  <si>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</si>
  <si>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</si>
  <si>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</si>
  <si>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</si>
  <si>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</si>
  <si>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</si>
  <si>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</si>
  <si>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</si>
  <si>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</si>
  <si>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</si>
  <si>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</si>
  <si>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</si>
  <si>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</si>
  <si>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</si>
  <si>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</si>
  <si>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</si>
  <si>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</si>
  <si>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</si>
  <si>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</si>
  <si>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</si>
  <si>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</si>
  <si>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</si>
  <si>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</si>
  <si>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</si>
  <si>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</si>
  <si>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</si>
  <si>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</si>
  <si>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</si>
  <si>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</si>
  <si>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</si>
  <si>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</si>
  <si>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</si>
  <si>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</si>
  <si>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</si>
  <si>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</si>
  <si>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</si>
  <si>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</si>
  <si>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</si>
  <si>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</si>
  <si>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</si>
  <si>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</si>
  <si>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</si>
  <si>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</si>
  <si>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</si>
  <si>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</si>
  <si>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</si>
  <si>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</si>
  <si>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</si>
  <si>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</si>
  <si>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</si>
  <si>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</si>
  <si>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</si>
  <si>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</si>
  <si>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</si>
  <si>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</si>
  <si>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</si>
  <si>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</si>
  <si>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</si>
  <si>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</si>
  <si>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</si>
  <si>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</si>
  <si>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</si>
  <si>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</si>
  <si>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</si>
  <si>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</si>
  <si>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</si>
  <si>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</si>
  <si>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</si>
  <si>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</si>
  <si>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</si>
  <si>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</si>
  <si>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</si>
  <si>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</si>
  <si>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</si>
  <si>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</si>
  <si>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</si>
  <si>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</si>
  <si>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</si>
  <si>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</si>
  <si>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</si>
  <si>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</si>
  <si>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</si>
  <si>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</si>
  <si>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</si>
  <si>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</si>
  <si>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</si>
  <si>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</si>
  <si>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</si>
  <si>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</si>
  <si>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</si>
  <si>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</si>
  <si>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</si>
  <si>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</si>
  <si>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</si>
  <si>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</si>
  <si>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</si>
  <si>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</si>
  <si>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</si>
  <si>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</si>
  <si>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</si>
  <si>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</si>
  <si>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</si>
  <si>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</si>
  <si>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</si>
  <si>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</si>
  <si>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</si>
  <si>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</si>
  <si>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</si>
  <si>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</si>
  <si>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</si>
  <si>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</si>
  <si>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</si>
  <si>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</si>
  <si>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</si>
  <si>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</si>
  <si>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</si>
  <si>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</si>
  <si>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</si>
  <si>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</si>
  <si>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</si>
  <si>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</si>
  <si>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</si>
  <si>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</si>
  <si>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</si>
  <si>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</si>
  <si>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</si>
  <si>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</si>
  <si>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</si>
  <si>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</si>
  <si>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</si>
  <si>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</si>
  <si>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</si>
  <si>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</si>
  <si>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</si>
  <si>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</si>
  <si>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</si>
  <si>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</si>
  <si>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</si>
  <si>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</si>
  <si>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</si>
  <si>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</si>
  <si>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</si>
  <si>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</si>
  <si>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</si>
  <si>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</si>
  <si>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</si>
  <si>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</si>
  <si>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</si>
  <si>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</si>
  <si>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</si>
  <si>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</si>
  <si>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</si>
  <si>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</si>
  <si>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</si>
  <si>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</si>
  <si>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</si>
  <si>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</si>
  <si>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</si>
  <si>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</si>
  <si>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</si>
  <si>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</si>
  <si>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</si>
  <si>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</si>
  <si>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</si>
  <si>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</si>
  <si>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</si>
  <si>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</si>
  <si>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</si>
  <si>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</si>
  <si>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</si>
  <si>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</si>
  <si>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</si>
  <si>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</si>
  <si>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</si>
  <si>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</si>
  <si>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</si>
  <si>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</si>
  <si>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</si>
  <si>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</si>
  <si>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</si>
  <si>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</si>
  <si>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</si>
  <si>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</si>
  <si>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</si>
  <si>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</si>
  <si>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</si>
  <si>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</si>
  <si>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</si>
  <si>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</si>
  <si>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</si>
  <si>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</si>
  <si>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</si>
  <si>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</si>
  <si>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</si>
  <si>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</si>
  <si>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</si>
  <si>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</si>
  <si>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</si>
  <si>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</si>
  <si>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</si>
  <si>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</si>
  <si>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</si>
  <si>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</si>
  <si>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</si>
  <si>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</si>
  <si>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</si>
  <si>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</si>
  <si>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</si>
  <si>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</si>
  <si>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</si>
  <si>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</si>
  <si>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</si>
  <si>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</si>
  <si>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</si>
  <si>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</si>
  <si>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</si>
  <si>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</si>
  <si>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</si>
  <si>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</si>
  <si>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</si>
  <si>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</si>
  <si>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</si>
  <si>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</si>
  <si>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</si>
  <si>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</si>
  <si>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</si>
  <si>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</si>
  <si>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</si>
  <si>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</si>
  <si>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</si>
  <si>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</si>
  <si>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</si>
  <si>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</si>
  <si>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</si>
  <si>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</si>
  <si>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</si>
  <si>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</si>
  <si>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</si>
  <si>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</si>
  <si>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</si>
  <si>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</si>
  <si>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</si>
  <si>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</si>
  <si>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</si>
  <si>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</si>
  <si>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</si>
  <si>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</si>
  <si>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</si>
  <si>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</si>
  <si>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</si>
  <si>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</si>
  <si>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</si>
  <si>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</si>
  <si>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</si>
  <si>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</si>
  <si>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</si>
  <si>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</si>
  <si>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</si>
  <si>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</si>
  <si>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</si>
  <si>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</si>
  <si>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</si>
  <si>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</si>
  <si>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</si>
  <si>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</si>
  <si>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</si>
  <si>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</si>
  <si>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</si>
  <si>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</si>
  <si>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</si>
  <si>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</si>
  <si>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</si>
  <si>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</si>
  <si>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</si>
  <si>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</si>
  <si>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</si>
  <si>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</si>
  <si>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</si>
  <si>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</si>
  <si>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</si>
  <si>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</si>
  <si>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</si>
  <si>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</si>
  <si>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</si>
  <si>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</si>
  <si>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</si>
  <si>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</si>
  <si>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</si>
  <si>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</si>
  <si>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</si>
  <si>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</si>
  <si>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</si>
  <si>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</si>
  <si>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</si>
  <si>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</si>
  <si>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</si>
  <si>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</si>
  <si>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</si>
  <si>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</si>
  <si>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</si>
  <si>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</si>
  <si>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</si>
  <si>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</si>
  <si>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</si>
  <si>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</si>
  <si>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</si>
  <si>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</si>
  <si>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</si>
  <si>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</si>
  <si>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</si>
  <si>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</si>
  <si>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</si>
  <si>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</si>
  <si>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</si>
  <si>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</si>
  <si>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</si>
  <si>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</si>
  <si>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</si>
  <si>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</si>
  <si>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</si>
  <si>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</si>
  <si>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</si>
  <si>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</si>
  <si>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</si>
  <si>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</si>
  <si>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</si>
  <si>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</si>
  <si>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</si>
  <si>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</si>
  <si>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</si>
  <si>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</si>
  <si>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</si>
  <si>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</si>
  <si>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</si>
  <si>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</si>
  <si>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</si>
  <si>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</si>
  <si>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</si>
  <si>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</si>
  <si>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</si>
  <si>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</si>
  <si>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</si>
  <si>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</si>
  <si>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</si>
  <si>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</si>
  <si>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</si>
  <si>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</si>
  <si>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</si>
  <si>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</si>
  <si>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</si>
  <si>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</si>
  <si>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</si>
  <si>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</si>
  <si>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</si>
  <si>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</si>
  <si>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</si>
  <si>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</si>
  <si>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</si>
  <si>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</si>
  <si>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</si>
  <si>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</si>
  <si>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</si>
  <si>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</si>
  <si>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</si>
  <si>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</si>
  <si>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</si>
  <si>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</si>
  <si>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</si>
  <si>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</si>
  <si>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</si>
  <si>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</si>
  <si>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</si>
  <si>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</si>
  <si>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</si>
  <si>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</si>
  <si>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</si>
  <si>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</si>
  <si>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</si>
  <si>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</si>
  <si>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</si>
  <si>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</si>
  <si>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</si>
  <si>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</si>
  <si>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</si>
  <si>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</si>
  <si>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</si>
  <si>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</si>
  <si>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</si>
  <si>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</si>
  <si>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</si>
  <si>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</si>
  <si>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</si>
  <si>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</si>
  <si>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</si>
  <si>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</si>
  <si>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</si>
  <si>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</si>
  <si>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</si>
  <si>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</si>
  <si>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</si>
  <si>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</si>
  <si>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</si>
  <si>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</si>
  <si>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</si>
  <si>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</si>
  <si>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</si>
  <si>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</si>
  <si>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</si>
  <si>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</si>
  <si>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</si>
  <si>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</si>
  <si>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</si>
  <si>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</si>
  <si>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</si>
  <si>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</si>
  <si>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</si>
  <si>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</si>
  <si>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</si>
  <si>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</si>
  <si>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</si>
  <si>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</si>
  <si>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</si>
  <si>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</si>
  <si>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</si>
  <si>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</si>
  <si>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</si>
  <si>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</si>
  <si>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</si>
  <si>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</si>
  <si>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</si>
  <si>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</si>
  <si>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</si>
  <si>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</si>
  <si>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</si>
  <si>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</si>
  <si>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</si>
  <si>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</si>
  <si>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</si>
  <si>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</si>
  <si>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</si>
  <si>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</si>
  <si>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</si>
  <si>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</si>
  <si>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</si>
  <si>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</si>
  <si>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</si>
  <si>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</si>
  <si>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</si>
  <si>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</si>
  <si>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</si>
  <si>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</si>
  <si>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</si>
  <si>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</si>
  <si>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</si>
  <si>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</si>
  <si>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</si>
  <si>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</si>
  <si>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</si>
  <si>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</si>
  <si>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</si>
  <si>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</si>
  <si>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</si>
  <si>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</si>
  <si>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</si>
  <si>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</si>
  <si>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</si>
  <si>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</si>
  <si>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</si>
  <si>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</si>
  <si>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</si>
  <si>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</si>
  <si>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</si>
  <si>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</si>
  <si>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</si>
  <si>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</si>
  <si>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</si>
  <si>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</si>
  <si>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</si>
  <si>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</si>
  <si>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</si>
  <si>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</si>
  <si>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</si>
  <si>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</si>
  <si>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</si>
  <si>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</si>
  <si>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</si>
  <si>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</si>
  <si>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</si>
  <si>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</si>
  <si>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</si>
  <si>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</si>
  <si>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</si>
  <si>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</si>
  <si>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</si>
  <si>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</si>
  <si>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</si>
  <si>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</si>
  <si>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</si>
  <si>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</si>
  <si>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</si>
  <si>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</si>
  <si>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</si>
  <si>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</si>
  <si>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</si>
  <si>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</si>
  <si>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</si>
  <si>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</si>
  <si>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</si>
  <si>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</si>
  <si>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</si>
  <si>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</si>
  <si>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</si>
  <si>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</si>
  <si>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</si>
  <si>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</si>
  <si>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</si>
  <si>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</si>
  <si>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</si>
  <si>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</si>
  <si>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</si>
  <si>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</si>
  <si>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</si>
  <si>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</si>
  <si>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</si>
  <si>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</si>
  <si>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</si>
  <si>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</si>
  <si>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</si>
  <si>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</si>
  <si>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</si>
  <si>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</si>
  <si>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</si>
  <si>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</si>
  <si>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</si>
  <si>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</si>
  <si>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</si>
  <si>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</si>
  <si>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</si>
  <si>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</si>
  <si>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</si>
  <si>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</si>
  <si>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</si>
  <si>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</si>
  <si>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</si>
  <si>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</si>
  <si>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</si>
  <si>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</si>
  <si>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</si>
  <si>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</si>
  <si>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</si>
  <si>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</si>
  <si>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</si>
  <si>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</si>
  <si>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</si>
  <si>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</si>
  <si>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</si>
  <si>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</si>
  <si>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</si>
  <si>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</si>
  <si>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</si>
  <si>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</si>
  <si>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</si>
  <si>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</si>
  <si>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</si>
  <si>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</si>
  <si>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</si>
  <si>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</si>
  <si>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</si>
  <si>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</si>
  <si>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</si>
  <si>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</si>
  <si>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</si>
  <si>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</si>
  <si>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</si>
  <si>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</si>
  <si>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</si>
  <si>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</si>
  <si>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</si>
  <si>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</si>
  <si>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</si>
  <si>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</si>
  <si>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</si>
  <si>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</si>
  <si>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</si>
  <si>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</si>
  <si>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</si>
  <si>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</si>
  <si>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</si>
  <si>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</si>
  <si>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</si>
  <si>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</si>
  <si>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</si>
  <si>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</si>
  <si>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</si>
  <si>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</si>
  <si>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</si>
  <si>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</si>
  <si>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</si>
  <si>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</si>
  <si>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</si>
  <si>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</si>
  <si>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</si>
  <si>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</si>
  <si>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</si>
  <si>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</si>
  <si>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</si>
  <si>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</si>
  <si>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</si>
  <si>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</si>
  <si>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</si>
  <si>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</si>
  <si>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</si>
  <si>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</si>
  <si>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</si>
  <si>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</si>
  <si>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</si>
  <si>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</si>
  <si>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</si>
  <si>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</si>
  <si>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</si>
  <si>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</si>
  <si>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</si>
  <si>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</si>
  <si>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</si>
  <si>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</si>
  <si>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</si>
  <si>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</si>
  <si>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</si>
  <si>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</si>
  <si>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</si>
  <si>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</si>
  <si>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</si>
  <si>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</si>
  <si>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</si>
  <si>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</si>
  <si>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</si>
  <si>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</si>
  <si>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</si>
  <si>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</si>
  <si>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</si>
  <si>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</si>
  <si>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</si>
  <si>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</si>
  <si>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</si>
  <si>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</si>
  <si>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</si>
  <si>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</si>
  <si>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</si>
  <si>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</si>
  <si>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</si>
  <si>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</si>
  <si>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</si>
  <si>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</si>
  <si>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</si>
  <si>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</si>
  <si>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</si>
  <si>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</si>
  <si>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</si>
  <si>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</si>
  <si>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</si>
  <si>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</si>
  <si>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</si>
  <si>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</si>
  <si>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</si>
  <si>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</si>
  <si>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</si>
  <si>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</si>
  <si>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</si>
  <si>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</si>
  <si>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</si>
  <si>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</si>
  <si>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</si>
  <si>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</si>
  <si>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</si>
  <si>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</si>
  <si>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</si>
  <si>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</si>
  <si>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</si>
  <si>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</si>
  <si>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</si>
  <si>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</si>
  <si>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</si>
  <si>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</si>
  <si>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</si>
  <si>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</si>
  <si>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</si>
  <si>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</si>
  <si>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</si>
  <si>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</si>
  <si>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</si>
  <si>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</si>
  <si>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</si>
  <si>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</si>
  <si>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</si>
  <si>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</si>
  <si>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</si>
  <si>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</si>
  <si>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</si>
  <si>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</si>
  <si>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</si>
  <si>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</si>
  <si>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</si>
  <si>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</si>
  <si>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</si>
  <si>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</si>
  <si>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</si>
  <si>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</si>
  <si>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</si>
  <si>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</si>
  <si>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</si>
  <si>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</si>
  <si>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</si>
  <si>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</si>
  <si>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</si>
  <si>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</si>
  <si>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</si>
  <si>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</si>
  <si>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</si>
  <si>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</si>
  <si>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</si>
  <si>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</si>
  <si>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</si>
  <si>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</si>
  <si>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</si>
  <si>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</si>
  <si>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</si>
  <si>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</si>
  <si>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</si>
  <si>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</si>
  <si>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</si>
  <si>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</si>
  <si>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</si>
  <si>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</si>
  <si>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</si>
  <si>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</si>
  <si>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</si>
  <si>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</si>
  <si>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</si>
  <si>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</si>
  <si>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</si>
  <si>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</si>
  <si>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</si>
  <si>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</si>
  <si>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</si>
  <si>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</si>
  <si>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</si>
  <si>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</si>
  <si>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</si>
  <si>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</si>
  <si>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</si>
  <si>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</si>
  <si>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</si>
  <si>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</si>
  <si>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</si>
  <si>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</si>
  <si>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</si>
  <si>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</si>
  <si>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</si>
  <si>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</si>
  <si>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</si>
  <si>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</si>
  <si>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</si>
  <si>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</si>
  <si>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</si>
  <si>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</si>
  <si>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</si>
  <si>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</si>
  <si>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</si>
  <si>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</si>
  <si>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</si>
  <si>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</si>
  <si>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</si>
  <si>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</si>
  <si>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</si>
  <si>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</si>
  <si>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</si>
  <si>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</si>
  <si>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</si>
  <si>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</si>
  <si>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</si>
  <si>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</si>
  <si>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</si>
  <si>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</si>
  <si>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</si>
  <si>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</si>
  <si>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</si>
  <si>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</si>
  <si>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</si>
  <si>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</si>
  <si>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</si>
  <si>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</si>
  <si>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</si>
  <si>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</si>
  <si>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</si>
  <si>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</si>
  <si>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</si>
  <si>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</si>
  <si>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</si>
  <si>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</si>
  <si>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</si>
  <si>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</si>
  <si>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</si>
  <si>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</si>
  <si>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</si>
  <si>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</si>
  <si>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</si>
  <si>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</si>
  <si>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</si>
  <si>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</si>
  <si>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</si>
  <si>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</si>
  <si>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</si>
  <si>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</si>
  <si>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</si>
  <si>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</si>
  <si>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</si>
  <si>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</si>
  <si>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</si>
  <si>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</si>
  <si>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</si>
  <si>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</si>
  <si>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</si>
  <si>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</si>
  <si>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</si>
  <si>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</si>
  <si>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</si>
  <si>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</si>
  <si>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</si>
  <si>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</si>
  <si>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北京市</t>
  </si>
  <si>
    <t>企业</t>
  </si>
  <si>
    <t>出让</t>
  </si>
  <si>
    <t>Ⅰ—01</t>
  </si>
  <si>
    <t>地上</t>
  </si>
  <si>
    <t>是</t>
  </si>
  <si>
    <t>地下</t>
  </si>
  <si>
    <t>办公</t>
    <phoneticPr fontId="7" type="noConversion"/>
  </si>
  <si>
    <t>成新度</t>
  </si>
  <si>
    <t>利息：取LPR加浮动点数</t>
  </si>
  <si>
    <t>商务金融用地（办公类）</t>
  </si>
  <si>
    <t>不临58条商业街</t>
  </si>
  <si>
    <t>通路</t>
  </si>
  <si>
    <t>通讯</t>
  </si>
  <si>
    <t>通电</t>
  </si>
  <si>
    <t>通上水</t>
  </si>
  <si>
    <t>通下水</t>
  </si>
  <si>
    <t>燃气</t>
  </si>
  <si>
    <t>平整</t>
  </si>
  <si>
    <t>通热</t>
  </si>
  <si>
    <t>与级别开发程度一致</t>
  </si>
  <si>
    <t>按公示增长率计算</t>
  </si>
  <si>
    <t>容积率修正</t>
  </si>
  <si>
    <t>自定义容积率</t>
  </si>
  <si>
    <t>序号</t>
  </si>
  <si>
    <t>《国有土地使用证》</t>
  </si>
  <si>
    <t>土地证号</t>
  </si>
  <si>
    <t>土地使用权人</t>
  </si>
  <si>
    <t>座落</t>
  </si>
  <si>
    <t>地类（用途）</t>
  </si>
  <si>
    <t>终止日期</t>
  </si>
  <si>
    <t>土地面积（㎡）</t>
  </si>
  <si>
    <t>容积率</t>
  </si>
  <si>
    <t>总建筑面积（㎡）</t>
  </si>
  <si>
    <t>使用权类型</t>
  </si>
  <si>
    <t>北京香江鼎富酒店有限公司</t>
  </si>
  <si>
    <t>北京市东城区南湾子胡同1号</t>
  </si>
  <si>
    <t>商务金融用地（办公）</t>
  </si>
  <si>
    <t>北京市东城区南河沿大街99号</t>
  </si>
  <si>
    <t>机关团体用地（办公）</t>
  </si>
  <si>
    <t>《房屋所有权证》</t>
  </si>
  <si>
    <t>房屋所有权证号</t>
  </si>
  <si>
    <t>房屋所有权人</t>
  </si>
  <si>
    <t>房屋坐落</t>
  </si>
  <si>
    <t>总层数</t>
  </si>
  <si>
    <t>建筑面积</t>
  </si>
  <si>
    <t>建筑结构</t>
  </si>
  <si>
    <t>层次</t>
  </si>
  <si>
    <t>1幢</t>
  </si>
  <si>
    <t>2幢</t>
  </si>
  <si>
    <t>3幢</t>
  </si>
  <si>
    <t>4幢</t>
  </si>
  <si>
    <t>5幢</t>
  </si>
  <si>
    <t>6幢</t>
  </si>
  <si>
    <t>7幢</t>
  </si>
  <si>
    <t>X京房权证东字第105301号</t>
  </si>
  <si>
    <t>东城区南湾子胡同1号5幢-1至2层101</t>
  </si>
  <si>
    <t>2（-1）</t>
  </si>
  <si>
    <t>混合</t>
  </si>
  <si>
    <t>X京房权证东字第105303号</t>
  </si>
  <si>
    <t>东城区南湾子胡同1号4幢1层101</t>
  </si>
  <si>
    <t>X京房权证东字第104811号</t>
  </si>
  <si>
    <t>东城区南湾子胡同1号3幢1至3层101</t>
  </si>
  <si>
    <t>X京房权证东字第104801号</t>
  </si>
  <si>
    <t>东城区南湾子胡同1号2幢2层101</t>
  </si>
  <si>
    <t>东城区南湾子胡同1号1幢-1至3层101</t>
  </si>
  <si>
    <t>3（-1）</t>
  </si>
  <si>
    <t>X京房权证东字第117089号</t>
  </si>
  <si>
    <t>东城区南河沿大街99号</t>
  </si>
  <si>
    <t>1（-1）</t>
  </si>
  <si>
    <t>1层</t>
  </si>
  <si>
    <t>（-1）层</t>
  </si>
  <si>
    <t>其他</t>
  </si>
  <si>
    <t>一般</t>
  </si>
  <si>
    <t>较好</t>
  </si>
  <si>
    <t>好</t>
  </si>
  <si>
    <t>收益法</t>
  </si>
  <si>
    <t>自定义</t>
  </si>
  <si>
    <t>按房产原值计税</t>
  </si>
  <si>
    <t>钢混</t>
  </si>
  <si>
    <t>非生产用房</t>
  </si>
  <si>
    <t>成本法</t>
  </si>
  <si>
    <t>未包含在土地购买价格中</t>
  </si>
  <si>
    <t>全部缴纳</t>
  </si>
  <si>
    <t>已包含在土地取得成本中</t>
  </si>
  <si>
    <t>总价</t>
  </si>
  <si>
    <t>成本比率</t>
  </si>
  <si>
    <t>北京香江戴斯酒店近三年经营表现</t>
  </si>
  <si>
    <t>项目</t>
  </si>
  <si>
    <t>2017年</t>
  </si>
  <si>
    <t>2018年</t>
  </si>
  <si>
    <t>2019年</t>
  </si>
  <si>
    <t>毛收入</t>
  </si>
  <si>
    <t>1-1</t>
  </si>
  <si>
    <t>客房收入</t>
  </si>
  <si>
    <t>1-2</t>
  </si>
  <si>
    <t>餐饮收入</t>
  </si>
  <si>
    <t>1-3</t>
  </si>
  <si>
    <t>会议中心收入</t>
  </si>
  <si>
    <t>1-4</t>
  </si>
  <si>
    <t>康体娱乐收入</t>
  </si>
  <si>
    <t>1-5</t>
  </si>
  <si>
    <t>店铺收入</t>
  </si>
  <si>
    <t>1-6</t>
  </si>
  <si>
    <t>其他收入</t>
  </si>
  <si>
    <t>毛收入合计</t>
  </si>
  <si>
    <t>运营费用及税费</t>
  </si>
  <si>
    <t>2-1</t>
  </si>
  <si>
    <t>经营成本</t>
  </si>
  <si>
    <t>2-1-1</t>
  </si>
  <si>
    <t>客房经营成本</t>
  </si>
  <si>
    <t>2-1-2</t>
  </si>
  <si>
    <t>餐饮经营成本</t>
  </si>
  <si>
    <t>2-1-3</t>
  </si>
  <si>
    <t>会议经营成本</t>
    <phoneticPr fontId="140" type="noConversion"/>
  </si>
  <si>
    <t>2-1-4</t>
  </si>
  <si>
    <t>康体娱乐经营成本</t>
  </si>
  <si>
    <t>2-1-5</t>
  </si>
  <si>
    <t>其他经营成本</t>
  </si>
  <si>
    <t>2-2</t>
  </si>
  <si>
    <t>运营费用</t>
  </si>
  <si>
    <t>2-2-1</t>
  </si>
  <si>
    <t>维修费用</t>
  </si>
  <si>
    <t>2-2-2</t>
  </si>
  <si>
    <t>保险费</t>
  </si>
  <si>
    <t>2-2-3</t>
  </si>
  <si>
    <t>市场营销费用</t>
  </si>
  <si>
    <t>2-2-4</t>
  </si>
  <si>
    <t>工资费用</t>
  </si>
  <si>
    <t>2-2-5</t>
  </si>
  <si>
    <t>管理费用</t>
  </si>
  <si>
    <t>2-2-6</t>
  </si>
  <si>
    <t>能源费用</t>
  </si>
  <si>
    <t>2-2-7</t>
  </si>
  <si>
    <t>其他运营费用</t>
  </si>
  <si>
    <t>2-3</t>
  </si>
  <si>
    <t>相关税费</t>
  </si>
  <si>
    <t>2-3-1</t>
  </si>
  <si>
    <t>房产税</t>
  </si>
  <si>
    <t>2-3-2</t>
  </si>
  <si>
    <t>增值税及其附加</t>
  </si>
  <si>
    <t>2-3-3</t>
  </si>
  <si>
    <t>土地使用税</t>
  </si>
  <si>
    <t>运营费用及税费合计</t>
  </si>
  <si>
    <t>经营净现金流</t>
  </si>
  <si>
    <t>管理公司计提管理费</t>
  </si>
  <si>
    <t>3-1</t>
  </si>
  <si>
    <t>基本管理费</t>
  </si>
  <si>
    <t>3-2</t>
  </si>
  <si>
    <t>奖励管理费</t>
  </si>
  <si>
    <t>3-3</t>
  </si>
  <si>
    <t>推广服务费</t>
  </si>
  <si>
    <t>其他数据</t>
  </si>
  <si>
    <t>4-1</t>
  </si>
  <si>
    <t>房间数</t>
  </si>
  <si>
    <t>4-2</t>
  </si>
  <si>
    <t>入住率</t>
  </si>
  <si>
    <t>4-3</t>
  </si>
  <si>
    <t>平均房价</t>
  </si>
  <si>
    <t>4-4</t>
  </si>
  <si>
    <t>住店客人总数</t>
  </si>
  <si>
    <t>4-5</t>
  </si>
  <si>
    <t>酒店员工人数</t>
  </si>
  <si>
    <t>酒店经营情况</t>
  </si>
  <si>
    <t>基本信息</t>
  </si>
  <si>
    <t>酒店名称</t>
  </si>
  <si>
    <t xml:space="preserve">          北京香江戴斯酒店</t>
  </si>
  <si>
    <t>酒店地址</t>
  </si>
  <si>
    <t>北京市东城区南河沿大街南湾子胡同1号</t>
  </si>
  <si>
    <t>竣工时间</t>
  </si>
  <si>
    <t>开业时间</t>
  </si>
  <si>
    <t>2007.7.4</t>
  </si>
  <si>
    <t>客房数量</t>
  </si>
  <si>
    <t>最近一次装修时间</t>
  </si>
  <si>
    <t>无</t>
  </si>
  <si>
    <t>位置</t>
  </si>
  <si>
    <t>#1</t>
  </si>
  <si>
    <t>#3</t>
  </si>
  <si>
    <t>#4</t>
  </si>
  <si>
    <t>总计</t>
  </si>
  <si>
    <t>地上层数</t>
  </si>
  <si>
    <t>3层</t>
  </si>
  <si>
    <t>地上建筑面积（㎡）</t>
  </si>
  <si>
    <t>地上面积</t>
  </si>
  <si>
    <t>地下层数</t>
  </si>
  <si>
    <t>地下建筑面积（㎡）</t>
  </si>
  <si>
    <t>地下面积</t>
  </si>
  <si>
    <t>总楼层</t>
  </si>
  <si>
    <t>4层</t>
  </si>
  <si>
    <t>总面积</t>
  </si>
  <si>
    <t>会议室面积</t>
  </si>
  <si>
    <t>酒店客房收益情况</t>
  </si>
  <si>
    <t>房间种类</t>
  </si>
  <si>
    <t>所在楼层</t>
  </si>
  <si>
    <t>间数（间）</t>
  </si>
  <si>
    <t>面积（㎡）</t>
  </si>
  <si>
    <t>门市价格（元/间/天）</t>
  </si>
  <si>
    <t>折扣价格（元/间/天）</t>
  </si>
  <si>
    <t>平均折扣率</t>
  </si>
  <si>
    <t>年平均使用率</t>
  </si>
  <si>
    <t>备注</t>
  </si>
  <si>
    <t>餐厅面积</t>
  </si>
  <si>
    <t>经济间</t>
  </si>
  <si>
    <t>地下1层</t>
  </si>
  <si>
    <t>豪华间</t>
  </si>
  <si>
    <t>1-3层</t>
  </si>
  <si>
    <t>20-23</t>
  </si>
  <si>
    <t>家庭间</t>
  </si>
  <si>
    <t>1-2层</t>
  </si>
  <si>
    <t>特价单人间</t>
  </si>
  <si>
    <t>15-18</t>
  </si>
  <si>
    <t>商务/复式套房</t>
  </si>
  <si>
    <t>45-65</t>
  </si>
  <si>
    <t>1988/2188</t>
  </si>
  <si>
    <t>1388/1588</t>
  </si>
  <si>
    <t>酒店会议室收益情况</t>
  </si>
  <si>
    <t>会议室名称</t>
  </si>
  <si>
    <t>容纳人数（人/次/间）</t>
  </si>
  <si>
    <t>1号会议室</t>
  </si>
  <si>
    <t>酒店餐饮及康体娱乐收益情况</t>
  </si>
  <si>
    <t>项目名称</t>
  </si>
  <si>
    <t>餐饮类型</t>
  </si>
  <si>
    <t>餐位数</t>
  </si>
  <si>
    <t>日用餐次数（次/天）</t>
  </si>
  <si>
    <t>人均消费（元/次/人）</t>
  </si>
  <si>
    <t>年平均上座率</t>
  </si>
  <si>
    <t>酒店餐厅</t>
  </si>
  <si>
    <t>一层</t>
  </si>
  <si>
    <t>中西餐</t>
  </si>
  <si>
    <t>地下车库情况</t>
  </si>
  <si>
    <t>车位个数（个）</t>
  </si>
  <si>
    <t>收费标准</t>
  </si>
  <si>
    <t>使用率</t>
  </si>
  <si>
    <t xml:space="preserve"> </t>
  </si>
  <si>
    <t>售价</t>
  </si>
  <si>
    <t>正常</t>
  </si>
  <si>
    <t>七通</t>
  </si>
  <si>
    <t>比较法-办公</t>
  </si>
  <si>
    <t>钢混</t>
    <phoneticPr fontId="32" type="noConversion"/>
  </si>
  <si>
    <t>混合</t>
    <phoneticPr fontId="32" type="noConversion"/>
  </si>
  <si>
    <t>精装</t>
  </si>
  <si>
    <t>精装</t>
    <phoneticPr fontId="32" type="noConversion"/>
  </si>
  <si>
    <t>普装</t>
    <phoneticPr fontId="32" type="noConversion"/>
  </si>
  <si>
    <t>简装</t>
    <phoneticPr fontId="32" type="noConversion"/>
  </si>
  <si>
    <t>毛坯</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</si>
  <si>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</si>
  <si>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</si>
  <si>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</si>
  <si>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</si>
  <si>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</si>
  <si>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86970</t>
    <phoneticPr fontId="32" type="noConversion"/>
  </si>
  <si>
    <t>金宝街21号</t>
    <phoneticPr fontId="3" type="noConversion"/>
  </si>
  <si>
    <t>情况4</t>
  </si>
  <si>
    <t>转让取得</t>
  </si>
  <si>
    <t>非个人房产</t>
  </si>
  <si>
    <t>——</t>
    <phoneticPr fontId="140" type="noConversion"/>
  </si>
  <si>
    <t>买卖合同</t>
  </si>
  <si>
    <t>买卖合同（元）</t>
    <phoneticPr fontId="140" type="noConversion"/>
  </si>
  <si>
    <t>签订日期</t>
    <phoneticPr fontId="140" type="noConversion"/>
  </si>
  <si>
    <t>合计</t>
    <phoneticPr fontId="140" type="noConversion"/>
  </si>
  <si>
    <t>2016年5月1日前购买</t>
  </si>
  <si>
    <t>办公</t>
    <phoneticPr fontId="32" type="noConversion"/>
  </si>
  <si>
    <t>普装</t>
  </si>
  <si>
    <t>地安门东大街89号</t>
    <phoneticPr fontId="3" type="noConversion"/>
  </si>
  <si>
    <t>高速路</t>
    <phoneticPr fontId="32" type="noConversion"/>
  </si>
  <si>
    <t>快速路</t>
    <phoneticPr fontId="32" type="noConversion"/>
  </si>
  <si>
    <t>主干道</t>
  </si>
  <si>
    <t>主干道</t>
    <phoneticPr fontId="32" type="noConversion"/>
  </si>
  <si>
    <t>次干道</t>
  </si>
  <si>
    <t>次干道</t>
    <phoneticPr fontId="32" type="noConversion"/>
  </si>
  <si>
    <t>支路</t>
  </si>
  <si>
    <t>支路</t>
    <phoneticPr fontId="32" type="noConversion"/>
  </si>
  <si>
    <t>新华文化大厦</t>
    <phoneticPr fontId="3" type="noConversion"/>
  </si>
  <si>
    <t>多层建筑</t>
  </si>
  <si>
    <t>多层建筑</t>
    <phoneticPr fontId="32" type="noConversion"/>
  </si>
  <si>
    <t>差</t>
  </si>
  <si>
    <t>改为装修情况</t>
    <phoneticPr fontId="32" type="noConversion"/>
  </si>
  <si>
    <t>改为商服繁华程度</t>
    <phoneticPr fontId="32" type="noConversion"/>
  </si>
  <si>
    <t>郑燚</t>
  </si>
  <si>
    <t>吴薇</t>
  </si>
  <si>
    <t>京东国用（2015出）第00229号</t>
    <phoneticPr fontId="140" type="noConversion"/>
  </si>
  <si>
    <t>京东国用（2015出）第00391号</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</si>
</sst>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 "/>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华文细黑"/>
      <family val="3"/>
      <charset val="134"/>
    </font>
    <font>
      <b/>
      <sz val="10"/>
      <color theme="1"/>
      <name val="华文细黑"/>
      <family val="3"/>
      <charset val="134"/>
    </font>
    <font>
      <sz val="12"/>
      <name val="新細明體"/>
      <family val="1"/>
      <charset val="134"/>
    </font>
    <font>
      <b/>
      <sz val="14"/>
      <name val="华文细黑"/>
      <family val="3"/>
      <charset val="134"/>
    </font>
    <font>
      <sz val="11"/>
      <color theme="1"/>
      <name val="华文细黑"/>
      <family val="3"/>
      <charset val="134"/>
    </font>
    <font>
      <b/>
      <sz val="11"/>
      <color theme="1"/>
      <name val="华文细黑"/>
      <family val="3"/>
      <charset val="134"/>
    </font>
    <font>
      <b/>
      <sz val="11"/>
      <name val="华文细黑"/>
      <family val="3"/>
      <charset val="134"/>
    </font>
    <font>
      <sz val="11"/>
      <name val="华文细黑"/>
      <family val="3"/>
      <charset val="134"/>
    </font>
    <font>
      <b/>
      <i/>
      <sz val="11"/>
      <name val="华文细黑"/>
      <family val="3"/>
      <charset val="134"/>
    </font>
    <font>
      <sz val="11"/>
      <color rgb="FFFF0000"/>
      <name val="华文细黑"/>
      <family val="3"/>
      <charset val="134"/>
    </font>
    <font>
      <b/>
      <sz val="14"/>
      <color indexed="8"/>
      <name val="华文细黑"/>
      <family val="3"/>
      <charset val="134"/>
    </font>
    <font>
      <sz val="11"/>
      <color indexed="8"/>
      <name val="华文细黑"/>
      <family val="3"/>
      <charset val="134"/>
    </font>
    <font>
      <b/>
      <sz val="11"/>
      <color indexed="8"/>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9" tint="-0.249977111117893"/>
        <bgColor indexed="64"/>
      </patternFill>
    </fill>
    <fill>
      <patternFill patternType="solid">
        <fgColor rgb="FFC0AD72"/>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2">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6" fillId="0" borderId="0"/>
    <xf numFmtId="0" fontId="55" fillId="0" borderId="0"/>
    <xf numFmtId="176" fontId="256" fillId="0" borderId="0"/>
    <xf numFmtId="176" fontId="98" fillId="0" borderId="0" applyFont="0" applyFill="0" applyBorder="0" applyAlignment="0" applyProtection="0">
      <alignment vertical="center"/>
    </xf>
    <xf numFmtId="9" fontId="98" fillId="0" borderId="0" applyFont="0" applyFill="0" applyBorder="0" applyAlignment="0" applyProtection="0">
      <alignment vertical="center"/>
    </xf>
  </cellStyleXfs>
  <cellXfs count="35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0" fontId="49" fillId="0" borderId="1" xfId="0" applyNumberFormat="1" applyFont="1" applyBorder="1" applyAlignment="1" applyProtection="1">
      <alignment horizontal="center" vertical="center" wrapText="1"/>
      <protection locked="0"/>
    </xf>
    <xf numFmtId="180"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7"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7" fontId="49" fillId="6" borderId="9" xfId="0" applyNumberFormat="1" applyFont="1" applyFill="1" applyBorder="1" applyAlignment="1" applyProtection="1">
      <alignment horizontal="center" vertical="center" wrapText="1"/>
    </xf>
    <xf numFmtId="177" fontId="49" fillId="6" borderId="10" xfId="0" applyNumberFormat="1" applyFont="1" applyFill="1" applyBorder="1" applyAlignment="1" applyProtection="1">
      <alignment horizontal="center" vertical="center" wrapText="1"/>
    </xf>
    <xf numFmtId="177" fontId="49" fillId="6" borderId="13" xfId="0" applyNumberFormat="1" applyFont="1" applyFill="1" applyBorder="1" applyAlignment="1" applyProtection="1">
      <alignment horizontal="center" vertical="center" wrapText="1"/>
    </xf>
    <xf numFmtId="177" fontId="49" fillId="6" borderId="23" xfId="0" applyNumberFormat="1" applyFont="1" applyFill="1" applyBorder="1" applyAlignment="1" applyProtection="1">
      <alignment horizontal="center" vertical="center" wrapText="1"/>
    </xf>
    <xf numFmtId="177"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7" fontId="49" fillId="0" borderId="2" xfId="0" applyNumberFormat="1" applyFont="1" applyFill="1" applyBorder="1" applyAlignment="1" applyProtection="1">
      <alignment horizontal="center" vertical="center" wrapText="1"/>
      <protection locked="0"/>
    </xf>
    <xf numFmtId="177"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7" fontId="46" fillId="6" borderId="1" xfId="0" applyNumberFormat="1" applyFont="1" applyFill="1" applyBorder="1" applyAlignment="1" applyProtection="1">
      <alignment horizontal="center" vertical="center" wrapText="1"/>
    </xf>
    <xf numFmtId="177" fontId="46" fillId="0" borderId="2" xfId="0" applyNumberFormat="1" applyFont="1" applyFill="1" applyBorder="1" applyAlignment="1" applyProtection="1">
      <alignment horizontal="center" vertical="center" wrapText="1"/>
      <protection locked="0"/>
    </xf>
    <xf numFmtId="177" fontId="46" fillId="6" borderId="2" xfId="0" applyNumberFormat="1" applyFont="1" applyFill="1" applyBorder="1" applyAlignment="1" applyProtection="1">
      <alignment horizontal="center" vertical="center" wrapText="1"/>
    </xf>
    <xf numFmtId="177" fontId="46" fillId="6" borderId="13" xfId="0" applyNumberFormat="1" applyFont="1" applyFill="1" applyBorder="1" applyAlignment="1" applyProtection="1">
      <alignment horizontal="center" vertical="center" wrapText="1"/>
    </xf>
    <xf numFmtId="177" fontId="46" fillId="0" borderId="1" xfId="0" applyNumberFormat="1" applyFont="1" applyBorder="1" applyAlignment="1" applyProtection="1">
      <alignment vertical="center" wrapText="1"/>
      <protection locked="0"/>
    </xf>
    <xf numFmtId="177" fontId="46" fillId="0" borderId="1" xfId="0" applyNumberFormat="1" applyFont="1" applyBorder="1" applyAlignment="1" applyProtection="1">
      <alignment horizontal="center" vertical="center" wrapText="1"/>
      <protection locked="0"/>
    </xf>
    <xf numFmtId="177"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7" fontId="46" fillId="6" borderId="24" xfId="0" applyNumberFormat="1" applyFont="1" applyFill="1" applyBorder="1" applyAlignment="1" applyProtection="1">
      <alignment horizontal="center" vertical="center" wrapText="1"/>
    </xf>
    <xf numFmtId="177"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7"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0"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7"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8" fontId="46" fillId="0" borderId="1" xfId="1" applyNumberFormat="1" applyFont="1" applyFill="1" applyBorder="1" applyAlignment="1" applyProtection="1">
      <alignment vertical="center"/>
      <protection locked="0"/>
    </xf>
    <xf numFmtId="178"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0"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82"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0"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2" fontId="46" fillId="0" borderId="1" xfId="0" applyNumberFormat="1" applyFont="1" applyBorder="1" applyAlignment="1" applyProtection="1">
      <alignment vertical="center"/>
      <protection locked="0"/>
    </xf>
    <xf numFmtId="182"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2"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4" fontId="46" fillId="0" borderId="1" xfId="0" applyNumberFormat="1" applyFont="1" applyBorder="1" applyAlignment="1" applyProtection="1">
      <alignment horizontal="center" vertical="center"/>
      <protection locked="0"/>
    </xf>
    <xf numFmtId="182"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8"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2"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2"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7"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7" fontId="53" fillId="0" borderId="10" xfId="1" applyNumberFormat="1" applyFont="1" applyFill="1" applyBorder="1" applyAlignment="1" applyProtection="1">
      <alignment horizontal="center" vertical="center"/>
      <protection locked="0"/>
    </xf>
    <xf numFmtId="177" fontId="46" fillId="0" borderId="24" xfId="1" applyNumberFormat="1" applyFont="1" applyFill="1" applyBorder="1" applyAlignment="1" applyProtection="1">
      <alignment horizontal="center" vertical="center"/>
      <protection locked="0"/>
    </xf>
    <xf numFmtId="177" fontId="53" fillId="6" borderId="24" xfId="1" applyNumberFormat="1" applyFont="1" applyFill="1" applyBorder="1" applyAlignment="1" applyProtection="1">
      <alignment horizontal="center" vertical="center"/>
    </xf>
    <xf numFmtId="177"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2" fontId="49" fillId="0" borderId="24" xfId="0" applyNumberFormat="1" applyFont="1" applyFill="1" applyBorder="1" applyAlignment="1" applyProtection="1">
      <alignment horizontal="center" vertical="center"/>
      <protection locked="0"/>
    </xf>
    <xf numFmtId="182" fontId="49" fillId="0" borderId="49" xfId="0" applyNumberFormat="1" applyFont="1" applyFill="1" applyBorder="1" applyAlignment="1" applyProtection="1">
      <alignment horizontal="center" vertical="center"/>
      <protection locked="0"/>
    </xf>
    <xf numFmtId="182"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4"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9"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0"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8"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8"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8" fontId="55" fillId="0" borderId="1" xfId="1" applyNumberFormat="1" applyFont="1" applyFill="1" applyBorder="1" applyAlignment="1" applyProtection="1">
      <alignment horizontal="center"/>
      <protection locked="0"/>
    </xf>
    <xf numFmtId="180"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8"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8"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8"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0"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0"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8"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8"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8" fontId="56" fillId="6" borderId="1" xfId="0" applyNumberFormat="1" applyFont="1" applyFill="1" applyBorder="1" applyAlignment="1" applyProtection="1">
      <alignment horizontal="center" vertical="center"/>
    </xf>
    <xf numFmtId="182"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8"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2" fontId="55" fillId="6" borderId="1" xfId="0" applyNumberFormat="1" applyFont="1" applyFill="1" applyBorder="1" applyAlignment="1" applyProtection="1">
      <alignment horizontal="center"/>
    </xf>
    <xf numFmtId="182"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7" fontId="103" fillId="6" borderId="1" xfId="0" applyNumberFormat="1" applyFont="1" applyFill="1" applyBorder="1" applyAlignment="1" applyProtection="1">
      <alignment horizontal="center" vertical="center"/>
    </xf>
    <xf numFmtId="177" fontId="103" fillId="6" borderId="24" xfId="0" applyNumberFormat="1" applyFont="1" applyFill="1" applyBorder="1" applyAlignment="1" applyProtection="1">
      <alignment horizontal="center" vertical="center"/>
    </xf>
    <xf numFmtId="178"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8" fontId="48" fillId="6" borderId="1" xfId="1" applyNumberFormat="1" applyFont="1" applyFill="1" applyBorder="1" applyAlignment="1" applyProtection="1">
      <alignment vertical="center"/>
    </xf>
    <xf numFmtId="178"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8" fontId="49" fillId="6" borderId="1" xfId="0" applyNumberFormat="1" applyFont="1" applyFill="1" applyBorder="1" applyAlignment="1" applyProtection="1">
      <alignment horizontal="center"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8"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8"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2"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2"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80"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2" fontId="49" fillId="6" borderId="8" xfId="0" applyNumberFormat="1" applyFont="1" applyFill="1" applyBorder="1" applyAlignment="1" applyProtection="1">
      <alignment horizontal="center" vertical="center"/>
    </xf>
    <xf numFmtId="182"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4"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0"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0"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7"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2"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5"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5"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7" fontId="52" fillId="6" borderId="38" xfId="0" applyNumberFormat="1" applyFont="1" applyFill="1" applyBorder="1" applyAlignment="1" applyProtection="1">
      <alignment vertical="center" wrapText="1"/>
    </xf>
    <xf numFmtId="187"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7" fontId="52" fillId="6" borderId="47" xfId="0" applyNumberFormat="1" applyFont="1" applyFill="1" applyBorder="1" applyAlignment="1" applyProtection="1">
      <alignment vertical="center" wrapText="1"/>
    </xf>
    <xf numFmtId="190" fontId="53" fillId="0" borderId="0" xfId="0" applyNumberFormat="1" applyFont="1" applyFill="1" applyAlignment="1" applyProtection="1">
      <alignment horizontal="center" vertical="center"/>
      <protection locked="0"/>
    </xf>
    <xf numFmtId="182"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2" fontId="53" fillId="6" borderId="5" xfId="0" applyNumberFormat="1" applyFont="1" applyFill="1" applyBorder="1" applyAlignment="1" applyProtection="1">
      <alignment horizontal="center" vertical="center"/>
    </xf>
    <xf numFmtId="182"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7" fontId="59" fillId="6" borderId="13" xfId="0" applyNumberFormat="1" applyFont="1" applyFill="1" applyBorder="1" applyAlignment="1" applyProtection="1">
      <alignment horizontal="right" vertical="center"/>
    </xf>
    <xf numFmtId="190"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0" fontId="53" fillId="3" borderId="3" xfId="0" applyNumberFormat="1" applyFont="1" applyFill="1" applyBorder="1" applyAlignment="1" applyProtection="1">
      <alignment horizontal="center" vertical="center"/>
      <protection locked="0"/>
    </xf>
    <xf numFmtId="190"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7"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7"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8"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0"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8"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2"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80" fontId="48" fillId="6" borderId="66" xfId="0" applyNumberFormat="1" applyFont="1" applyFill="1" applyBorder="1" applyAlignment="1" applyProtection="1">
      <alignment vertical="center"/>
    </xf>
    <xf numFmtId="180" fontId="48" fillId="6" borderId="32" xfId="0" applyNumberFormat="1" applyFont="1" applyFill="1" applyBorder="1" applyAlignment="1" applyProtection="1">
      <alignment vertical="center"/>
    </xf>
    <xf numFmtId="180"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0" fontId="64" fillId="6" borderId="36" xfId="0" applyNumberFormat="1" applyFont="1" applyFill="1" applyBorder="1" applyAlignment="1" applyProtection="1">
      <alignment horizontal="center" vertical="center"/>
    </xf>
    <xf numFmtId="182"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7"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0" fontId="53" fillId="6" borderId="0" xfId="0" applyNumberFormat="1" applyFont="1" applyFill="1" applyBorder="1" applyAlignment="1" applyProtection="1">
      <alignment horizontal="center"/>
    </xf>
    <xf numFmtId="182"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9"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9"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0" fontId="53" fillId="6" borderId="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2" fontId="109" fillId="6" borderId="65" xfId="0" applyNumberFormat="1" applyFont="1" applyFill="1" applyBorder="1" applyAlignment="1" applyProtection="1">
      <alignment horizontal="center" vertical="center"/>
    </xf>
    <xf numFmtId="180"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2" fontId="103" fillId="0" borderId="1" xfId="0" applyNumberFormat="1" applyFont="1" applyFill="1" applyBorder="1" applyAlignment="1" applyProtection="1">
      <alignment horizontal="center" vertical="center"/>
      <protection locked="0"/>
    </xf>
    <xf numFmtId="178"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2" fontId="49" fillId="0" borderId="1" xfId="0" applyNumberFormat="1" applyFont="1" applyBorder="1" applyAlignment="1" applyProtection="1">
      <alignment vertical="center"/>
      <protection locked="0"/>
    </xf>
    <xf numFmtId="182"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4" fontId="49" fillId="0" borderId="1" xfId="0" applyNumberFormat="1" applyFont="1" applyBorder="1" applyAlignment="1" applyProtection="1">
      <alignment horizontal="center" vertical="center"/>
      <protection locked="0"/>
    </xf>
    <xf numFmtId="182"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8"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8"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2"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8"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7" fontId="49" fillId="0" borderId="1" xfId="0" applyNumberFormat="1" applyFont="1" applyFill="1" applyBorder="1" applyAlignment="1" applyProtection="1">
      <alignment horizontal="center" vertical="center"/>
      <protection locked="0"/>
    </xf>
    <xf numFmtId="187"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7"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0" fontId="49" fillId="6" borderId="1" xfId="1" applyNumberFormat="1" applyFont="1" applyFill="1" applyBorder="1" applyAlignment="1" applyProtection="1">
      <alignment horizontal="center" vertical="center"/>
    </xf>
    <xf numFmtId="182"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8"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8"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8"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7" fontId="49" fillId="3" borderId="0" xfId="0" applyNumberFormat="1" applyFont="1" applyFill="1" applyAlignment="1" applyProtection="1">
      <alignment horizontal="center" vertical="center"/>
      <protection locked="0"/>
    </xf>
    <xf numFmtId="187" fontId="48" fillId="6" borderId="28" xfId="0" applyNumberFormat="1" applyFont="1" applyFill="1" applyBorder="1" applyAlignment="1" applyProtection="1">
      <alignment horizontal="center" vertical="center"/>
    </xf>
    <xf numFmtId="187" fontId="103" fillId="0" borderId="13" xfId="0" applyNumberFormat="1" applyFont="1" applyFill="1" applyBorder="1" applyAlignment="1" applyProtection="1">
      <alignment horizontal="center" vertical="center"/>
      <protection locked="0"/>
    </xf>
    <xf numFmtId="187" fontId="49" fillId="0" borderId="13" xfId="0" applyNumberFormat="1" applyFont="1" applyFill="1" applyBorder="1" applyAlignment="1" applyProtection="1">
      <alignment horizontal="center" vertical="center"/>
      <protection locked="0"/>
    </xf>
    <xf numFmtId="187"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7"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8"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8"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8" fontId="48" fillId="6" borderId="33" xfId="0" applyNumberFormat="1" applyFont="1" applyFill="1" applyBorder="1" applyAlignment="1" applyProtection="1">
      <alignment vertical="center"/>
    </xf>
    <xf numFmtId="178" fontId="48" fillId="6" borderId="52" xfId="0" applyNumberFormat="1" applyFont="1" applyFill="1" applyBorder="1" applyAlignment="1" applyProtection="1">
      <alignment vertical="center"/>
    </xf>
    <xf numFmtId="178"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shrinkToFit="1"/>
      <protection locked="0"/>
    </xf>
    <xf numFmtId="185" fontId="49" fillId="6" borderId="1" xfId="0" applyNumberFormat="1" applyFont="1" applyFill="1" applyBorder="1" applyAlignment="1" applyProtection="1">
      <alignment horizontal="center" vertical="center"/>
    </xf>
    <xf numFmtId="178"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2" fontId="46" fillId="6" borderId="8" xfId="0" applyNumberFormat="1" applyFont="1" applyFill="1" applyBorder="1" applyProtection="1">
      <alignment vertical="center"/>
    </xf>
    <xf numFmtId="182"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8"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9" fontId="60" fillId="6" borderId="24" xfId="0" applyNumberFormat="1" applyFont="1" applyFill="1" applyBorder="1" applyAlignment="1" applyProtection="1">
      <alignment horizontal="center" vertical="center"/>
    </xf>
    <xf numFmtId="179"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9" fontId="60" fillId="6" borderId="49" xfId="0" applyNumberFormat="1" applyFont="1" applyFill="1" applyBorder="1" applyAlignment="1" applyProtection="1">
      <alignment horizontal="center" vertical="center"/>
    </xf>
    <xf numFmtId="178"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0" fontId="53" fillId="6" borderId="0" xfId="0" applyNumberFormat="1" applyFont="1" applyFill="1" applyAlignment="1" applyProtection="1">
      <alignment horizontal="center" vertical="center"/>
      <protection locked="0"/>
    </xf>
    <xf numFmtId="182"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0" fontId="64" fillId="6" borderId="0" xfId="0" applyNumberFormat="1" applyFont="1" applyFill="1" applyBorder="1" applyAlignment="1" applyProtection="1">
      <alignment horizontal="center" vertical="center"/>
      <protection locked="0"/>
    </xf>
    <xf numFmtId="182"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2" fontId="70" fillId="6" borderId="0" xfId="0" applyNumberFormat="1" applyFont="1" applyFill="1" applyAlignment="1" applyProtection="1">
      <alignment horizontal="center" vertical="center"/>
      <protection locked="0"/>
    </xf>
    <xf numFmtId="177"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0" fontId="53" fillId="0" borderId="0" xfId="0" applyNumberFormat="1" applyFont="1" applyFill="1" applyAlignment="1" applyProtection="1">
      <alignment horizontal="center" vertical="center"/>
    </xf>
    <xf numFmtId="182"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0" fontId="53" fillId="6" borderId="0" xfId="0" applyNumberFormat="1" applyFont="1" applyFill="1" applyBorder="1" applyAlignment="1" applyProtection="1">
      <alignment horizontal="center"/>
      <protection locked="0"/>
    </xf>
    <xf numFmtId="182"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7"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2" fontId="51" fillId="6" borderId="1" xfId="0" applyNumberFormat="1" applyFont="1" applyFill="1" applyBorder="1" applyAlignment="1" applyProtection="1">
      <alignment horizontal="center" vertical="center"/>
      <protection locked="0"/>
    </xf>
    <xf numFmtId="180" fontId="49" fillId="6" borderId="23" xfId="1" applyNumberFormat="1" applyFont="1" applyFill="1" applyBorder="1" applyAlignment="1" applyProtection="1">
      <alignment horizontal="center" vertical="center"/>
    </xf>
    <xf numFmtId="178"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0" fontId="46" fillId="6" borderId="25" xfId="1" applyNumberFormat="1" applyFont="1" applyFill="1" applyBorder="1" applyAlignment="1" applyProtection="1">
      <alignment horizontal="center" vertical="center"/>
    </xf>
    <xf numFmtId="182" fontId="46" fillId="6" borderId="1" xfId="0" applyNumberFormat="1" applyFont="1" applyFill="1" applyBorder="1" applyAlignment="1" applyProtection="1">
      <alignment vertical="center"/>
    </xf>
    <xf numFmtId="182" fontId="46" fillId="6" borderId="5" xfId="0" applyNumberFormat="1" applyFont="1" applyFill="1" applyBorder="1" applyAlignment="1" applyProtection="1">
      <alignment vertical="center"/>
    </xf>
    <xf numFmtId="182"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2" fontId="46" fillId="6" borderId="1" xfId="0" applyNumberFormat="1" applyFont="1" applyFill="1" applyBorder="1" applyAlignment="1" applyProtection="1">
      <alignment horizontal="center" vertical="center"/>
    </xf>
    <xf numFmtId="182"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4" fontId="46" fillId="6" borderId="1" xfId="0" applyNumberFormat="1" applyFont="1" applyFill="1" applyBorder="1" applyAlignment="1" applyProtection="1">
      <alignment horizontal="center" vertical="center"/>
    </xf>
    <xf numFmtId="182"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7" fontId="49" fillId="0" borderId="1" xfId="0" applyNumberFormat="1" applyFont="1" applyFill="1" applyBorder="1" applyAlignment="1" applyProtection="1">
      <alignment horizontal="center" vertical="center" wrapText="1"/>
      <protection locked="0"/>
    </xf>
    <xf numFmtId="180" fontId="46" fillId="6" borderId="2" xfId="0" applyNumberFormat="1" applyFont="1" applyFill="1" applyBorder="1" applyProtection="1">
      <alignment vertical="center"/>
    </xf>
    <xf numFmtId="182"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0"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8"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8"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2"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2"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2"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2"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9" fontId="56" fillId="6" borderId="1" xfId="0" applyNumberFormat="1" applyFont="1" applyFill="1" applyBorder="1" applyAlignment="1" applyProtection="1">
      <alignment horizontal="center" vertical="center"/>
    </xf>
    <xf numFmtId="179" fontId="55" fillId="6" borderId="1"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188" fontId="49" fillId="6" borderId="3"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2"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7" fontId="48" fillId="6" borderId="1" xfId="0" applyNumberFormat="1" applyFont="1" applyFill="1" applyBorder="1" applyAlignment="1" applyProtection="1">
      <alignment vertical="center"/>
    </xf>
    <xf numFmtId="177" fontId="48" fillId="6" borderId="1"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vertical="center"/>
    </xf>
    <xf numFmtId="177" fontId="48" fillId="6" borderId="25" xfId="0" applyNumberFormat="1" applyFont="1" applyFill="1" applyBorder="1" applyAlignment="1" applyProtection="1">
      <alignment vertical="center"/>
    </xf>
    <xf numFmtId="177"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2"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1" fontId="46" fillId="6" borderId="30" xfId="0" applyNumberFormat="1" applyFont="1" applyFill="1" applyBorder="1" applyAlignment="1" applyProtection="1">
      <alignment horizontal="center" vertical="center" wrapText="1"/>
    </xf>
    <xf numFmtId="191" fontId="46" fillId="6" borderId="9" xfId="0" applyNumberFormat="1" applyFont="1" applyFill="1" applyBorder="1" applyAlignment="1" applyProtection="1">
      <alignment horizontal="center" vertical="center" wrapText="1"/>
    </xf>
    <xf numFmtId="191"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5"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0"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7" fontId="103" fillId="6" borderId="1" xfId="8" applyNumberFormat="1" applyFont="1" applyFill="1" applyBorder="1" applyAlignment="1" applyProtection="1">
      <alignment horizontal="center" vertical="center"/>
    </xf>
    <xf numFmtId="178" fontId="118" fillId="6" borderId="1" xfId="8" applyNumberFormat="1" applyFont="1" applyFill="1" applyBorder="1" applyAlignment="1" applyProtection="1">
      <alignment horizontal="center" vertical="center"/>
    </xf>
    <xf numFmtId="188"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0" fontId="64" fillId="6" borderId="88" xfId="0" applyNumberFormat="1" applyFont="1" applyFill="1" applyBorder="1" applyAlignment="1" applyProtection="1">
      <alignment horizontal="center" vertical="center"/>
      <protection locked="0"/>
    </xf>
    <xf numFmtId="182"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0" fontId="64" fillId="6" borderId="88" xfId="0" applyNumberFormat="1" applyFont="1" applyFill="1" applyBorder="1" applyAlignment="1" applyProtection="1">
      <alignment horizontal="center" vertical="center"/>
    </xf>
    <xf numFmtId="182"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8"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8"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8"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6"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2"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2"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6"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5"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7"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0" fontId="49" fillId="6" borderId="0" xfId="0" applyNumberFormat="1" applyFont="1" applyFill="1" applyBorder="1" applyAlignment="1" applyProtection="1">
      <alignment horizontal="center" vertical="center" wrapText="1"/>
    </xf>
    <xf numFmtId="180" fontId="50" fillId="6" borderId="0" xfId="0" applyNumberFormat="1" applyFont="1" applyFill="1" applyBorder="1" applyAlignment="1" applyProtection="1">
      <alignment horizontal="center" vertical="center" wrapText="1"/>
    </xf>
    <xf numFmtId="177"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7" fontId="49" fillId="6" borderId="54" xfId="0" applyNumberFormat="1" applyFont="1" applyFill="1" applyBorder="1" applyAlignment="1" applyProtection="1">
      <alignment horizontal="center" vertical="center" wrapText="1"/>
    </xf>
    <xf numFmtId="177" fontId="49" fillId="6" borderId="3" xfId="0" applyNumberFormat="1" applyFont="1" applyFill="1" applyBorder="1" applyAlignment="1" applyProtection="1">
      <alignment horizontal="center" vertical="center" wrapText="1"/>
    </xf>
    <xf numFmtId="177" fontId="49" fillId="6" borderId="5" xfId="0" applyNumberFormat="1" applyFont="1" applyFill="1" applyBorder="1" applyAlignment="1" applyProtection="1">
      <alignment horizontal="center" vertical="center" wrapText="1"/>
    </xf>
    <xf numFmtId="177"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0"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0" fontId="49" fillId="6" borderId="54" xfId="0" applyNumberFormat="1" applyFont="1" applyFill="1" applyBorder="1" applyAlignment="1" applyProtection="1">
      <alignment horizontal="center" vertical="center"/>
    </xf>
    <xf numFmtId="180"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0"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0"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0"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0"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0" fontId="49" fillId="6" borderId="7" xfId="0" applyNumberFormat="1" applyFont="1" applyFill="1" applyBorder="1" applyAlignment="1" applyProtection="1">
      <alignment horizontal="center" vertical="center" wrapText="1"/>
    </xf>
    <xf numFmtId="180" fontId="49" fillId="6" borderId="2" xfId="0" applyNumberFormat="1" applyFont="1" applyFill="1" applyBorder="1" applyAlignment="1" applyProtection="1">
      <alignment horizontal="center" vertical="center" wrapText="1"/>
    </xf>
    <xf numFmtId="180"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0"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7" fontId="49" fillId="0" borderId="1" xfId="0" applyNumberFormat="1" applyFont="1" applyBorder="1" applyAlignment="1" applyProtection="1">
      <alignment vertical="center" wrapText="1"/>
      <protection locked="0"/>
    </xf>
    <xf numFmtId="177" fontId="49" fillId="0" borderId="1" xfId="0" applyNumberFormat="1" applyFont="1" applyBorder="1" applyAlignment="1" applyProtection="1">
      <alignment horizontal="center" vertical="center" wrapText="1"/>
      <protection locked="0"/>
    </xf>
    <xf numFmtId="177"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7"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7"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7"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7"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7" fontId="52" fillId="6" borderId="29" xfId="1" applyNumberFormat="1" applyFont="1" applyFill="1" applyBorder="1" applyAlignment="1" applyProtection="1">
      <alignment horizontal="center" vertical="center"/>
    </xf>
    <xf numFmtId="177" fontId="52" fillId="6" borderId="20" xfId="1" applyNumberFormat="1" applyFont="1" applyFill="1" applyBorder="1" applyAlignment="1" applyProtection="1">
      <alignment horizontal="center" vertical="center"/>
    </xf>
    <xf numFmtId="177"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0"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7"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0"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8"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7"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80"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0"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0"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1" fontId="53" fillId="6" borderId="6" xfId="1" applyNumberFormat="1" applyFont="1" applyFill="1" applyBorder="1" applyAlignment="1" applyProtection="1">
      <alignment horizontal="center" vertical="center" wrapText="1"/>
    </xf>
    <xf numFmtId="180"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8"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0"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6" fillId="6" borderId="1" xfId="1" applyNumberFormat="1" applyFont="1" applyFill="1" applyBorder="1" applyAlignment="1" applyProtection="1">
      <alignment vertical="center"/>
    </xf>
    <xf numFmtId="178"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8" fontId="46" fillId="6" borderId="23" xfId="1" applyNumberFormat="1" applyFont="1" applyFill="1" applyBorder="1" applyAlignment="1" applyProtection="1">
      <alignment horizontal="left" vertical="center" wrapText="1"/>
      <protection locked="0"/>
    </xf>
    <xf numFmtId="178"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7" fontId="53" fillId="6" borderId="6" xfId="1" applyNumberFormat="1" applyFont="1" applyFill="1" applyBorder="1" applyAlignment="1" applyProtection="1">
      <alignment vertical="center" wrapText="1"/>
    </xf>
    <xf numFmtId="177" fontId="53" fillId="6" borderId="23" xfId="1" applyNumberFormat="1" applyFont="1" applyFill="1" applyBorder="1" applyAlignment="1" applyProtection="1">
      <alignment vertical="center" wrapText="1"/>
    </xf>
    <xf numFmtId="177" fontId="46" fillId="6" borderId="23" xfId="1" applyNumberFormat="1" applyFont="1" applyFill="1" applyBorder="1" applyAlignment="1" applyProtection="1">
      <alignment vertical="center" wrapText="1"/>
    </xf>
    <xf numFmtId="177"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80"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80"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80"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8"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7"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0"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90" fontId="46" fillId="6" borderId="21"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0" fontId="53" fillId="6" borderId="48" xfId="0" applyNumberFormat="1" applyFont="1" applyFill="1" applyBorder="1" applyAlignment="1" applyProtection="1">
      <alignment horizontal="center" vertical="center"/>
    </xf>
    <xf numFmtId="190"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5"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8" fontId="55" fillId="6" borderId="15" xfId="0" applyNumberFormat="1" applyFont="1" applyFill="1" applyBorder="1" applyAlignment="1" applyProtection="1">
      <alignment horizontal="center" vertical="center" wrapText="1"/>
    </xf>
    <xf numFmtId="188"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8"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8"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88" fontId="103" fillId="6" borderId="1" xfId="0" applyNumberFormat="1" applyFont="1" applyFill="1" applyBorder="1" applyAlignment="1" applyProtection="1">
      <alignment horizontal="center" vertical="center"/>
    </xf>
    <xf numFmtId="178" fontId="118" fillId="6" borderId="1" xfId="0" applyNumberFormat="1" applyFont="1" applyFill="1" applyBorder="1" applyAlignment="1" applyProtection="1">
      <alignment horizontal="center" vertical="center"/>
    </xf>
    <xf numFmtId="188" fontId="118" fillId="6" borderId="1" xfId="0" applyNumberFormat="1" applyFont="1" applyFill="1" applyBorder="1" applyAlignment="1" applyProtection="1">
      <alignment horizontal="center" vertical="center" wrapText="1"/>
    </xf>
    <xf numFmtId="187" fontId="103" fillId="6" borderId="2" xfId="0" applyNumberFormat="1" applyFont="1" applyFill="1" applyBorder="1" applyAlignment="1" applyProtection="1">
      <alignment horizontal="center" vertical="center" wrapText="1"/>
    </xf>
    <xf numFmtId="180"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2"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7"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7"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8"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7" fontId="106" fillId="12" borderId="123" xfId="9" applyNumberFormat="1" applyFont="1" applyFill="1" applyBorder="1" applyAlignment="1" applyProtection="1">
      <alignment horizontal="left" vertical="center" wrapText="1"/>
    </xf>
    <xf numFmtId="187"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7" fontId="106" fillId="12" borderId="123" xfId="9" applyNumberFormat="1" applyFont="1" applyFill="1" applyBorder="1" applyAlignment="1">
      <alignment horizontal="left" vertical="center" wrapText="1"/>
    </xf>
    <xf numFmtId="187" fontId="106" fillId="12" borderId="129" xfId="9" applyNumberFormat="1" applyFont="1" applyFill="1" applyBorder="1" applyAlignment="1">
      <alignment horizontal="left" vertical="center" wrapText="1"/>
    </xf>
    <xf numFmtId="182" fontId="103" fillId="0" borderId="121" xfId="9" applyNumberFormat="1" applyFont="1" applyBorder="1" applyAlignment="1">
      <alignment horizontal="left" vertical="center"/>
    </xf>
    <xf numFmtId="182"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7" fontId="106" fillId="12" borderId="126" xfId="9" applyNumberFormat="1" applyFont="1" applyFill="1" applyBorder="1" applyAlignment="1">
      <alignment horizontal="left" vertical="center" wrapText="1"/>
    </xf>
    <xf numFmtId="187"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7"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8"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7" fontId="106" fillId="12" borderId="132" xfId="9" applyNumberFormat="1" applyFont="1" applyFill="1" applyBorder="1" applyAlignment="1">
      <alignment horizontal="left" vertical="center" wrapText="1"/>
    </xf>
    <xf numFmtId="187" fontId="106" fillId="12" borderId="136" xfId="9" applyNumberFormat="1" applyFont="1" applyFill="1" applyBorder="1" applyAlignment="1">
      <alignment horizontal="left" vertical="center" wrapText="1"/>
    </xf>
    <xf numFmtId="187" fontId="103" fillId="14" borderId="0" xfId="9" applyNumberFormat="1" applyFont="1" applyFill="1" applyAlignment="1">
      <alignment horizontal="left" vertical="center"/>
    </xf>
    <xf numFmtId="187"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8"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9"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9"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1" fontId="103" fillId="0" borderId="0" xfId="9" applyNumberFormat="1" applyFont="1" applyAlignment="1">
      <alignment horizontal="left" vertical="center"/>
    </xf>
    <xf numFmtId="181" fontId="103" fillId="0" borderId="121" xfId="9" applyNumberFormat="1" applyFont="1" applyBorder="1" applyAlignment="1">
      <alignment horizontal="left" vertical="center"/>
    </xf>
    <xf numFmtId="178"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1"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9"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1" fontId="118" fillId="0" borderId="0" xfId="9" applyNumberFormat="1" applyFont="1" applyAlignment="1">
      <alignment horizontal="left" vertical="center"/>
    </xf>
    <xf numFmtId="181"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2"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2" fontId="52" fillId="18" borderId="68" xfId="0" applyNumberFormat="1" applyFont="1" applyFill="1" applyBorder="1" applyAlignment="1" applyProtection="1">
      <alignment horizontal="left" vertical="center" wrapText="1"/>
      <protection locked="0"/>
    </xf>
    <xf numFmtId="177" fontId="53" fillId="18" borderId="48" xfId="0" applyNumberFormat="1" applyFont="1" applyFill="1" applyBorder="1" applyAlignment="1" applyProtection="1">
      <alignment horizontal="left" vertical="center" wrapText="1"/>
    </xf>
    <xf numFmtId="177"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3" fontId="124" fillId="0" borderId="1" xfId="5" applyNumberFormat="1" applyFont="1" applyFill="1" applyBorder="1" applyAlignment="1">
      <alignment horizontal="left" vertical="center"/>
    </xf>
    <xf numFmtId="193"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5"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3"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5"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5"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5"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8"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80"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4"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2"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8" fontId="56" fillId="6" borderId="2" xfId="0" applyNumberFormat="1" applyFont="1" applyFill="1" applyBorder="1" applyAlignment="1" applyProtection="1">
      <alignment horizontal="left" vertical="center" wrapText="1"/>
    </xf>
    <xf numFmtId="178" fontId="55" fillId="6" borderId="1" xfId="0" applyNumberFormat="1" applyFont="1" applyFill="1" applyBorder="1" applyAlignment="1" applyProtection="1">
      <alignment horizontal="left" vertical="center" wrapText="1"/>
    </xf>
    <xf numFmtId="178"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8" fontId="56" fillId="6" borderId="1" xfId="0" applyNumberFormat="1" applyFont="1" applyFill="1" applyBorder="1" applyAlignment="1" applyProtection="1">
      <alignment horizontal="left" vertical="center" wrapText="1"/>
    </xf>
    <xf numFmtId="178"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8"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2"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2"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2"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8"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5"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5"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80" fontId="49" fillId="13" borderId="0" xfId="0" applyNumberFormat="1" applyFont="1" applyFill="1" applyAlignment="1" applyProtection="1">
      <alignment vertical="center"/>
      <protection locked="0"/>
    </xf>
    <xf numFmtId="180"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80"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2" fontId="102" fillId="13" borderId="0" xfId="0" applyNumberFormat="1" applyFont="1" applyFill="1" applyAlignment="1" applyProtection="1">
      <alignment horizontal="center" vertical="center"/>
    </xf>
    <xf numFmtId="180"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182"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80"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8"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2"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2"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2" fontId="51" fillId="13" borderId="0" xfId="0" applyNumberFormat="1" applyFont="1" applyFill="1" applyBorder="1" applyAlignment="1" applyProtection="1">
      <alignment horizontal="center" vertical="center" wrapText="1"/>
      <protection locked="0"/>
    </xf>
    <xf numFmtId="182"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2"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2" fontId="53" fillId="13" borderId="0" xfId="0" applyNumberFormat="1" applyFont="1" applyFill="1" applyAlignment="1" applyProtection="1">
      <alignment horizontal="center" vertical="center"/>
      <protection locked="0"/>
    </xf>
    <xf numFmtId="182"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90"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7" fontId="53" fillId="13" borderId="0" xfId="0" applyNumberFormat="1" applyFont="1" applyFill="1" applyAlignment="1" applyProtection="1">
      <alignment horizontal="center" vertical="center"/>
      <protection locked="0"/>
    </xf>
    <xf numFmtId="190" fontId="70" fillId="13" borderId="0" xfId="0" applyNumberFormat="1" applyFont="1" applyFill="1" applyAlignment="1" applyProtection="1">
      <alignment horizontal="center" vertical="center"/>
      <protection locked="0"/>
    </xf>
    <xf numFmtId="182"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7"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80"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178" fontId="79" fillId="0" borderId="1" xfId="1" applyNumberFormat="1" applyFont="1" applyFill="1" applyBorder="1" applyAlignment="1" applyProtection="1">
      <alignment vertical="center"/>
      <protection locked="0" hidden="1"/>
    </xf>
    <xf numFmtId="0" fontId="255" fillId="0" borderId="0" xfId="10" applyFont="1" applyAlignment="1">
      <alignment horizontal="left" vertical="center"/>
    </xf>
    <xf numFmtId="0" fontId="255" fillId="0" borderId="1" xfId="10" applyFont="1" applyBorder="1" applyAlignment="1">
      <alignment horizontal="left" vertical="center"/>
    </xf>
    <xf numFmtId="0" fontId="254" fillId="0" borderId="1" xfId="10" applyFont="1" applyBorder="1" applyAlignment="1">
      <alignment horizontal="left" vertical="center"/>
    </xf>
    <xf numFmtId="14" fontId="254" fillId="0" borderId="1" xfId="10" applyNumberFormat="1" applyFont="1" applyBorder="1" applyAlignment="1">
      <alignment horizontal="left" vertical="center"/>
    </xf>
    <xf numFmtId="0" fontId="254" fillId="0" borderId="0" xfId="10" applyFont="1" applyAlignment="1">
      <alignment horizontal="left" vertical="center"/>
    </xf>
    <xf numFmtId="0" fontId="258" fillId="0" borderId="0" xfId="10" applyFont="1" applyFill="1" applyBorder="1" applyAlignment="1">
      <alignment vertical="center"/>
    </xf>
    <xf numFmtId="0" fontId="259" fillId="19" borderId="11" xfId="10" applyFont="1" applyFill="1" applyBorder="1" applyAlignment="1">
      <alignment horizontal="center" vertical="center"/>
    </xf>
    <xf numFmtId="0" fontId="259" fillId="19" borderId="13" xfId="10" applyFont="1" applyFill="1" applyBorder="1" applyAlignment="1">
      <alignment horizontal="center" vertical="center"/>
    </xf>
    <xf numFmtId="0" fontId="260" fillId="19" borderId="13" xfId="8" applyFont="1" applyFill="1" applyBorder="1" applyAlignment="1">
      <alignment horizontal="center" vertical="center" wrapText="1"/>
    </xf>
    <xf numFmtId="0" fontId="260" fillId="19" borderId="61" xfId="8" applyFont="1" applyFill="1" applyBorder="1" applyAlignment="1">
      <alignment horizontal="center" vertical="center" wrapText="1"/>
    </xf>
    <xf numFmtId="0" fontId="258" fillId="0" borderId="6" xfId="10" applyFont="1" applyFill="1" applyBorder="1" applyAlignment="1">
      <alignment vertical="center"/>
    </xf>
    <xf numFmtId="0" fontId="260" fillId="7" borderId="9" xfId="8" applyFont="1" applyFill="1" applyBorder="1" applyAlignment="1" applyProtection="1">
      <alignment vertical="center"/>
      <protection locked="0"/>
    </xf>
    <xf numFmtId="177" fontId="260" fillId="7" borderId="9" xfId="8" applyNumberFormat="1" applyFont="1" applyFill="1" applyBorder="1" applyAlignment="1" applyProtection="1">
      <alignment vertical="center"/>
      <protection locked="0"/>
    </xf>
    <xf numFmtId="177" fontId="260" fillId="7" borderId="10" xfId="8" applyNumberFormat="1" applyFont="1" applyFill="1" applyBorder="1" applyAlignment="1" applyProtection="1">
      <alignment vertical="center"/>
      <protection locked="0"/>
    </xf>
    <xf numFmtId="49" fontId="261" fillId="0" borderId="23" xfId="8" applyNumberFormat="1" applyFont="1" applyFill="1" applyBorder="1" applyAlignment="1" applyProtection="1">
      <alignment horizontal="right" vertical="center"/>
      <protection locked="0"/>
    </xf>
    <xf numFmtId="0" fontId="261" fillId="0" borderId="1" xfId="8" applyFont="1" applyFill="1" applyBorder="1" applyAlignment="1" applyProtection="1">
      <alignment horizontal="left" vertical="center" indent="2"/>
      <protection locked="0"/>
    </xf>
    <xf numFmtId="177" fontId="261" fillId="0" borderId="1" xfId="8" applyNumberFormat="1" applyFont="1" applyFill="1" applyBorder="1" applyAlignment="1" applyProtection="1">
      <alignment horizontal="left" vertical="center" indent="2"/>
      <protection locked="0"/>
    </xf>
    <xf numFmtId="0" fontId="261" fillId="0" borderId="0" xfId="8" applyFont="1" applyFill="1" applyBorder="1" applyAlignment="1" applyProtection="1">
      <alignment vertical="center"/>
      <protection locked="0"/>
    </xf>
    <xf numFmtId="177" fontId="261" fillId="0" borderId="1" xfId="20" applyNumberFormat="1" applyFont="1" applyFill="1" applyBorder="1" applyAlignment="1" applyProtection="1">
      <alignment horizontal="right" vertical="center"/>
    </xf>
    <xf numFmtId="177" fontId="261" fillId="0" borderId="1" xfId="8" applyNumberFormat="1" applyFont="1" applyFill="1" applyBorder="1" applyAlignment="1" applyProtection="1">
      <alignment vertical="center" wrapText="1"/>
      <protection locked="0"/>
    </xf>
    <xf numFmtId="177" fontId="261" fillId="0" borderId="1" xfId="8" applyNumberFormat="1" applyFont="1" applyFill="1" applyBorder="1" applyAlignment="1">
      <alignment horizontal="right" vertical="center"/>
    </xf>
    <xf numFmtId="177" fontId="260" fillId="19" borderId="32" xfId="8" applyNumberFormat="1" applyFont="1" applyFill="1" applyBorder="1" applyAlignment="1">
      <alignment horizontal="right" vertical="center"/>
    </xf>
    <xf numFmtId="177" fontId="262" fillId="19" borderId="24" xfId="8" applyNumberFormat="1" applyFont="1" applyFill="1" applyBorder="1" applyAlignment="1">
      <alignment vertical="center"/>
    </xf>
    <xf numFmtId="0" fontId="260" fillId="0" borderId="6" xfId="8" applyFont="1" applyFill="1" applyBorder="1" applyAlignment="1" applyProtection="1">
      <alignment vertical="center"/>
      <protection locked="0"/>
    </xf>
    <xf numFmtId="0" fontId="260" fillId="0" borderId="9" xfId="8" applyFont="1" applyFill="1" applyBorder="1" applyAlignment="1" applyProtection="1">
      <alignment vertical="center"/>
      <protection locked="0"/>
    </xf>
    <xf numFmtId="177" fontId="260" fillId="0" borderId="9" xfId="8" applyNumberFormat="1" applyFont="1" applyFill="1" applyBorder="1" applyAlignment="1" applyProtection="1">
      <alignment vertical="center"/>
      <protection locked="0"/>
    </xf>
    <xf numFmtId="177" fontId="260" fillId="0" borderId="10" xfId="8" applyNumberFormat="1" applyFont="1" applyFill="1" applyBorder="1" applyAlignment="1" applyProtection="1">
      <alignment vertical="center"/>
      <protection locked="0"/>
    </xf>
    <xf numFmtId="49" fontId="262" fillId="19" borderId="23" xfId="8" applyNumberFormat="1" applyFont="1" applyFill="1" applyBorder="1" applyAlignment="1" applyProtection="1">
      <alignment horizontal="right" vertical="center"/>
      <protection locked="0"/>
    </xf>
    <xf numFmtId="0" fontId="262" fillId="19" borderId="1" xfId="8" applyFont="1" applyFill="1" applyBorder="1" applyAlignment="1" applyProtection="1">
      <alignment vertical="center"/>
      <protection locked="0"/>
    </xf>
    <xf numFmtId="177" fontId="262" fillId="19" borderId="1" xfId="8" applyNumberFormat="1" applyFont="1" applyFill="1" applyBorder="1" applyAlignment="1">
      <alignment horizontal="right" vertical="center"/>
    </xf>
    <xf numFmtId="0" fontId="260" fillId="0" borderId="0" xfId="8" applyFont="1" applyFill="1" applyBorder="1" applyAlignment="1" applyProtection="1">
      <alignment vertical="center"/>
      <protection locked="0"/>
    </xf>
    <xf numFmtId="177" fontId="260" fillId="0" borderId="1" xfId="8" applyNumberFormat="1" applyFont="1" applyFill="1" applyBorder="1" applyAlignment="1">
      <alignment horizontal="right" vertical="center"/>
    </xf>
    <xf numFmtId="177" fontId="262" fillId="0" borderId="1" xfId="8" applyNumberFormat="1" applyFont="1" applyFill="1" applyBorder="1" applyAlignment="1" applyProtection="1">
      <alignment vertical="center"/>
      <protection locked="0"/>
    </xf>
    <xf numFmtId="177" fontId="260" fillId="0" borderId="24" xfId="8" applyNumberFormat="1" applyFont="1" applyFill="1" applyBorder="1" applyAlignment="1" applyProtection="1">
      <alignment vertical="center"/>
      <protection locked="0"/>
    </xf>
    <xf numFmtId="177" fontId="262" fillId="19" borderId="24" xfId="21" applyNumberFormat="1" applyFont="1" applyFill="1" applyBorder="1" applyAlignment="1" applyProtection="1">
      <alignment vertical="center"/>
    </xf>
    <xf numFmtId="0" fontId="261" fillId="0" borderId="0" xfId="10" applyFont="1" applyFill="1" applyBorder="1" applyAlignment="1">
      <alignment vertical="center"/>
    </xf>
    <xf numFmtId="177" fontId="261" fillId="0" borderId="1" xfId="8" applyNumberFormat="1" applyFont="1" applyFill="1" applyBorder="1" applyAlignment="1" applyProtection="1">
      <alignment vertical="center"/>
      <protection locked="0"/>
    </xf>
    <xf numFmtId="177" fontId="261" fillId="0" borderId="24" xfId="8" applyNumberFormat="1" applyFont="1" applyFill="1" applyBorder="1" applyAlignment="1" applyProtection="1">
      <alignment vertical="center"/>
      <protection locked="0"/>
    </xf>
    <xf numFmtId="0" fontId="263" fillId="0" borderId="0" xfId="8" applyFont="1" applyFill="1" applyBorder="1" applyAlignment="1" applyProtection="1">
      <alignment vertical="center"/>
      <protection locked="0"/>
    </xf>
    <xf numFmtId="0" fontId="261" fillId="7" borderId="1" xfId="8" applyFont="1" applyFill="1" applyBorder="1" applyAlignment="1" applyProtection="1">
      <alignment horizontal="left" vertical="center" indent="2"/>
      <protection locked="0"/>
    </xf>
    <xf numFmtId="177" fontId="261" fillId="0" borderId="1" xfId="10" applyNumberFormat="1" applyFont="1" applyFill="1" applyBorder="1" applyAlignment="1">
      <alignment vertical="center"/>
    </xf>
    <xf numFmtId="177" fontId="258" fillId="0" borderId="1" xfId="10" applyNumberFormat="1" applyFont="1" applyFill="1" applyBorder="1" applyAlignment="1">
      <alignment vertical="center"/>
    </xf>
    <xf numFmtId="177" fontId="261" fillId="0" borderId="24" xfId="10" applyNumberFormat="1" applyFont="1" applyFill="1" applyBorder="1" applyAlignment="1">
      <alignment vertical="center"/>
    </xf>
    <xf numFmtId="177" fontId="260" fillId="19" borderId="32" xfId="10" applyNumberFormat="1" applyFont="1" applyFill="1" applyBorder="1" applyAlignment="1">
      <alignment vertical="center"/>
    </xf>
    <xf numFmtId="177" fontId="259" fillId="19" borderId="32" xfId="10" applyNumberFormat="1" applyFont="1" applyFill="1" applyBorder="1" applyAlignment="1">
      <alignment vertical="center"/>
    </xf>
    <xf numFmtId="177" fontId="260" fillId="19" borderId="49" xfId="10" applyNumberFormat="1" applyFont="1" applyFill="1" applyBorder="1" applyAlignment="1">
      <alignment vertical="center"/>
    </xf>
    <xf numFmtId="177" fontId="260" fillId="19" borderId="84" xfId="10" applyNumberFormat="1" applyFont="1" applyFill="1" applyBorder="1" applyAlignment="1">
      <alignment vertical="center"/>
    </xf>
    <xf numFmtId="177" fontId="259" fillId="19" borderId="84" xfId="10" applyNumberFormat="1" applyFont="1" applyFill="1" applyBorder="1" applyAlignment="1">
      <alignment vertical="center"/>
    </xf>
    <xf numFmtId="177" fontId="260" fillId="19" borderId="67" xfId="10" applyNumberFormat="1" applyFont="1" applyFill="1" applyBorder="1" applyAlignment="1">
      <alignment vertical="center"/>
    </xf>
    <xf numFmtId="177" fontId="258" fillId="0" borderId="0" xfId="10" applyNumberFormat="1" applyFont="1" applyFill="1" applyBorder="1" applyAlignment="1">
      <alignment vertical="center"/>
    </xf>
    <xf numFmtId="0" fontId="259" fillId="0" borderId="6" xfId="10" applyFont="1" applyFill="1" applyBorder="1" applyAlignment="1">
      <alignment vertical="center"/>
    </xf>
    <xf numFmtId="0" fontId="260" fillId="0" borderId="9" xfId="8" applyFont="1" applyFill="1" applyBorder="1" applyAlignment="1">
      <alignment vertical="center" wrapText="1"/>
    </xf>
    <xf numFmtId="177" fontId="260" fillId="0" borderId="9" xfId="10" applyNumberFormat="1" applyFont="1" applyFill="1" applyBorder="1" applyAlignment="1">
      <alignment vertical="center"/>
    </xf>
    <xf numFmtId="177" fontId="259" fillId="0" borderId="9" xfId="10" applyNumberFormat="1" applyFont="1" applyFill="1" applyBorder="1" applyAlignment="1">
      <alignment vertical="center"/>
    </xf>
    <xf numFmtId="177" fontId="260" fillId="0" borderId="10" xfId="10" applyNumberFormat="1" applyFont="1" applyFill="1" applyBorder="1" applyAlignment="1">
      <alignment vertical="center"/>
    </xf>
    <xf numFmtId="0" fontId="261" fillId="0" borderId="1" xfId="8" applyFont="1" applyFill="1" applyBorder="1" applyAlignment="1">
      <alignment vertical="center" wrapText="1"/>
    </xf>
    <xf numFmtId="49" fontId="261" fillId="0" borderId="25" xfId="8" applyNumberFormat="1" applyFont="1" applyFill="1" applyBorder="1" applyAlignment="1" applyProtection="1">
      <alignment horizontal="right" vertical="center"/>
      <protection locked="0"/>
    </xf>
    <xf numFmtId="0" fontId="258" fillId="0" borderId="32" xfId="10" applyFont="1" applyFill="1" applyBorder="1" applyAlignment="1">
      <alignment vertical="center"/>
    </xf>
    <xf numFmtId="177" fontId="261" fillId="0" borderId="32" xfId="10" applyNumberFormat="1" applyFont="1" applyFill="1" applyBorder="1" applyAlignment="1">
      <alignment vertical="center"/>
    </xf>
    <xf numFmtId="177" fontId="258" fillId="0" borderId="32" xfId="10" applyNumberFormat="1" applyFont="1" applyFill="1" applyBorder="1" applyAlignment="1">
      <alignment vertical="center"/>
    </xf>
    <xf numFmtId="177" fontId="261" fillId="0" borderId="49" xfId="10" applyNumberFormat="1" applyFont="1" applyFill="1" applyBorder="1" applyAlignment="1">
      <alignment vertical="center"/>
    </xf>
    <xf numFmtId="0" fontId="261" fillId="7" borderId="0" xfId="8" applyFont="1" applyFill="1" applyBorder="1" applyAlignment="1">
      <alignment vertical="center"/>
    </xf>
    <xf numFmtId="0" fontId="260" fillId="0" borderId="9" xfId="19" applyNumberFormat="1" applyFont="1" applyBorder="1" applyAlignment="1">
      <alignment vertical="center"/>
    </xf>
    <xf numFmtId="0" fontId="261" fillId="0" borderId="9" xfId="19" applyNumberFormat="1" applyFont="1" applyBorder="1"/>
    <xf numFmtId="0" fontId="261" fillId="0" borderId="10" xfId="8" applyFont="1" applyFill="1" applyBorder="1" applyAlignment="1">
      <alignment vertical="center"/>
    </xf>
    <xf numFmtId="0" fontId="261" fillId="0" borderId="1" xfId="8" applyFont="1" applyFill="1" applyBorder="1" applyAlignment="1">
      <alignment vertical="center"/>
    </xf>
    <xf numFmtId="0" fontId="261" fillId="0" borderId="24" xfId="8" applyFont="1" applyFill="1" applyBorder="1" applyAlignment="1">
      <alignment vertical="center"/>
    </xf>
    <xf numFmtId="10" fontId="261" fillId="0" borderId="1" xfId="17" applyNumberFormat="1" applyFont="1" applyBorder="1" applyAlignment="1">
      <alignment vertical="center"/>
    </xf>
    <xf numFmtId="10" fontId="261" fillId="0" borderId="24" xfId="17" applyNumberFormat="1" applyFont="1" applyBorder="1" applyAlignment="1">
      <alignment vertical="center"/>
    </xf>
    <xf numFmtId="187" fontId="261" fillId="0" borderId="1" xfId="8" applyNumberFormat="1" applyFont="1" applyFill="1" applyBorder="1" applyAlignment="1">
      <alignment vertical="center"/>
    </xf>
    <xf numFmtId="187" fontId="261" fillId="0" borderId="24" xfId="8" applyNumberFormat="1" applyFont="1" applyFill="1" applyBorder="1" applyAlignment="1">
      <alignment vertical="center"/>
    </xf>
    <xf numFmtId="0" fontId="261" fillId="0" borderId="32" xfId="8" applyFont="1" applyFill="1" applyBorder="1" applyAlignment="1" applyProtection="1">
      <alignment horizontal="left" vertical="center" indent="2"/>
      <protection locked="0"/>
    </xf>
    <xf numFmtId="0" fontId="261" fillId="0" borderId="32" xfId="8" applyFont="1" applyFill="1" applyBorder="1" applyAlignment="1">
      <alignment vertical="center"/>
    </xf>
    <xf numFmtId="1" fontId="261" fillId="0" borderId="49" xfId="8" applyNumberFormat="1" applyFont="1" applyFill="1" applyBorder="1" applyAlignment="1">
      <alignment vertical="center"/>
    </xf>
    <xf numFmtId="198" fontId="261" fillId="7" borderId="0" xfId="8" applyNumberFormat="1" applyFont="1" applyFill="1" applyBorder="1" applyAlignment="1">
      <alignment vertical="center"/>
    </xf>
    <xf numFmtId="0" fontId="265" fillId="0" borderId="0" xfId="1" applyFont="1" applyFill="1" applyBorder="1" applyAlignment="1">
      <alignment horizontal="left" vertical="center"/>
    </xf>
    <xf numFmtId="0" fontId="266" fillId="0" borderId="23" xfId="1" applyFont="1" applyFill="1" applyBorder="1" applyAlignment="1">
      <alignment horizontal="left" vertical="center"/>
    </xf>
    <xf numFmtId="0" fontId="265" fillId="0" borderId="1" xfId="1" applyFont="1" applyFill="1" applyBorder="1" applyAlignment="1">
      <alignment horizontal="left" vertical="center"/>
    </xf>
    <xf numFmtId="0" fontId="266" fillId="0" borderId="1" xfId="1" applyFont="1" applyFill="1" applyBorder="1" applyAlignment="1">
      <alignment horizontal="left" vertical="center"/>
    </xf>
    <xf numFmtId="0" fontId="265" fillId="0" borderId="24" xfId="1" applyFont="1" applyFill="1" applyBorder="1" applyAlignment="1">
      <alignment horizontal="left" vertical="center"/>
    </xf>
    <xf numFmtId="57" fontId="265" fillId="0" borderId="24" xfId="1" applyNumberFormat="1" applyFont="1" applyFill="1" applyBorder="1" applyAlignment="1">
      <alignment horizontal="left" vertical="center"/>
    </xf>
    <xf numFmtId="0" fontId="266" fillId="0" borderId="16" xfId="1" applyFont="1" applyFill="1" applyBorder="1" applyAlignment="1">
      <alignment horizontal="left" vertical="center"/>
    </xf>
    <xf numFmtId="0" fontId="266" fillId="0" borderId="19" xfId="1" applyFont="1" applyFill="1" applyBorder="1" applyAlignment="1">
      <alignment horizontal="center" vertical="center"/>
    </xf>
    <xf numFmtId="0" fontId="266" fillId="0" borderId="31" xfId="1" applyFont="1" applyFill="1" applyBorder="1" applyAlignment="1">
      <alignment horizontal="center" vertical="center"/>
    </xf>
    <xf numFmtId="0" fontId="265" fillId="0" borderId="18" xfId="1" applyFont="1" applyFill="1" applyBorder="1" applyAlignment="1">
      <alignment horizontal="left" vertical="center"/>
    </xf>
    <xf numFmtId="0" fontId="265" fillId="0" borderId="0" xfId="1" applyFont="1" applyFill="1" applyBorder="1" applyAlignment="1">
      <alignment horizontal="center" vertical="center"/>
    </xf>
    <xf numFmtId="176" fontId="265" fillId="0" borderId="56" xfId="20" applyFont="1" applyBorder="1" applyAlignment="1">
      <alignment horizontal="left" vertical="center"/>
    </xf>
    <xf numFmtId="0" fontId="266" fillId="0" borderId="25" xfId="1" applyFont="1" applyFill="1" applyBorder="1" applyAlignment="1">
      <alignment horizontal="left" vertical="center"/>
    </xf>
    <xf numFmtId="0" fontId="265" fillId="0" borderId="32" xfId="1" applyFont="1" applyFill="1" applyBorder="1" applyAlignment="1">
      <alignment horizontal="left" vertical="center"/>
    </xf>
    <xf numFmtId="0" fontId="266" fillId="0" borderId="32" xfId="1" applyFont="1" applyFill="1" applyBorder="1" applyAlignment="1">
      <alignment horizontal="left" vertical="center"/>
    </xf>
    <xf numFmtId="0" fontId="265" fillId="0" borderId="49" xfId="1" applyFont="1" applyFill="1" applyBorder="1" applyAlignment="1">
      <alignment horizontal="left" vertical="center"/>
    </xf>
    <xf numFmtId="0" fontId="260" fillId="19" borderId="9" xfId="10" applyFont="1" applyFill="1" applyBorder="1" applyAlignment="1">
      <alignment horizontal="center" vertical="center" wrapText="1"/>
    </xf>
    <xf numFmtId="0" fontId="260" fillId="19" borderId="28" xfId="10" applyFont="1" applyFill="1" applyBorder="1" applyAlignment="1">
      <alignment horizontal="center" vertical="center" wrapText="1"/>
    </xf>
    <xf numFmtId="0" fontId="261" fillId="0" borderId="42" xfId="10" applyFont="1" applyFill="1" applyBorder="1" applyAlignment="1">
      <alignment vertical="center"/>
    </xf>
    <xf numFmtId="0" fontId="261" fillId="0" borderId="47" xfId="10" applyFont="1" applyFill="1" applyBorder="1" applyAlignment="1">
      <alignment horizontal="center" vertical="center"/>
    </xf>
    <xf numFmtId="176" fontId="261" fillId="0" borderId="43" xfId="20" applyFont="1" applyBorder="1">
      <alignment vertical="center"/>
    </xf>
    <xf numFmtId="0" fontId="261" fillId="0" borderId="1" xfId="10" applyFont="1" applyFill="1" applyBorder="1" applyAlignment="1">
      <alignment horizontal="center" vertical="center" wrapText="1"/>
    </xf>
    <xf numFmtId="9" fontId="261" fillId="0" borderId="1" xfId="21" applyFont="1" applyBorder="1" applyAlignment="1">
      <alignment vertical="center" wrapText="1"/>
    </xf>
    <xf numFmtId="0" fontId="261" fillId="0" borderId="24" xfId="10" applyFont="1" applyFill="1" applyBorder="1" applyAlignment="1">
      <alignment horizontal="center" vertical="center" wrapText="1"/>
    </xf>
    <xf numFmtId="0" fontId="261" fillId="0" borderId="32" xfId="10" applyFont="1" applyFill="1" applyBorder="1" applyAlignment="1">
      <alignment horizontal="center" vertical="center" wrapText="1"/>
    </xf>
    <xf numFmtId="9" fontId="261" fillId="0" borderId="32" xfId="21" applyFont="1" applyBorder="1" applyAlignment="1">
      <alignment vertical="center" wrapText="1"/>
    </xf>
    <xf numFmtId="0" fontId="261" fillId="0" borderId="49" xfId="10" applyFont="1" applyFill="1" applyBorder="1" applyAlignment="1">
      <alignment horizontal="center" vertical="center" wrapText="1"/>
    </xf>
    <xf numFmtId="0" fontId="260" fillId="19" borderId="9" xfId="10" applyFont="1" applyFill="1" applyBorder="1" applyAlignment="1">
      <alignment vertical="center" wrapText="1"/>
    </xf>
    <xf numFmtId="0" fontId="260" fillId="19" borderId="10" xfId="10" applyFont="1" applyFill="1" applyBorder="1" applyAlignment="1">
      <alignment horizontal="center" vertical="center" wrapText="1"/>
    </xf>
    <xf numFmtId="0" fontId="261" fillId="0" borderId="1" xfId="10" applyFont="1" applyFill="1" applyBorder="1" applyAlignment="1">
      <alignment vertical="center" wrapText="1"/>
    </xf>
    <xf numFmtId="0" fontId="261" fillId="0" borderId="32" xfId="10" applyFont="1" applyFill="1" applyBorder="1" applyAlignment="1">
      <alignment vertical="center" wrapText="1"/>
    </xf>
    <xf numFmtId="0" fontId="260" fillId="19" borderId="9" xfId="10" applyFont="1" applyFill="1" applyBorder="1" applyAlignment="1">
      <alignment horizontal="center" vertical="center"/>
    </xf>
    <xf numFmtId="0" fontId="260" fillId="19" borderId="10" xfId="10" applyFont="1" applyFill="1" applyBorder="1" applyAlignment="1">
      <alignment vertical="center" wrapText="1"/>
    </xf>
    <xf numFmtId="0" fontId="261" fillId="0" borderId="24" xfId="10" applyFont="1" applyFill="1" applyBorder="1" applyAlignment="1">
      <alignment vertical="center" wrapText="1"/>
    </xf>
    <xf numFmtId="0" fontId="261" fillId="0" borderId="49" xfId="10" applyFont="1" applyFill="1" applyBorder="1" applyAlignment="1">
      <alignment vertical="center" wrapText="1"/>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53" fillId="20" borderId="7" xfId="0" applyNumberFormat="1" applyFont="1" applyFill="1" applyBorder="1" applyAlignment="1" applyProtection="1">
      <alignment horizontal="center" vertical="center" wrapText="1"/>
      <protection locked="0"/>
    </xf>
    <xf numFmtId="0" fontId="46" fillId="20" borderId="5" xfId="0" applyFont="1" applyFill="1" applyBorder="1" applyAlignment="1" applyProtection="1">
      <alignment horizontal="center" vertical="center" wrapText="1"/>
    </xf>
    <xf numFmtId="0" fontId="46" fillId="20" borderId="28" xfId="0" applyFont="1" applyFill="1" applyBorder="1" applyAlignment="1" applyProtection="1">
      <alignment horizontal="center" vertical="center" wrapText="1"/>
    </xf>
    <xf numFmtId="0" fontId="46" fillId="20" borderId="61" xfId="0" applyFont="1" applyFill="1" applyBorder="1" applyAlignment="1" applyProtection="1">
      <alignment horizontal="center" vertical="center" wrapText="1"/>
    </xf>
    <xf numFmtId="0" fontId="60" fillId="20" borderId="3" xfId="0" applyNumberFormat="1" applyFont="1" applyFill="1" applyBorder="1" applyAlignment="1" applyProtection="1">
      <alignment horizontal="center" vertical="center" wrapText="1"/>
      <protection locked="0"/>
    </xf>
    <xf numFmtId="0" fontId="53" fillId="20" borderId="23" xfId="0" applyNumberFormat="1" applyFont="1" applyFill="1" applyBorder="1" applyAlignment="1" applyProtection="1">
      <alignment horizontal="center" vertical="center" wrapText="1"/>
      <protection locked="0"/>
    </xf>
    <xf numFmtId="182" fontId="129" fillId="13" borderId="0" xfId="0" applyNumberFormat="1" applyFont="1" applyFill="1" applyBorder="1" applyAlignment="1" applyProtection="1">
      <alignment horizontal="center" vertical="center" wrapText="1"/>
      <protection locked="0"/>
    </xf>
    <xf numFmtId="0" fontId="189" fillId="0" borderId="154" xfId="0" applyFont="1" applyFill="1" applyBorder="1" applyAlignment="1" applyProtection="1">
      <alignment horizontal="right"/>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3"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3" fontId="63" fillId="0" borderId="5" xfId="0" applyNumberFormat="1" applyFont="1" applyFill="1" applyBorder="1" applyAlignment="1" applyProtection="1">
      <alignment horizontal="center" vertical="center" wrapText="1"/>
    </xf>
    <xf numFmtId="183" fontId="63" fillId="0" borderId="54" xfId="0" applyNumberFormat="1" applyFont="1" applyFill="1" applyBorder="1" applyAlignment="1" applyProtection="1">
      <alignment horizontal="center" vertical="center" wrapText="1"/>
    </xf>
    <xf numFmtId="183"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3"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5"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5" fillId="0" borderId="1" xfId="10" applyFont="1" applyBorder="1" applyAlignment="1">
      <alignment horizontal="center" vertical="center"/>
    </xf>
    <xf numFmtId="0" fontId="254" fillId="0" borderId="0" xfId="10" applyFont="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3"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3" fontId="46" fillId="6" borderId="5" xfId="0" applyNumberFormat="1" applyFont="1" applyFill="1" applyBorder="1" applyAlignment="1" applyProtection="1">
      <alignment horizontal="left" vertical="center" wrapText="1"/>
    </xf>
    <xf numFmtId="183" fontId="46" fillId="6" borderId="3" xfId="0" applyNumberFormat="1" applyFont="1" applyFill="1" applyBorder="1" applyAlignment="1" applyProtection="1">
      <alignment horizontal="left" vertical="center" wrapText="1"/>
    </xf>
    <xf numFmtId="183"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49" fontId="257" fillId="19" borderId="6" xfId="1" applyNumberFormat="1" applyFont="1" applyFill="1" applyBorder="1" applyAlignment="1">
      <alignment horizontal="left" vertical="center"/>
    </xf>
    <xf numFmtId="49" fontId="257" fillId="19" borderId="9" xfId="1" applyNumberFormat="1" applyFont="1" applyFill="1" applyBorder="1" applyAlignment="1">
      <alignment horizontal="left" vertical="center"/>
    </xf>
    <xf numFmtId="49" fontId="257" fillId="19" borderId="10" xfId="1" applyNumberFormat="1" applyFont="1" applyFill="1" applyBorder="1" applyAlignment="1">
      <alignment horizontal="left" vertical="center"/>
    </xf>
    <xf numFmtId="0" fontId="260" fillId="19" borderId="25" xfId="8" applyFont="1" applyFill="1" applyBorder="1" applyAlignment="1" applyProtection="1">
      <alignment horizontal="center" vertical="center"/>
      <protection locked="0"/>
    </xf>
    <xf numFmtId="0" fontId="260" fillId="19" borderId="32" xfId="8" applyFont="1" applyFill="1" applyBorder="1" applyAlignment="1" applyProtection="1">
      <alignment horizontal="center" vertical="center"/>
      <protection locked="0"/>
    </xf>
    <xf numFmtId="0" fontId="259" fillId="19" borderId="25" xfId="10" applyFont="1" applyFill="1" applyBorder="1" applyAlignment="1">
      <alignment horizontal="center" vertical="center"/>
    </xf>
    <xf numFmtId="0" fontId="259" fillId="19" borderId="32" xfId="10" applyFont="1" applyFill="1" applyBorder="1" applyAlignment="1">
      <alignment horizontal="center" vertical="center"/>
    </xf>
    <xf numFmtId="0" fontId="259" fillId="19" borderId="26" xfId="10" applyFont="1" applyFill="1" applyBorder="1" applyAlignment="1">
      <alignment horizontal="center" vertical="center"/>
    </xf>
    <xf numFmtId="0" fontId="259" fillId="19" borderId="84" xfId="10" applyFont="1" applyFill="1" applyBorder="1" applyAlignment="1">
      <alignment horizontal="center" vertical="center"/>
    </xf>
    <xf numFmtId="0" fontId="260" fillId="19" borderId="6" xfId="10" applyFont="1" applyFill="1" applyBorder="1" applyAlignment="1">
      <alignment horizontal="center" vertical="center" wrapText="1"/>
    </xf>
    <xf numFmtId="0" fontId="260" fillId="19" borderId="23" xfId="10" applyFont="1" applyFill="1" applyBorder="1" applyAlignment="1">
      <alignment horizontal="center" vertical="center" wrapText="1"/>
    </xf>
    <xf numFmtId="0" fontId="260" fillId="19" borderId="25" xfId="10" applyFont="1" applyFill="1" applyBorder="1" applyAlignment="1">
      <alignment horizontal="center" vertical="center" wrapText="1"/>
    </xf>
    <xf numFmtId="0" fontId="264" fillId="19" borderId="0" xfId="1" applyFont="1" applyFill="1" applyBorder="1" applyAlignment="1">
      <alignment horizontal="left" vertical="center"/>
    </xf>
    <xf numFmtId="0" fontId="260" fillId="19" borderId="6" xfId="1" applyFont="1" applyFill="1" applyBorder="1" applyAlignment="1">
      <alignment horizontal="center" vertical="center"/>
    </xf>
    <xf numFmtId="0" fontId="260" fillId="19" borderId="9" xfId="1" applyFont="1" applyFill="1" applyBorder="1" applyAlignment="1">
      <alignment horizontal="center" vertical="center"/>
    </xf>
    <xf numFmtId="0" fontId="260" fillId="19" borderId="10" xfId="1" applyFont="1" applyFill="1" applyBorder="1" applyAlignment="1">
      <alignment horizontal="center" vertical="center"/>
    </xf>
    <xf numFmtId="0" fontId="265" fillId="0" borderId="1" xfId="1" applyFont="1" applyFill="1" applyBorder="1" applyAlignment="1">
      <alignment horizontal="left" vertical="center"/>
    </xf>
    <xf numFmtId="0" fontId="265" fillId="0" borderId="24" xfId="1" applyFont="1" applyFill="1" applyBorder="1" applyAlignment="1">
      <alignment horizontal="left" vertical="center"/>
    </xf>
    <xf numFmtId="0" fontId="265" fillId="0" borderId="1" xfId="1" applyFont="1" applyFill="1" applyBorder="1" applyAlignment="1">
      <alignment horizontal="center" vertical="center"/>
    </xf>
    <xf numFmtId="0" fontId="265" fillId="0" borderId="24" xfId="1" applyFont="1" applyFill="1" applyBorder="1" applyAlignment="1">
      <alignment horizontal="center" vertical="center"/>
    </xf>
    <xf numFmtId="0" fontId="261" fillId="0" borderId="1" xfId="10" applyFont="1" applyFill="1" applyBorder="1" applyAlignment="1">
      <alignment horizontal="center" vertical="center" wrapText="1"/>
    </xf>
    <xf numFmtId="0" fontId="261" fillId="0" borderId="24" xfId="10" applyFont="1" applyFill="1" applyBorder="1" applyAlignment="1">
      <alignment horizontal="center" vertical="center" wrapText="1"/>
    </xf>
    <xf numFmtId="0" fontId="261" fillId="0" borderId="1" xfId="10" applyFont="1" applyFill="1" applyBorder="1" applyAlignment="1">
      <alignment vertical="center" wrapText="1"/>
    </xf>
    <xf numFmtId="0" fontId="261" fillId="0" borderId="32" xfId="10" applyFont="1" applyFill="1" applyBorder="1" applyAlignment="1">
      <alignment horizontal="center" vertical="center" wrapText="1"/>
    </xf>
    <xf numFmtId="0" fontId="261" fillId="0" borderId="49" xfId="10" applyFont="1" applyFill="1" applyBorder="1" applyAlignment="1">
      <alignment horizontal="center" vertical="center" wrapText="1"/>
    </xf>
    <xf numFmtId="0" fontId="260" fillId="19" borderId="9" xfId="10" applyFont="1" applyFill="1" applyBorder="1" applyAlignment="1">
      <alignment horizontal="center" vertical="center" wrapText="1"/>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187"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22">
    <cellStyle name="百分比 2" xfId="14"/>
    <cellStyle name="百分比 2 2" xfId="17"/>
    <cellStyle name="百分比 3" xfId="21"/>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 name="千位分隔 4" xfId="19"/>
  </cellStyles>
  <dxfs count="23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1</xdr:row>
      <xdr:rowOff>95250</xdr:rowOff>
    </xdr:from>
    <xdr:to>
      <xdr:col>16</xdr:col>
      <xdr:colOff>484356</xdr:colOff>
      <xdr:row>35</xdr:row>
      <xdr:rowOff>151665</xdr:rowOff>
    </xdr:to>
    <xdr:pic>
      <xdr:nvPicPr>
        <xdr:cNvPr id="6" name="图片 5">
          <a:extLst>
            <a:ext uri="{FF2B5EF4-FFF2-40B4-BE49-F238E27FC236}">
              <a16:creationId xmlns="" xmlns:a16="http://schemas.microsoft.com/office/drawing/2014/main" id="{00000000-0008-0000-1500-000006000000}"/>
            </a:ext>
          </a:extLst>
        </xdr:cNvPr>
        <xdr:cNvPicPr>
          <a:picLocks noChangeAspect="1"/>
        </xdr:cNvPicPr>
      </xdr:nvPicPr>
      <xdr:blipFill>
        <a:blip xmlns:r="http://schemas.openxmlformats.org/officeDocument/2006/relationships" r:embed="rId1"/>
        <a:stretch>
          <a:fillRect/>
        </a:stretch>
      </xdr:blipFill>
      <xdr:spPr>
        <a:xfrm>
          <a:off x="95250" y="16040100"/>
          <a:ext cx="11361906" cy="5885715"/>
        </a:xfrm>
        <a:prstGeom prst="rect">
          <a:avLst/>
        </a:prstGeom>
      </xdr:spPr>
    </xdr:pic>
    <xdr:clientData/>
  </xdr:twoCellAnchor>
  <xdr:twoCellAnchor editAs="oneCell">
    <xdr:from>
      <xdr:col>0</xdr:col>
      <xdr:colOff>285750</xdr:colOff>
      <xdr:row>36</xdr:row>
      <xdr:rowOff>142875</xdr:rowOff>
    </xdr:from>
    <xdr:to>
      <xdr:col>11</xdr:col>
      <xdr:colOff>218141</xdr:colOff>
      <xdr:row>44</xdr:row>
      <xdr:rowOff>114132</xdr:rowOff>
    </xdr:to>
    <xdr:pic>
      <xdr:nvPicPr>
        <xdr:cNvPr id="7" name="图片 6">
          <a:extLst>
            <a:ext uri="{FF2B5EF4-FFF2-40B4-BE49-F238E27FC236}">
              <a16:creationId xmlns="" xmlns:a16="http://schemas.microsoft.com/office/drawing/2014/main" id="{00000000-0008-0000-1500-000007000000}"/>
            </a:ext>
          </a:extLst>
        </xdr:cNvPr>
        <xdr:cNvPicPr>
          <a:picLocks noChangeAspect="1"/>
        </xdr:cNvPicPr>
      </xdr:nvPicPr>
      <xdr:blipFill>
        <a:blip xmlns:r="http://schemas.openxmlformats.org/officeDocument/2006/relationships" r:embed="rId2"/>
        <a:stretch>
          <a:fillRect/>
        </a:stretch>
      </xdr:blipFill>
      <xdr:spPr>
        <a:xfrm>
          <a:off x="285750" y="22088475"/>
          <a:ext cx="7476191" cy="1342857"/>
        </a:xfrm>
        <a:prstGeom prst="rect">
          <a:avLst/>
        </a:prstGeom>
      </xdr:spPr>
    </xdr:pic>
    <xdr:clientData/>
  </xdr:twoCellAnchor>
  <xdr:twoCellAnchor editAs="oneCell">
    <xdr:from>
      <xdr:col>0</xdr:col>
      <xdr:colOff>114300</xdr:colOff>
      <xdr:row>46</xdr:row>
      <xdr:rowOff>19050</xdr:rowOff>
    </xdr:from>
    <xdr:to>
      <xdr:col>16</xdr:col>
      <xdr:colOff>446263</xdr:colOff>
      <xdr:row>79</xdr:row>
      <xdr:rowOff>161200</xdr:rowOff>
    </xdr:to>
    <xdr:pic>
      <xdr:nvPicPr>
        <xdr:cNvPr id="8" name="图片 7">
          <a:extLst>
            <a:ext uri="{FF2B5EF4-FFF2-40B4-BE49-F238E27FC236}">
              <a16:creationId xmlns="" xmlns:a16="http://schemas.microsoft.com/office/drawing/2014/main" id="{00000000-0008-0000-1500-000008000000}"/>
            </a:ext>
          </a:extLst>
        </xdr:cNvPr>
        <xdr:cNvPicPr>
          <a:picLocks noChangeAspect="1"/>
        </xdr:cNvPicPr>
      </xdr:nvPicPr>
      <xdr:blipFill>
        <a:blip xmlns:r="http://schemas.openxmlformats.org/officeDocument/2006/relationships" r:embed="rId3"/>
        <a:stretch>
          <a:fillRect/>
        </a:stretch>
      </xdr:blipFill>
      <xdr:spPr>
        <a:xfrm>
          <a:off x="114300" y="7905750"/>
          <a:ext cx="11304763" cy="5800000"/>
        </a:xfrm>
        <a:prstGeom prst="rect">
          <a:avLst/>
        </a:prstGeom>
      </xdr:spPr>
    </xdr:pic>
    <xdr:clientData/>
  </xdr:twoCellAnchor>
  <xdr:twoCellAnchor editAs="oneCell">
    <xdr:from>
      <xdr:col>0</xdr:col>
      <xdr:colOff>104775</xdr:colOff>
      <xdr:row>80</xdr:row>
      <xdr:rowOff>152400</xdr:rowOff>
    </xdr:from>
    <xdr:to>
      <xdr:col>13</xdr:col>
      <xdr:colOff>141757</xdr:colOff>
      <xdr:row>119</xdr:row>
      <xdr:rowOff>75374</xdr:rowOff>
    </xdr:to>
    <xdr:pic>
      <xdr:nvPicPr>
        <xdr:cNvPr id="9" name="图片 8">
          <a:extLst>
            <a:ext uri="{FF2B5EF4-FFF2-40B4-BE49-F238E27FC236}">
              <a16:creationId xmlns="" xmlns:a16="http://schemas.microsoft.com/office/drawing/2014/main" id="{00000000-0008-0000-1500-000009000000}"/>
            </a:ext>
          </a:extLst>
        </xdr:cNvPr>
        <xdr:cNvPicPr>
          <a:picLocks noChangeAspect="1"/>
        </xdr:cNvPicPr>
      </xdr:nvPicPr>
      <xdr:blipFill>
        <a:blip xmlns:r="http://schemas.openxmlformats.org/officeDocument/2006/relationships" r:embed="rId4"/>
        <a:stretch>
          <a:fillRect/>
        </a:stretch>
      </xdr:blipFill>
      <xdr:spPr>
        <a:xfrm>
          <a:off x="104775" y="13868400"/>
          <a:ext cx="8952382" cy="6609524"/>
        </a:xfrm>
        <a:prstGeom prst="rect">
          <a:avLst/>
        </a:prstGeom>
      </xdr:spPr>
    </xdr:pic>
    <xdr:clientData/>
  </xdr:twoCellAnchor>
  <xdr:twoCellAnchor editAs="oneCell">
    <xdr:from>
      <xdr:col>14</xdr:col>
      <xdr:colOff>0</xdr:colOff>
      <xdr:row>84</xdr:row>
      <xdr:rowOff>0</xdr:rowOff>
    </xdr:from>
    <xdr:to>
      <xdr:col>23</xdr:col>
      <xdr:colOff>161134</xdr:colOff>
      <xdr:row>99</xdr:row>
      <xdr:rowOff>18726</xdr:rowOff>
    </xdr:to>
    <xdr:pic>
      <xdr:nvPicPr>
        <xdr:cNvPr id="10" name="图片 9">
          <a:extLst>
            <a:ext uri="{FF2B5EF4-FFF2-40B4-BE49-F238E27FC236}">
              <a16:creationId xmlns="" xmlns:a16="http://schemas.microsoft.com/office/drawing/2014/main" id="{00000000-0008-0000-1500-00000A000000}"/>
            </a:ext>
          </a:extLst>
        </xdr:cNvPr>
        <xdr:cNvPicPr>
          <a:picLocks noChangeAspect="1"/>
        </xdr:cNvPicPr>
      </xdr:nvPicPr>
      <xdr:blipFill>
        <a:blip xmlns:r="http://schemas.openxmlformats.org/officeDocument/2006/relationships" r:embed="rId5"/>
        <a:stretch>
          <a:fillRect/>
        </a:stretch>
      </xdr:blipFill>
      <xdr:spPr>
        <a:xfrm>
          <a:off x="9601200" y="30175200"/>
          <a:ext cx="6333334" cy="2590476"/>
        </a:xfrm>
        <a:prstGeom prst="rect">
          <a:avLst/>
        </a:prstGeom>
      </xdr:spPr>
    </xdr:pic>
    <xdr:clientData/>
  </xdr:twoCellAnchor>
  <xdr:twoCellAnchor editAs="oneCell">
    <xdr:from>
      <xdr:col>0</xdr:col>
      <xdr:colOff>314325</xdr:colOff>
      <xdr:row>120</xdr:row>
      <xdr:rowOff>95250</xdr:rowOff>
    </xdr:from>
    <xdr:to>
      <xdr:col>17</xdr:col>
      <xdr:colOff>189059</xdr:colOff>
      <xdr:row>156</xdr:row>
      <xdr:rowOff>123050</xdr:rowOff>
    </xdr:to>
    <xdr:pic>
      <xdr:nvPicPr>
        <xdr:cNvPr id="11" name="图片 10">
          <a:extLst>
            <a:ext uri="{FF2B5EF4-FFF2-40B4-BE49-F238E27FC236}">
              <a16:creationId xmlns="" xmlns:a16="http://schemas.microsoft.com/office/drawing/2014/main" id="{00000000-0008-0000-1500-00000B000000}"/>
            </a:ext>
          </a:extLst>
        </xdr:cNvPr>
        <xdr:cNvPicPr>
          <a:picLocks noChangeAspect="1"/>
        </xdr:cNvPicPr>
      </xdr:nvPicPr>
      <xdr:blipFill>
        <a:blip xmlns:r="http://schemas.openxmlformats.org/officeDocument/2006/relationships" r:embed="rId6"/>
        <a:stretch>
          <a:fillRect/>
        </a:stretch>
      </xdr:blipFill>
      <xdr:spPr>
        <a:xfrm>
          <a:off x="314325" y="36442650"/>
          <a:ext cx="11533334" cy="6200000"/>
        </a:xfrm>
        <a:prstGeom prst="rect">
          <a:avLst/>
        </a:prstGeom>
      </xdr:spPr>
    </xdr:pic>
    <xdr:clientData/>
  </xdr:twoCellAnchor>
  <xdr:twoCellAnchor editAs="oneCell">
    <xdr:from>
      <xdr:col>0</xdr:col>
      <xdr:colOff>0</xdr:colOff>
      <xdr:row>158</xdr:row>
      <xdr:rowOff>0</xdr:rowOff>
    </xdr:from>
    <xdr:to>
      <xdr:col>16</xdr:col>
      <xdr:colOff>503391</xdr:colOff>
      <xdr:row>192</xdr:row>
      <xdr:rowOff>84986</xdr:rowOff>
    </xdr:to>
    <xdr:pic>
      <xdr:nvPicPr>
        <xdr:cNvPr id="13" name="图片 12">
          <a:extLst>
            <a:ext uri="{FF2B5EF4-FFF2-40B4-BE49-F238E27FC236}">
              <a16:creationId xmlns="" xmlns:a16="http://schemas.microsoft.com/office/drawing/2014/main" id="{00000000-0008-0000-1500-00000D000000}"/>
            </a:ext>
          </a:extLst>
        </xdr:cNvPr>
        <xdr:cNvPicPr>
          <a:picLocks noChangeAspect="1"/>
        </xdr:cNvPicPr>
      </xdr:nvPicPr>
      <xdr:blipFill>
        <a:blip xmlns:r="http://schemas.openxmlformats.org/officeDocument/2006/relationships" r:embed="rId7"/>
        <a:stretch>
          <a:fillRect/>
        </a:stretch>
      </xdr:blipFill>
      <xdr:spPr>
        <a:xfrm>
          <a:off x="0" y="42862500"/>
          <a:ext cx="11476191" cy="5914286"/>
        </a:xfrm>
        <a:prstGeom prst="rect">
          <a:avLst/>
        </a:prstGeom>
      </xdr:spPr>
    </xdr:pic>
    <xdr:clientData/>
  </xdr:twoCellAnchor>
  <xdr:twoCellAnchor editAs="oneCell">
    <xdr:from>
      <xdr:col>0</xdr:col>
      <xdr:colOff>295275</xdr:colOff>
      <xdr:row>193</xdr:row>
      <xdr:rowOff>19050</xdr:rowOff>
    </xdr:from>
    <xdr:to>
      <xdr:col>13</xdr:col>
      <xdr:colOff>494161</xdr:colOff>
      <xdr:row>224</xdr:row>
      <xdr:rowOff>27910</xdr:rowOff>
    </xdr:to>
    <xdr:pic>
      <xdr:nvPicPr>
        <xdr:cNvPr id="14" name="图片 13">
          <a:extLst>
            <a:ext uri="{FF2B5EF4-FFF2-40B4-BE49-F238E27FC236}">
              <a16:creationId xmlns="" xmlns:a16="http://schemas.microsoft.com/office/drawing/2014/main" id="{00000000-0008-0000-1500-00000E000000}"/>
            </a:ext>
          </a:extLst>
        </xdr:cNvPr>
        <xdr:cNvPicPr>
          <a:picLocks noChangeAspect="1"/>
        </xdr:cNvPicPr>
      </xdr:nvPicPr>
      <xdr:blipFill>
        <a:blip xmlns:r="http://schemas.openxmlformats.org/officeDocument/2006/relationships" r:embed="rId8"/>
        <a:stretch>
          <a:fillRect/>
        </a:stretch>
      </xdr:blipFill>
      <xdr:spPr>
        <a:xfrm>
          <a:off x="295275" y="33108900"/>
          <a:ext cx="9114286" cy="5323810"/>
        </a:xfrm>
        <a:prstGeom prst="rect">
          <a:avLst/>
        </a:prstGeom>
      </xdr:spPr>
    </xdr:pic>
    <xdr:clientData/>
  </xdr:twoCellAnchor>
  <xdr:twoCellAnchor editAs="oneCell">
    <xdr:from>
      <xdr:col>5</xdr:col>
      <xdr:colOff>381000</xdr:colOff>
      <xdr:row>6</xdr:row>
      <xdr:rowOff>76200</xdr:rowOff>
    </xdr:from>
    <xdr:to>
      <xdr:col>15</xdr:col>
      <xdr:colOff>303953</xdr:colOff>
      <xdr:row>44</xdr:row>
      <xdr:rowOff>56339</xdr:rowOff>
    </xdr:to>
    <xdr:pic>
      <xdr:nvPicPr>
        <xdr:cNvPr id="15" name="图片 14">
          <a:extLst>
            <a:ext uri="{FF2B5EF4-FFF2-40B4-BE49-F238E27FC236}">
              <a16:creationId xmlns="" xmlns:a16="http://schemas.microsoft.com/office/drawing/2014/main" id="{00000000-0008-0000-1500-00000F000000}"/>
            </a:ext>
          </a:extLst>
        </xdr:cNvPr>
        <xdr:cNvPicPr>
          <a:picLocks noChangeAspect="1"/>
        </xdr:cNvPicPr>
      </xdr:nvPicPr>
      <xdr:blipFill>
        <a:blip xmlns:r="http://schemas.openxmlformats.org/officeDocument/2006/relationships" r:embed="rId9"/>
        <a:stretch>
          <a:fillRect/>
        </a:stretch>
      </xdr:blipFill>
      <xdr:spPr>
        <a:xfrm>
          <a:off x="3810000" y="1104900"/>
          <a:ext cx="6780953" cy="6495239"/>
        </a:xfrm>
        <a:prstGeom prst="rect">
          <a:avLst/>
        </a:prstGeom>
      </xdr:spPr>
    </xdr:pic>
    <xdr:clientData/>
  </xdr:twoCellAnchor>
  <xdr:twoCellAnchor editAs="oneCell">
    <xdr:from>
      <xdr:col>0</xdr:col>
      <xdr:colOff>209550</xdr:colOff>
      <xdr:row>226</xdr:row>
      <xdr:rowOff>66675</xdr:rowOff>
    </xdr:from>
    <xdr:to>
      <xdr:col>16</xdr:col>
      <xdr:colOff>617703</xdr:colOff>
      <xdr:row>261</xdr:row>
      <xdr:rowOff>132592</xdr:rowOff>
    </xdr:to>
    <xdr:pic>
      <xdr:nvPicPr>
        <xdr:cNvPr id="16" name="图片 15">
          <a:extLst>
            <a:ext uri="{FF2B5EF4-FFF2-40B4-BE49-F238E27FC236}">
              <a16:creationId xmlns="" xmlns:a16="http://schemas.microsoft.com/office/drawing/2014/main" id="{00000000-0008-0000-1500-000010000000}"/>
            </a:ext>
          </a:extLst>
        </xdr:cNvPr>
        <xdr:cNvPicPr>
          <a:picLocks noChangeAspect="1"/>
        </xdr:cNvPicPr>
      </xdr:nvPicPr>
      <xdr:blipFill>
        <a:blip xmlns:r="http://schemas.openxmlformats.org/officeDocument/2006/relationships" r:embed="rId10"/>
        <a:stretch>
          <a:fillRect/>
        </a:stretch>
      </xdr:blipFill>
      <xdr:spPr>
        <a:xfrm>
          <a:off x="209550" y="38814375"/>
          <a:ext cx="11380953" cy="6066667"/>
        </a:xfrm>
        <a:prstGeom prst="rect">
          <a:avLst/>
        </a:prstGeom>
      </xdr:spPr>
    </xdr:pic>
    <xdr:clientData/>
  </xdr:twoCellAnchor>
  <xdr:twoCellAnchor editAs="oneCell">
    <xdr:from>
      <xdr:col>0</xdr:col>
      <xdr:colOff>342900</xdr:colOff>
      <xdr:row>262</xdr:row>
      <xdr:rowOff>142875</xdr:rowOff>
    </xdr:from>
    <xdr:to>
      <xdr:col>13</xdr:col>
      <xdr:colOff>484643</xdr:colOff>
      <xdr:row>286</xdr:row>
      <xdr:rowOff>170932</xdr:rowOff>
    </xdr:to>
    <xdr:pic>
      <xdr:nvPicPr>
        <xdr:cNvPr id="17" name="图片 16">
          <a:extLst>
            <a:ext uri="{FF2B5EF4-FFF2-40B4-BE49-F238E27FC236}">
              <a16:creationId xmlns="" xmlns:a16="http://schemas.microsoft.com/office/drawing/2014/main" id="{00000000-0008-0000-1500-000011000000}"/>
            </a:ext>
          </a:extLst>
        </xdr:cNvPr>
        <xdr:cNvPicPr>
          <a:picLocks noChangeAspect="1"/>
        </xdr:cNvPicPr>
      </xdr:nvPicPr>
      <xdr:blipFill>
        <a:blip xmlns:r="http://schemas.openxmlformats.org/officeDocument/2006/relationships" r:embed="rId11"/>
        <a:stretch>
          <a:fillRect/>
        </a:stretch>
      </xdr:blipFill>
      <xdr:spPr>
        <a:xfrm>
          <a:off x="342900" y="45062775"/>
          <a:ext cx="9057143" cy="4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556;&#22992;&#21326;&#22799;&#38134;&#34892;&#21271;&#19977;&#29615;&#25903;&#34892;/&#36807;&#31243;/&#25140;&#26031;&#37202;&#24215;&#65288;&#20027;&#65289;-&#21830;&#21153;&#37329;&#34701;-&#29579;&#28165;&#38597;20210716-095827-&#29579;&#36229;&#23731;20210716-1027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40;&#26031;&#37202;&#24215;-&#26426;&#20851;&#22242;&#203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成本法"/>
      <sheetName val="成本法 (元)"/>
      <sheetName val="假设开发法"/>
      <sheetName val="基准地价修正"/>
      <sheetName val="基准地价修正 (2)"/>
      <sheetName val="基准地价（汇总）"/>
      <sheetName val="收益法"/>
      <sheetName val="收益法 (元)"/>
      <sheetName val="酒店收入计算"/>
      <sheetName val="收益法-新"/>
      <sheetName val="酒店过往经营表现"/>
      <sheetName val="酒店经营情况"/>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收益法-新</v>
          </cell>
        </row>
        <row r="19">
          <cell r="A19" t="str">
            <v>宿舍</v>
          </cell>
          <cell r="B19" t="str">
            <v>基准地价修正 (2)</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酒店</v>
          </cell>
          <cell r="F19">
            <v>5947.41</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sheetData sheetId="42"/>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基准地价修正 (2)"/>
      <sheetName val="收益法-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B2">
            <v>3785</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 ca="1">'预评函-封皮'!B46</f>
        <v>郑燚（注册号：1120070131)、吴薇（注册号：1419970001)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估价对象为北京市房地产，为所有。根据《国有土地使用证》[]，估价对象（分摊）出让国有建设用地使用权面积为3986.98平方米，建筑面积为8042.29平方米。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估价对象为北京市房地产,属开发建设的，该项目尚在开发建设中。根据《国有土地使用证》[]，估价对象（分摊）出让国有建设用地使用权面积为3986.98平方米，规划建筑面积为8042.29平方米。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2021年7月19日</v>
      </c>
    </row>
    <row r="13" spans="1:2" s="1365" customFormat="1">
      <c r="A13" s="1363" t="s">
        <v>1194</v>
      </c>
      <c r="B13" s="1364" t="str">
        <f>'预评函-1'!A18</f>
        <v>本次估价的“房地产价值”是指在正常市场情况下，在价值时点2021年7月19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本次评估采用的主估价方法为成本法和比较法。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46880</v>
      </c>
    </row>
    <row r="21" spans="1:2" s="1365" customFormat="1">
      <c r="A21" s="1363" t="s">
        <v>1202</v>
      </c>
      <c r="B21" s="1364">
        <f ca="1">'预评函-2'!D7</f>
        <v>58292</v>
      </c>
    </row>
    <row r="22" spans="1:2" s="1365" customFormat="1">
      <c r="A22" s="1363" t="s">
        <v>1203</v>
      </c>
      <c r="B22" s="1364" t="str">
        <f ca="1">'预评函-2'!D6</f>
        <v>肆亿陆仟捌佰捌拾万元整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46880</v>
      </c>
    </row>
    <row r="31" spans="1:2" s="1365" customFormat="1">
      <c r="A31" s="1363" t="s">
        <v>1241</v>
      </c>
      <c r="B31" s="1364">
        <f ca="1">'预评函-2'!D15</f>
        <v>58292</v>
      </c>
    </row>
    <row r="32" spans="1:2" s="1365" customFormat="1">
      <c r="A32" s="1363" t="s">
        <v>1208</v>
      </c>
      <c r="B32" s="1364" t="str">
        <f ca="1">'预评函-2'!D14</f>
        <v>肆亿陆仟捌佰捌拾万元整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33882</v>
      </c>
    </row>
    <row r="39" spans="1:2" s="1365" customFormat="1">
      <c r="A39" s="1363" t="s">
        <v>1210</v>
      </c>
      <c r="B39" s="1364">
        <f ca="1">'预评函-2'!D21</f>
        <v>42130</v>
      </c>
    </row>
    <row r="40" spans="1:2" s="1365" customFormat="1">
      <c r="A40" s="1363" t="s">
        <v>1211</v>
      </c>
      <c r="B40" s="1364" t="str">
        <f ca="1">'预评函-2'!D20</f>
        <v>叁亿叁仟捌佰捌拾贰万元整</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8042.29</v>
      </c>
    </row>
    <row r="44" spans="1:2" s="1365" customFormat="1">
      <c r="A44" s="1363" t="s">
        <v>1240</v>
      </c>
      <c r="B44" s="1364" t="str">
        <f>'预评函-3'!C2</f>
        <v>(分摊)土地面积</v>
      </c>
    </row>
    <row r="45" spans="1:2" s="1365" customFormat="1">
      <c r="A45" s="1363" t="s">
        <v>1212</v>
      </c>
      <c r="B45" s="1364">
        <f>'预评函-3'!C4</f>
        <v>3986.98</v>
      </c>
    </row>
    <row r="46" spans="1:2" s="1365" customFormat="1">
      <c r="A46" s="1363" t="s">
        <v>1238</v>
      </c>
      <c r="B46" s="1364" t="str">
        <f>'预评函-3'!D2</f>
        <v>出让国有建设用地使用权价值</v>
      </c>
    </row>
    <row r="47" spans="1:2" s="1365" customFormat="1">
      <c r="A47" s="1363" t="s">
        <v>1213</v>
      </c>
      <c r="B47" s="1364">
        <f ca="1">'预评函-3'!D4</f>
        <v>42333</v>
      </c>
    </row>
    <row r="48" spans="1:2" s="1365" customFormat="1">
      <c r="A48" s="1363" t="s">
        <v>1214</v>
      </c>
      <c r="B48" s="1364">
        <f ca="1">'预评函-3'!E4</f>
        <v>52638</v>
      </c>
    </row>
    <row r="49" spans="1:2" s="1365" customFormat="1">
      <c r="A49" s="1363" t="s">
        <v>1215</v>
      </c>
      <c r="B49" s="1364" t="str">
        <f ca="1">'预评函-3'!D5</f>
        <v>肆亿贰仟叁佰叁拾叁万元整</v>
      </c>
    </row>
    <row r="50" spans="1:2" s="1365" customFormat="1">
      <c r="A50" s="1363" t="s">
        <v>1239</v>
      </c>
      <c r="B50" s="1364" t="str">
        <f>'预评函-3'!F2</f>
        <v>在建建筑物价值</v>
      </c>
    </row>
    <row r="51" spans="1:2" s="1365" customFormat="1">
      <c r="A51" s="1363" t="s">
        <v>1216</v>
      </c>
      <c r="B51" s="1364">
        <f ca="1">'预评函-3'!F4</f>
        <v>4547</v>
      </c>
    </row>
    <row r="52" spans="1:2" s="1365" customFormat="1">
      <c r="A52" s="1363" t="s">
        <v>1217</v>
      </c>
      <c r="B52" s="1364">
        <f ca="1">'预评函-3'!G4</f>
        <v>5654</v>
      </c>
    </row>
    <row r="53" spans="1:2" s="1365" customFormat="1">
      <c r="A53" s="1363" t="s">
        <v>1245</v>
      </c>
      <c r="B53" s="1364" t="str">
        <f ca="1">'预评函-3'!F5</f>
        <v>肆仟伍佰肆拾柒万元整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郑燚</v>
      </c>
    </row>
    <row r="71" spans="1:2">
      <c r="A71" s="1363" t="s">
        <v>1228</v>
      </c>
      <c r="B71" s="1364">
        <f ca="1">'预评函-4'!B4</f>
        <v>1120070131</v>
      </c>
    </row>
    <row r="72" spans="1:2">
      <c r="A72" s="1363" t="s">
        <v>1229</v>
      </c>
      <c r="B72" s="1372" t="str">
        <f>'预评函-4'!A5</f>
        <v>吴薇</v>
      </c>
    </row>
    <row r="73" spans="1:2" s="1359" customFormat="1" ht="15" thickBot="1">
      <c r="A73" s="1366" t="s">
        <v>1230</v>
      </c>
      <c r="B73" s="1367">
        <f ca="1">'预评函-4'!B5</f>
        <v>1419970001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225"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5"/>
      <c r="B54" s="1739" t="s">
        <v>832</v>
      </c>
      <c r="C54" s="1736" t="s">
        <v>1248</v>
      </c>
    </row>
    <row r="55" spans="1:4">
      <c r="A55" s="3225"/>
      <c r="B55" s="1739" t="s">
        <v>833</v>
      </c>
      <c r="C55" s="1736" t="s">
        <v>1249</v>
      </c>
    </row>
    <row r="56" spans="1:4">
      <c r="A56" s="3225"/>
      <c r="B56" s="1739" t="s">
        <v>834</v>
      </c>
      <c r="C56" s="1736" t="s">
        <v>1253</v>
      </c>
    </row>
    <row r="57" spans="1:4">
      <c r="A57" s="3225"/>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9" sqref="D49"/>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226" t="str">
        <f>IF(B10="北京市","北京市",C10)&amp;F10&amp;IF(结果表!G1="在建","出让国有建设用地使用权及在建建筑物",IF(结果表!G1="土地","出让国有建设用地使用权",))&amp;B9&amp;"预评估"</f>
        <v>北京市房地产抵押价值预评估</v>
      </c>
      <c r="C1" s="3227"/>
      <c r="D1" s="3227"/>
      <c r="E1" s="3227"/>
      <c r="F1" s="3227"/>
      <c r="G1" s="3227"/>
      <c r="H1" s="3227"/>
      <c r="I1" s="3228"/>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2914</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2915</v>
      </c>
      <c r="B3" s="2597"/>
      <c r="C3" s="2598" t="s">
        <v>2916</v>
      </c>
      <c r="D3" s="2597">
        <v>44396</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2917</v>
      </c>
      <c r="B4" s="2599" t="s">
        <v>3343</v>
      </c>
      <c r="C4" s="2600">
        <f ca="1">SUMIF(注册房地产估价师,B4,估价师及机构信息!B3:B24)</f>
        <v>1120070131</v>
      </c>
      <c r="D4" s="2599" t="s">
        <v>3344</v>
      </c>
      <c r="E4" s="2601">
        <f ca="1">SUMIF(注册房地产估价师,D4,估价师及机构信息!B3:B24)</f>
        <v>1419970001</v>
      </c>
      <c r="F4" s="2599"/>
      <c r="G4" s="2601">
        <f>SUMIF(注册房地产估价师,F4,估价师及机构信息!B3:B24)</f>
        <v>0</v>
      </c>
      <c r="H4" s="2599"/>
      <c r="I4" s="2601">
        <f>SUMIF(注册房地产估价师,H4,估价师及机构信息!B3:B24)</f>
        <v>0</v>
      </c>
      <c r="J4" s="2665"/>
      <c r="K4" s="2602" t="str">
        <f ca="1">CONCATENATE(B4,"（注册号：",C4,")、",D4,"（注册号：",E4,")")</f>
        <v>郑燚（注册号：1120070131)、吴薇（注册号：1419970001)</v>
      </c>
      <c r="L4" s="2593"/>
      <c r="M4" s="2593"/>
      <c r="N4" s="2594"/>
      <c r="O4" s="1761"/>
      <c r="P4" s="2594"/>
      <c r="Q4" s="2594"/>
      <c r="R4" s="2594"/>
      <c r="S4" s="1868"/>
      <c r="T4" s="1931"/>
      <c r="U4" s="1931"/>
      <c r="V4" s="1931"/>
      <c r="W4" s="1931"/>
      <c r="X4" s="1931"/>
      <c r="Y4" s="1931"/>
      <c r="Z4" s="1931"/>
      <c r="AA4" s="1931"/>
      <c r="AB4" s="1931"/>
    </row>
    <row r="5" spans="1:28" ht="13.5" thickTop="1">
      <c r="A5" s="2603" t="s">
        <v>2918</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2919</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2920</v>
      </c>
      <c r="B7" s="2611"/>
      <c r="C7" s="2609"/>
      <c r="D7" s="2610"/>
      <c r="E7" s="2889"/>
      <c r="F7" s="2891"/>
      <c r="G7" s="2891"/>
      <c r="H7" s="2891"/>
      <c r="I7" s="2891"/>
      <c r="J7" s="2665"/>
      <c r="K7" s="2842"/>
      <c r="L7" s="2839"/>
      <c r="M7" s="2839"/>
      <c r="N7" s="2665"/>
      <c r="O7" s="2676"/>
      <c r="P7" s="2665"/>
      <c r="Q7" s="2665"/>
      <c r="R7" s="2665"/>
    </row>
    <row r="8" spans="1:28">
      <c r="A8" s="2612" t="s">
        <v>2921</v>
      </c>
      <c r="B8" s="2613" t="s">
        <v>3063</v>
      </c>
      <c r="C8" s="2614"/>
      <c r="D8" s="3229" t="s">
        <v>2922</v>
      </c>
      <c r="E8" s="2615" t="s">
        <v>3064</v>
      </c>
      <c r="F8" s="2616"/>
      <c r="G8" s="2890"/>
      <c r="H8" s="2890"/>
      <c r="I8" s="2890"/>
      <c r="J8" s="2665"/>
      <c r="K8" s="2840"/>
      <c r="L8" s="2839"/>
      <c r="M8" s="2839"/>
      <c r="N8" s="2665"/>
      <c r="O8" s="2676"/>
      <c r="P8" s="2665"/>
      <c r="Q8" s="2665"/>
      <c r="R8" s="2665"/>
    </row>
    <row r="9" spans="1:28" ht="13.5" thickBot="1">
      <c r="A9" s="2617" t="s">
        <v>2923</v>
      </c>
      <c r="B9" s="2618" t="s">
        <v>3064</v>
      </c>
      <c r="C9" s="2619"/>
      <c r="D9" s="3230"/>
      <c r="E9" s="2618" t="s">
        <v>1252</v>
      </c>
      <c r="F9" s="2620"/>
      <c r="G9" s="2892"/>
      <c r="H9" s="2892"/>
      <c r="I9" s="2892"/>
      <c r="J9" s="2665"/>
      <c r="K9" s="2842"/>
      <c r="L9" s="2839"/>
      <c r="M9" s="2839"/>
      <c r="N9" s="2665"/>
      <c r="O9" s="2676"/>
      <c r="P9" s="2665"/>
      <c r="Q9" s="2665"/>
      <c r="R9" s="2665"/>
    </row>
    <row r="10" spans="1:28" ht="13.5" thickTop="1">
      <c r="A10" s="2621" t="s">
        <v>2924</v>
      </c>
      <c r="B10" s="2622" t="s">
        <v>3065</v>
      </c>
      <c r="C10" s="2623"/>
      <c r="D10" s="2606"/>
      <c r="E10" s="2624" t="s">
        <v>2925</v>
      </c>
      <c r="F10" s="2893"/>
      <c r="G10" s="2894"/>
      <c r="H10" s="2895"/>
      <c r="I10" s="2896"/>
      <c r="J10" s="2665"/>
      <c r="K10" s="2842"/>
      <c r="L10" s="2839"/>
      <c r="M10" s="2839"/>
      <c r="N10" s="2665"/>
      <c r="O10" s="2676"/>
      <c r="P10" s="2665"/>
      <c r="Q10" s="2665"/>
      <c r="R10" s="2665"/>
    </row>
    <row r="11" spans="1:28">
      <c r="A11" s="2625" t="s">
        <v>2926</v>
      </c>
      <c r="B11" s="2626" t="s">
        <v>3066</v>
      </c>
      <c r="C11" s="2627"/>
      <c r="D11" s="2628"/>
      <c r="E11" s="2594"/>
      <c r="F11" s="2594"/>
      <c r="G11" s="2594"/>
      <c r="H11" s="2594"/>
      <c r="I11" s="2594"/>
      <c r="J11" s="2665"/>
      <c r="K11" s="2842"/>
      <c r="L11" s="2839"/>
      <c r="M11" s="2839"/>
      <c r="N11" s="2665"/>
      <c r="O11" s="2676"/>
      <c r="P11" s="2665"/>
      <c r="Q11" s="2665"/>
      <c r="R11" s="2665"/>
    </row>
    <row r="12" spans="1:28">
      <c r="A12" s="2629" t="s">
        <v>2927</v>
      </c>
      <c r="B12" s="2626" t="s">
        <v>3067</v>
      </c>
      <c r="C12" s="329" t="s">
        <v>2928</v>
      </c>
      <c r="D12" s="2630" t="s">
        <v>2929</v>
      </c>
      <c r="E12" s="2630" t="s">
        <v>2930</v>
      </c>
      <c r="F12" s="2630" t="s">
        <v>2931</v>
      </c>
      <c r="G12" s="2630" t="s">
        <v>2932</v>
      </c>
      <c r="H12" s="2630" t="s">
        <v>2933</v>
      </c>
      <c r="I12" s="2630" t="s">
        <v>2934</v>
      </c>
      <c r="J12" s="2665"/>
      <c r="K12" s="2842"/>
      <c r="L12" s="2839"/>
      <c r="M12" s="2839"/>
      <c r="N12" s="2665"/>
      <c r="O12" s="2676"/>
      <c r="P12" s="2665"/>
      <c r="Q12" s="2665"/>
      <c r="R12" s="2665"/>
    </row>
    <row r="13" spans="1:28">
      <c r="A13" s="1241"/>
      <c r="B13" s="2631"/>
      <c r="C13" s="2632" t="s">
        <v>2935</v>
      </c>
      <c r="D13" s="965"/>
      <c r="E13" s="965"/>
      <c r="F13" s="965">
        <v>57196</v>
      </c>
      <c r="G13" s="965"/>
      <c r="H13" s="965"/>
      <c r="I13" s="965"/>
      <c r="J13" s="2665"/>
      <c r="K13" s="2842"/>
      <c r="L13" s="2839"/>
      <c r="M13" s="2839"/>
      <c r="N13" s="2665"/>
      <c r="O13" s="2676"/>
      <c r="P13" s="2665"/>
      <c r="Q13" s="2665"/>
      <c r="R13" s="2665"/>
    </row>
    <row r="14" spans="1:28">
      <c r="A14" s="1241"/>
      <c r="B14" s="2631"/>
      <c r="C14" s="2632" t="s">
        <v>2936</v>
      </c>
      <c r="D14" s="2633"/>
      <c r="E14" s="2633"/>
      <c r="F14" s="2633">
        <v>50</v>
      </c>
      <c r="G14" s="2633"/>
      <c r="H14" s="2633"/>
      <c r="I14" s="2633"/>
      <c r="J14" s="2665"/>
      <c r="K14" s="2843"/>
      <c r="L14" s="2839"/>
      <c r="M14" s="2839"/>
      <c r="N14" s="2665"/>
      <c r="O14" s="2676"/>
      <c r="P14" s="2665"/>
      <c r="Q14" s="2665"/>
      <c r="R14" s="2665"/>
    </row>
    <row r="15" spans="1:28">
      <c r="A15" s="326"/>
      <c r="B15" s="2634"/>
      <c r="C15" s="2635" t="s">
        <v>2937</v>
      </c>
      <c r="D15" s="2636" t="str">
        <f>IF(B12="出让",IF(D13="","",ROUNDDOWN(MIN((D13-$D$3)/365,D14),2)),D14)</f>
        <v/>
      </c>
      <c r="E15" s="2636" t="str">
        <f>IF(B12="出让",IF(E13="","",ROUNDDOWN(MIN((E13-$D$3)/365,E14),2)),E14)</f>
        <v/>
      </c>
      <c r="F15" s="2636">
        <f>IF(B12="出让",IF(F13="","",ROUNDDOWN(MIN((F13-$D$3)/365,F14),2)),F14)</f>
        <v>35.06</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2938</v>
      </c>
      <c r="B16" s="3236"/>
      <c r="C16" s="3237"/>
      <c r="D16" s="3238"/>
      <c r="E16" s="2639" t="s">
        <v>2939</v>
      </c>
      <c r="F16" s="3239"/>
      <c r="G16" s="3240"/>
      <c r="H16" s="3240"/>
      <c r="I16" s="3241"/>
      <c r="J16" s="2665"/>
      <c r="K16" s="2844"/>
      <c r="L16" s="2677"/>
      <c r="M16" s="2677"/>
      <c r="N16" s="2735"/>
      <c r="O16" s="2677"/>
      <c r="P16" s="2735"/>
      <c r="Q16" s="2665"/>
      <c r="R16" s="2665"/>
    </row>
    <row r="17" spans="1:28">
      <c r="A17" s="319" t="s">
        <v>2940</v>
      </c>
      <c r="B17" s="308" t="s">
        <v>2941</v>
      </c>
      <c r="C17" s="11">
        <f>'数据-汇总表'!E3</f>
        <v>8042.29</v>
      </c>
      <c r="D17" s="2545" t="s">
        <v>2942</v>
      </c>
      <c r="E17" s="3242" t="s">
        <v>2943</v>
      </c>
      <c r="F17" s="3243"/>
      <c r="G17" s="3243"/>
      <c r="H17" s="3243"/>
      <c r="I17" s="3244"/>
      <c r="J17" s="2665"/>
      <c r="K17" s="2845"/>
      <c r="L17" s="2677"/>
      <c r="M17" s="2677"/>
      <c r="N17" s="2735"/>
      <c r="O17" s="2677"/>
      <c r="P17" s="2735"/>
      <c r="Q17" s="2665"/>
      <c r="R17" s="2665"/>
      <c r="S17" s="2665"/>
      <c r="T17" s="2665"/>
      <c r="U17" s="2665"/>
      <c r="V17" s="2665"/>
    </row>
    <row r="18" spans="1:28" ht="24.75" thickBot="1">
      <c r="A18" s="2640" t="s">
        <v>2944</v>
      </c>
      <c r="B18" s="1250" t="s">
        <v>2945</v>
      </c>
      <c r="C18" s="2641">
        <f>'数据-汇总表'!D3</f>
        <v>3986.98</v>
      </c>
      <c r="D18" s="1252" t="s">
        <v>2946</v>
      </c>
      <c r="E18" s="3245" t="s">
        <v>2947</v>
      </c>
      <c r="F18" s="3246"/>
      <c r="G18" s="3246"/>
      <c r="H18" s="3246"/>
      <c r="I18" s="3247"/>
      <c r="J18" s="2665"/>
      <c r="K18" s="2845"/>
      <c r="L18" s="2677"/>
      <c r="M18" s="2677"/>
      <c r="N18" s="2735"/>
      <c r="O18" s="2677"/>
      <c r="P18" s="2735"/>
      <c r="Q18" s="2665"/>
      <c r="R18" s="2665"/>
      <c r="S18" s="2665"/>
      <c r="T18" s="2665"/>
      <c r="U18" s="2665"/>
      <c r="V18" s="2665"/>
    </row>
    <row r="19" spans="1:28" ht="37.5" thickTop="1" thickBot="1">
      <c r="A19" s="333" t="s">
        <v>1741</v>
      </c>
      <c r="B19" s="313" t="s">
        <v>2948</v>
      </c>
      <c r="C19" s="1748"/>
      <c r="D19" s="1749" t="s">
        <v>2949</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2950</v>
      </c>
      <c r="B20" s="3232" t="s">
        <v>2951</v>
      </c>
      <c r="C20" s="3233"/>
      <c r="D20" s="3234" t="s">
        <v>2952</v>
      </c>
      <c r="E20" s="3235"/>
      <c r="F20" s="2874" t="s">
        <v>1742</v>
      </c>
      <c r="G20" s="2891"/>
      <c r="H20" s="2891"/>
      <c r="I20" s="2891"/>
      <c r="J20" s="2665"/>
      <c r="K20" s="3231"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2954</v>
      </c>
      <c r="C21" s="2861" t="s">
        <v>1743</v>
      </c>
      <c r="D21" s="1753" t="s">
        <v>2955</v>
      </c>
      <c r="E21" s="2862" t="s">
        <v>1743</v>
      </c>
      <c r="F21" s="2875"/>
      <c r="G21" s="2891"/>
      <c r="H21" s="2891"/>
      <c r="I21" s="2891"/>
      <c r="J21" s="2665"/>
      <c r="K21" s="323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2956</v>
      </c>
      <c r="C22" s="2861" t="s">
        <v>1744</v>
      </c>
      <c r="D22" s="2890"/>
      <c r="E22" s="2890"/>
      <c r="F22" s="2890"/>
      <c r="G22" s="2891"/>
      <c r="H22" s="2891"/>
      <c r="I22" s="2891"/>
      <c r="J22" s="2665"/>
      <c r="K22" s="323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2957</v>
      </c>
      <c r="B23" s="2728" t="s">
        <v>2958</v>
      </c>
      <c r="C23" s="2865"/>
      <c r="D23" s="2866" t="s">
        <v>2958</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249" t="s">
        <v>2959</v>
      </c>
      <c r="B27" s="326" t="s">
        <v>2960</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249"/>
      <c r="B28" s="308" t="s">
        <v>2961</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249"/>
      <c r="B29" s="308" t="s">
        <v>2962</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250"/>
      <c r="B30" s="308" t="s">
        <v>2963</v>
      </c>
      <c r="C30" s="3251"/>
      <c r="D30" s="3252"/>
      <c r="E30" s="2891"/>
      <c r="F30" s="2891"/>
      <c r="G30" s="2891"/>
      <c r="H30" s="2891"/>
      <c r="I30" s="2891"/>
      <c r="J30" s="2665"/>
      <c r="K30" s="2842"/>
      <c r="L30" s="2839"/>
      <c r="M30" s="2839"/>
      <c r="N30" s="2665"/>
      <c r="O30" s="2676"/>
      <c r="P30" s="2665"/>
      <c r="Q30" s="2665"/>
      <c r="R30" s="2665"/>
      <c r="S30" s="2665"/>
      <c r="T30" s="2665"/>
      <c r="U30" s="2665"/>
      <c r="V30" s="2665"/>
    </row>
    <row r="31" spans="1:28">
      <c r="A31" s="3253" t="s">
        <v>2964</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254"/>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254"/>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2965</v>
      </c>
      <c r="B34" s="2214"/>
      <c r="C34" s="2214"/>
      <c r="D34" s="2214"/>
      <c r="E34" s="2214"/>
      <c r="F34" s="2214"/>
      <c r="G34" s="2214"/>
      <c r="H34" s="2214"/>
      <c r="I34" s="2891"/>
      <c r="J34" s="2665"/>
      <c r="K34" s="2653">
        <f>COUNTIF(B34:H34,"——")</f>
        <v>0</v>
      </c>
      <c r="L34" s="329" t="s">
        <v>2966</v>
      </c>
      <c r="M34" s="329" t="s">
        <v>2967</v>
      </c>
      <c r="N34" s="329" t="s">
        <v>2968</v>
      </c>
      <c r="O34" s="329" t="s">
        <v>2969</v>
      </c>
      <c r="P34" s="329" t="s">
        <v>2970</v>
      </c>
      <c r="Q34" s="329" t="s">
        <v>2971</v>
      </c>
      <c r="R34" s="329" t="s">
        <v>2972</v>
      </c>
      <c r="S34" s="3248" t="s">
        <v>2973</v>
      </c>
      <c r="T34" s="2654" t="str">
        <f>NUMBERSTRING(7-K34,1)&amp;"通"</f>
        <v>七通</v>
      </c>
      <c r="U34" s="2665"/>
      <c r="V34" s="2665"/>
    </row>
    <row r="35" spans="1:30">
      <c r="A35" s="2655"/>
      <c r="B35" s="3255" t="s">
        <v>2974</v>
      </c>
      <c r="C35" s="3255"/>
      <c r="D35" s="3255"/>
      <c r="E35" s="3255"/>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48"/>
      <c r="T35" s="335" t="str">
        <f>IF(T34="一通",L35,IF(T34="二通",M35,IF(T34="三通",N35,IF(T34="四通",O35,IF(T34="五通",P35,IF(T34="六通",Q35,R35))))))</f>
        <v>、、、、、、</v>
      </c>
      <c r="U35" s="2665"/>
      <c r="V35" s="2665"/>
    </row>
    <row r="36" spans="1:30">
      <c r="A36" s="2656"/>
      <c r="B36" s="673" t="s">
        <v>2930</v>
      </c>
      <c r="C36" s="673" t="s">
        <v>2931</v>
      </c>
      <c r="D36" s="673" t="s">
        <v>2929</v>
      </c>
      <c r="E36" s="673" t="s">
        <v>2934</v>
      </c>
      <c r="F36" s="2897"/>
      <c r="G36" s="2891"/>
      <c r="H36" s="2891"/>
      <c r="I36" s="2891"/>
      <c r="J36" s="2665"/>
      <c r="K36" s="2842"/>
      <c r="L36" s="2839"/>
      <c r="M36" s="2839"/>
      <c r="N36" s="2665"/>
      <c r="O36" s="2676"/>
      <c r="P36" s="2665"/>
      <c r="Q36" s="2665"/>
      <c r="R36" s="2665"/>
      <c r="S36" s="2665"/>
      <c r="T36" s="2665"/>
      <c r="U36" s="2665"/>
      <c r="V36" s="2665"/>
    </row>
    <row r="37" spans="1:30">
      <c r="A37" s="2857" t="s">
        <v>2975</v>
      </c>
      <c r="B37" s="2657"/>
      <c r="C37" s="2657" t="s">
        <v>212</v>
      </c>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2976</v>
      </c>
      <c r="B38" s="2658"/>
      <c r="C38" s="2658" t="s">
        <v>3068</v>
      </c>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2977</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2978</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2979</v>
      </c>
      <c r="B42" s="11" t="s">
        <v>2980</v>
      </c>
      <c r="C42" s="11" t="s">
        <v>2981</v>
      </c>
      <c r="D42" s="11" t="s">
        <v>2982</v>
      </c>
      <c r="E42" s="11" t="s">
        <v>2983</v>
      </c>
      <c r="F42" s="11" t="s">
        <v>2984</v>
      </c>
      <c r="G42" s="11" t="s">
        <v>2985</v>
      </c>
      <c r="H42" s="11" t="s">
        <v>2986</v>
      </c>
      <c r="I42" s="11" t="s">
        <v>2987</v>
      </c>
      <c r="J42" s="2853" t="s">
        <v>2988</v>
      </c>
      <c r="K42" s="2854" t="s">
        <v>2989</v>
      </c>
      <c r="L42" s="2854" t="s">
        <v>2990</v>
      </c>
      <c r="M42" s="2854" t="s">
        <v>2991</v>
      </c>
      <c r="N42" s="2847" t="s">
        <v>2992</v>
      </c>
      <c r="O42" s="2847" t="s">
        <v>2993</v>
      </c>
      <c r="P42" s="2847" t="s">
        <v>2994</v>
      </c>
      <c r="Q42" s="2848" t="s">
        <v>2995</v>
      </c>
      <c r="R42" s="2848" t="s">
        <v>2996</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3986.98</v>
      </c>
      <c r="B3" s="14">
        <f>IF(C3="否",G5-AT5,G5)</f>
        <v>8042.29</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8042.29</v>
      </c>
      <c r="H5" s="16">
        <f t="shared" ref="H5:AT5" si="0">SUM(H13:H656)</f>
        <v>8042.29</v>
      </c>
      <c r="I5" s="16">
        <f t="shared" si="0"/>
        <v>5947.41</v>
      </c>
      <c r="J5" s="16">
        <f t="shared" si="0"/>
        <v>0</v>
      </c>
      <c r="K5" s="16">
        <f t="shared" si="0"/>
        <v>2094.88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8042.29</v>
      </c>
      <c r="BA5" s="18">
        <f t="shared" si="1"/>
        <v>8042.29</v>
      </c>
      <c r="BB5" s="18">
        <f t="shared" si="1"/>
        <v>5947.41</v>
      </c>
      <c r="BC5" s="18">
        <f t="shared" si="1"/>
        <v>2094.88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3986.98</v>
      </c>
      <c r="F6" s="16" t="s">
        <v>1</v>
      </c>
      <c r="G6" s="16" t="s">
        <v>2</v>
      </c>
      <c r="H6" s="20">
        <f>SUMIF(I$12:AB$12,"总值",I6:AB6)</f>
        <v>3986.98</v>
      </c>
      <c r="I6" s="16">
        <f t="shared" ref="I6:AB6" si="2">ROUND($A$3*I5/$B$3,2)</f>
        <v>2948.44</v>
      </c>
      <c r="J6" s="16">
        <f t="shared" si="2"/>
        <v>0</v>
      </c>
      <c r="K6" s="16">
        <f t="shared" si="2"/>
        <v>1038.54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3986.98</v>
      </c>
      <c r="AZ6" s="16" t="s">
        <v>3</v>
      </c>
      <c r="BA6" s="16">
        <f>ROUND($AY$6*BA5/$AZ$5,2)</f>
        <v>3986.98</v>
      </c>
      <c r="BB6" s="16">
        <f>ROUND($AY$6*BB5/$AZ$5,2)</f>
        <v>2948.44</v>
      </c>
      <c r="BC6" s="16">
        <f t="shared" ref="BC6:BH6" si="4">ROUND($AY$6*BC5/$AZ$5,2)</f>
        <v>1038.54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3069</v>
      </c>
      <c r="J9" s="918"/>
      <c r="K9" s="1788" t="s">
        <v>3071</v>
      </c>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27</v>
      </c>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地下</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办公</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3070</v>
      </c>
      <c r="E13" s="16">
        <f>IF($C$3="是",ROUND($A$3*G13/$B$3,2),ROUND($A$3*(G13-AT13)/$B$3,2))</f>
        <v>3986.98</v>
      </c>
      <c r="F13" s="32"/>
      <c r="G13" s="33">
        <f>H13+AC13+AT13</f>
        <v>8042.29</v>
      </c>
      <c r="H13" s="20">
        <f>SUMIF(I$12:AB$12,"总值",I13:AB13)</f>
        <v>8042.29</v>
      </c>
      <c r="I13" s="1811">
        <v>5947.41</v>
      </c>
      <c r="J13" s="1811"/>
      <c r="K13" s="1811">
        <v>2094.88</v>
      </c>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3986.98</v>
      </c>
      <c r="AZ13" s="16">
        <f>BA13+BL13</f>
        <v>8042.29</v>
      </c>
      <c r="BA13" s="16">
        <f>SUM(BB13:BK13)</f>
        <v>8042.29</v>
      </c>
      <c r="BB13" s="16">
        <f>IF($D13="是",I13-J13,0)</f>
        <v>5947.41</v>
      </c>
      <c r="BC13" s="16">
        <f>IF($D13="是",K13-L13,0)</f>
        <v>2094.88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56" t="s">
        <v>0</v>
      </c>
      <c r="B1" s="3256" t="s">
        <v>4</v>
      </c>
      <c r="C1" s="3256" t="s">
        <v>5</v>
      </c>
      <c r="D1" s="3257" t="s">
        <v>53</v>
      </c>
      <c r="E1" s="3257" t="s">
        <v>54</v>
      </c>
      <c r="F1" s="3257"/>
      <c r="G1" s="3257"/>
      <c r="H1" s="3257"/>
      <c r="I1" s="3257"/>
      <c r="J1" s="3257"/>
      <c r="K1" s="3257"/>
      <c r="L1" s="3257"/>
      <c r="M1" s="3257"/>
    </row>
    <row r="2" spans="1:13" ht="27" customHeight="1">
      <c r="A2" s="3256"/>
      <c r="B2" s="3256"/>
      <c r="C2" s="3256"/>
      <c r="D2" s="3257"/>
      <c r="E2" s="3257" t="s">
        <v>37</v>
      </c>
      <c r="F2" s="3257" t="s">
        <v>38</v>
      </c>
      <c r="G2" s="3257"/>
      <c r="H2" s="3257"/>
      <c r="I2" s="3257"/>
      <c r="J2" s="3257" t="s">
        <v>39</v>
      </c>
      <c r="K2" s="3257"/>
      <c r="L2" s="3257"/>
      <c r="M2" s="3257"/>
    </row>
    <row r="3" spans="1:13" ht="28.5">
      <c r="A3" s="3256"/>
      <c r="B3" s="3256"/>
      <c r="C3" s="3256"/>
      <c r="D3" s="3257"/>
      <c r="E3" s="32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57" t="s">
        <v>55</v>
      </c>
      <c r="B9" s="3257"/>
      <c r="C9" s="32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6"/>
  <sheetViews>
    <sheetView zoomScaleNormal="100" workbookViewId="0">
      <selection activeCell="P40" sqref="P40"/>
    </sheetView>
  </sheetViews>
  <sheetFormatPr defaultColWidth="9" defaultRowHeight="14.25"/>
  <cols>
    <col min="1" max="1" width="4.625" style="3065" customWidth="1"/>
    <col min="2" max="2" width="24.5" style="3065" customWidth="1"/>
    <col min="3" max="3" width="20.5" style="3065" customWidth="1"/>
    <col min="4" max="4" width="28" style="3065" customWidth="1"/>
    <col min="5" max="5" width="16.375" style="3065" customWidth="1"/>
    <col min="6" max="6" width="10.125" style="3065" customWidth="1"/>
    <col min="7" max="7" width="13.375" style="3065" customWidth="1"/>
    <col min="8" max="8" width="7.125" style="3065" customWidth="1"/>
    <col min="9" max="9" width="8.375" style="3065" customWidth="1"/>
    <col min="10" max="10" width="9.875" style="3065" customWidth="1"/>
    <col min="11" max="16384" width="9" style="3065"/>
  </cols>
  <sheetData>
    <row r="1" spans="1:18" s="3061" customFormat="1">
      <c r="A1" s="3258" t="s">
        <v>3090</v>
      </c>
      <c r="B1" s="3258"/>
      <c r="C1" s="3258"/>
      <c r="D1" s="3258"/>
      <c r="E1" s="3258"/>
      <c r="F1" s="3258"/>
      <c r="G1" s="3258"/>
      <c r="H1" s="3258"/>
      <c r="I1" s="3258"/>
      <c r="J1" s="3258"/>
    </row>
    <row r="2" spans="1:18" s="3061" customFormat="1">
      <c r="A2" s="3062" t="s">
        <v>3089</v>
      </c>
      <c r="B2" s="3062" t="s">
        <v>3091</v>
      </c>
      <c r="C2" s="3062" t="s">
        <v>3092</v>
      </c>
      <c r="D2" s="3062" t="s">
        <v>3093</v>
      </c>
      <c r="E2" s="3062" t="s">
        <v>3094</v>
      </c>
      <c r="F2" s="3062" t="s">
        <v>3095</v>
      </c>
      <c r="G2" s="3062" t="s">
        <v>3096</v>
      </c>
      <c r="H2" s="3062" t="s">
        <v>3097</v>
      </c>
      <c r="I2" s="3062" t="s">
        <v>3098</v>
      </c>
      <c r="J2" s="3062" t="s">
        <v>3099</v>
      </c>
    </row>
    <row r="3" spans="1:18">
      <c r="A3" s="3063">
        <v>1</v>
      </c>
      <c r="B3" s="3063" t="s">
        <v>3345</v>
      </c>
      <c r="C3" s="3063" t="s">
        <v>3100</v>
      </c>
      <c r="D3" s="3063" t="s">
        <v>3101</v>
      </c>
      <c r="E3" s="3063" t="s">
        <v>3102</v>
      </c>
      <c r="F3" s="3064">
        <v>57196</v>
      </c>
      <c r="G3" s="3063">
        <v>3119.42</v>
      </c>
      <c r="H3" s="3063">
        <v>2.11</v>
      </c>
      <c r="I3" s="3063">
        <v>6572.3</v>
      </c>
      <c r="J3" s="3063" t="s">
        <v>3067</v>
      </c>
    </row>
    <row r="4" spans="1:18">
      <c r="A4" s="3063">
        <v>2</v>
      </c>
      <c r="B4" s="3063" t="s">
        <v>3346</v>
      </c>
      <c r="C4" s="3063" t="s">
        <v>3100</v>
      </c>
      <c r="D4" s="3063" t="s">
        <v>3103</v>
      </c>
      <c r="E4" s="3063" t="s">
        <v>3104</v>
      </c>
      <c r="F4" s="3064">
        <v>59163</v>
      </c>
      <c r="G4" s="3063">
        <v>867.56</v>
      </c>
      <c r="H4" s="3063">
        <v>1.69</v>
      </c>
      <c r="I4" s="3063">
        <v>1469.99</v>
      </c>
      <c r="J4" s="3063" t="s">
        <v>3067</v>
      </c>
    </row>
    <row r="5" spans="1:18">
      <c r="A5" s="3063" t="s">
        <v>37</v>
      </c>
      <c r="B5" s="3063" t="s">
        <v>70</v>
      </c>
      <c r="C5" s="3063" t="s">
        <v>3320</v>
      </c>
      <c r="D5" s="3063" t="s">
        <v>3320</v>
      </c>
      <c r="E5" s="3063" t="s">
        <v>3320</v>
      </c>
      <c r="F5" s="3063" t="s">
        <v>3320</v>
      </c>
      <c r="G5" s="3063">
        <f>SUM(G3:G4)</f>
        <v>3986.98</v>
      </c>
      <c r="H5" s="3063">
        <f>ROUND(I5/G5,2)</f>
        <v>2.02</v>
      </c>
      <c r="I5" s="3063">
        <f>SUM(I3:I4)</f>
        <v>8042.29</v>
      </c>
      <c r="J5" s="3063"/>
    </row>
    <row r="7" spans="1:18" s="3061" customFormat="1">
      <c r="A7" s="3258" t="s">
        <v>3105</v>
      </c>
      <c r="B7" s="3258"/>
      <c r="C7" s="3258"/>
      <c r="D7" s="3258"/>
      <c r="E7" s="3258"/>
      <c r="F7" s="3258"/>
      <c r="G7" s="3258"/>
    </row>
    <row r="8" spans="1:18" s="3061" customFormat="1">
      <c r="A8" s="3062" t="s">
        <v>3089</v>
      </c>
      <c r="B8" s="3062" t="s">
        <v>3106</v>
      </c>
      <c r="C8" s="3062" t="s">
        <v>3107</v>
      </c>
      <c r="D8" s="3062" t="s">
        <v>3108</v>
      </c>
      <c r="E8" s="3062" t="s">
        <v>3109</v>
      </c>
      <c r="F8" s="3062" t="s">
        <v>3110</v>
      </c>
      <c r="G8" s="3062" t="s">
        <v>3111</v>
      </c>
      <c r="K8" s="3061" t="s">
        <v>3112</v>
      </c>
      <c r="L8" s="3061" t="s">
        <v>3113</v>
      </c>
      <c r="M8" s="3061" t="s">
        <v>3114</v>
      </c>
      <c r="N8" s="3061" t="s">
        <v>3115</v>
      </c>
      <c r="O8" s="3061" t="s">
        <v>3116</v>
      </c>
      <c r="P8" s="3061" t="s">
        <v>3117</v>
      </c>
      <c r="Q8" s="3061" t="s">
        <v>3118</v>
      </c>
      <c r="R8" s="3061" t="s">
        <v>3119</v>
      </c>
    </row>
    <row r="9" spans="1:18">
      <c r="A9" s="3063">
        <v>1</v>
      </c>
      <c r="B9" s="3063" t="s">
        <v>3128</v>
      </c>
      <c r="C9" s="3063" t="s">
        <v>3100</v>
      </c>
      <c r="D9" s="3063" t="s">
        <v>3130</v>
      </c>
      <c r="E9" s="3063" t="s">
        <v>3131</v>
      </c>
      <c r="F9" s="3063">
        <v>2941.76</v>
      </c>
      <c r="G9" s="3063" t="s">
        <v>3123</v>
      </c>
      <c r="H9" s="3259">
        <f>F15-F14</f>
        <v>6572.3000000000011</v>
      </c>
      <c r="K9" s="3065">
        <v>-1</v>
      </c>
      <c r="L9" s="3065">
        <v>735.44</v>
      </c>
      <c r="P9" s="3065">
        <f>1804.05-P10-P11</f>
        <v>597.5999999999998</v>
      </c>
    </row>
    <row r="10" spans="1:18">
      <c r="A10" s="3063">
        <v>2</v>
      </c>
      <c r="B10" s="3063" t="s">
        <v>3128</v>
      </c>
      <c r="C10" s="3063" t="s">
        <v>3100</v>
      </c>
      <c r="D10" s="3063" t="s">
        <v>3129</v>
      </c>
      <c r="E10" s="3063">
        <v>2</v>
      </c>
      <c r="F10" s="3063">
        <v>16.77</v>
      </c>
      <c r="G10" s="3063" t="s">
        <v>3123</v>
      </c>
      <c r="H10" s="3259"/>
      <c r="K10" s="3065">
        <v>1</v>
      </c>
      <c r="L10" s="3065">
        <v>735.44</v>
      </c>
      <c r="N10" s="3065">
        <v>579.07000000000005</v>
      </c>
      <c r="O10" s="3065">
        <v>89.31</v>
      </c>
      <c r="P10" s="3065">
        <v>597.6</v>
      </c>
      <c r="Q10" s="3065">
        <v>14.85</v>
      </c>
      <c r="R10" s="3065">
        <v>35.92</v>
      </c>
    </row>
    <row r="11" spans="1:18">
      <c r="A11" s="3063">
        <v>3</v>
      </c>
      <c r="B11" s="3063" t="s">
        <v>3126</v>
      </c>
      <c r="C11" s="3063" t="s">
        <v>3100</v>
      </c>
      <c r="D11" s="3063" t="s">
        <v>3127</v>
      </c>
      <c r="E11" s="3063">
        <v>3</v>
      </c>
      <c r="F11" s="3063">
        <v>1720.41</v>
      </c>
      <c r="G11" s="3063" t="s">
        <v>3123</v>
      </c>
      <c r="H11" s="3259"/>
      <c r="K11" s="3065">
        <v>2</v>
      </c>
      <c r="L11" s="3065">
        <v>735.44</v>
      </c>
      <c r="M11" s="3065">
        <v>16.77</v>
      </c>
      <c r="N11" s="3065">
        <v>591.32000000000005</v>
      </c>
      <c r="P11" s="3065">
        <v>608.85</v>
      </c>
    </row>
    <row r="12" spans="1:18">
      <c r="A12" s="3063">
        <v>4</v>
      </c>
      <c r="B12" s="3063" t="s">
        <v>3124</v>
      </c>
      <c r="C12" s="3063" t="s">
        <v>3100</v>
      </c>
      <c r="D12" s="3063" t="s">
        <v>3125</v>
      </c>
      <c r="E12" s="3063">
        <v>1</v>
      </c>
      <c r="F12" s="3063">
        <v>89.31</v>
      </c>
      <c r="G12" s="3063" t="s">
        <v>3123</v>
      </c>
      <c r="H12" s="3259"/>
      <c r="K12" s="3065">
        <v>3</v>
      </c>
      <c r="L12" s="3065">
        <v>735.44</v>
      </c>
      <c r="N12" s="3065">
        <v>550.02</v>
      </c>
    </row>
    <row r="13" spans="1:18">
      <c r="A13" s="3063">
        <v>5</v>
      </c>
      <c r="B13" s="3063" t="s">
        <v>3120</v>
      </c>
      <c r="C13" s="3063" t="s">
        <v>3100</v>
      </c>
      <c r="D13" s="3063" t="s">
        <v>3121</v>
      </c>
      <c r="E13" s="3063" t="s">
        <v>3122</v>
      </c>
      <c r="F13" s="3063">
        <v>1804.05</v>
      </c>
      <c r="G13" s="3063" t="s">
        <v>3123</v>
      </c>
      <c r="H13" s="3259"/>
      <c r="K13" s="3065" t="s">
        <v>37</v>
      </c>
      <c r="L13" s="3065">
        <f>SUM(L9:L12)</f>
        <v>2941.76</v>
      </c>
      <c r="M13" s="3065">
        <f t="shared" ref="M13:R13" si="0">SUM(M9:M12)</f>
        <v>16.77</v>
      </c>
      <c r="N13" s="3065">
        <f t="shared" si="0"/>
        <v>1720.41</v>
      </c>
      <c r="O13" s="3065">
        <f t="shared" si="0"/>
        <v>89.31</v>
      </c>
      <c r="P13" s="3065">
        <f t="shared" si="0"/>
        <v>1804.0499999999997</v>
      </c>
      <c r="Q13" s="3065">
        <f t="shared" si="0"/>
        <v>14.85</v>
      </c>
      <c r="R13" s="3065">
        <f t="shared" si="0"/>
        <v>35.92</v>
      </c>
    </row>
    <row r="14" spans="1:18">
      <c r="A14" s="3063">
        <v>6</v>
      </c>
      <c r="B14" s="3063" t="s">
        <v>3132</v>
      </c>
      <c r="C14" s="3063" t="s">
        <v>3100</v>
      </c>
      <c r="D14" s="3063" t="s">
        <v>3133</v>
      </c>
      <c r="E14" s="3063" t="s">
        <v>3134</v>
      </c>
      <c r="F14" s="3063">
        <v>1469.99</v>
      </c>
      <c r="G14" s="3063"/>
      <c r="H14" s="3065" t="s">
        <v>3135</v>
      </c>
      <c r="I14" s="3065">
        <v>708.15</v>
      </c>
      <c r="J14" s="3065" t="s">
        <v>27</v>
      </c>
    </row>
    <row r="15" spans="1:18">
      <c r="A15" s="3063" t="s">
        <v>37</v>
      </c>
      <c r="B15" s="3063" t="s">
        <v>70</v>
      </c>
      <c r="C15" s="3063" t="s">
        <v>70</v>
      </c>
      <c r="D15" s="3063" t="s">
        <v>70</v>
      </c>
      <c r="E15" s="3063" t="s">
        <v>70</v>
      </c>
      <c r="F15" s="3063">
        <f>SUM(F9:F14)</f>
        <v>8042.2900000000009</v>
      </c>
      <c r="G15" s="3063"/>
      <c r="H15" s="3065" t="s">
        <v>3136</v>
      </c>
      <c r="I15" s="3065">
        <v>761.84</v>
      </c>
      <c r="J15" s="3065" t="s">
        <v>3137</v>
      </c>
    </row>
    <row r="19" spans="3:7">
      <c r="C19" s="3062" t="s">
        <v>3323</v>
      </c>
      <c r="D19" s="3062" t="s">
        <v>3108</v>
      </c>
      <c r="E19" s="3062" t="s">
        <v>3109</v>
      </c>
      <c r="F19" s="3062" t="s">
        <v>3110</v>
      </c>
      <c r="G19" s="3062" t="s">
        <v>3322</v>
      </c>
    </row>
    <row r="20" spans="3:7">
      <c r="C20" s="3064">
        <v>41848</v>
      </c>
      <c r="D20" s="3063" t="s">
        <v>3130</v>
      </c>
      <c r="E20" s="3063" t="s">
        <v>3131</v>
      </c>
      <c r="F20" s="3063">
        <v>2941.76</v>
      </c>
      <c r="G20" s="3063">
        <f>F20*20000</f>
        <v>58835200.000000007</v>
      </c>
    </row>
    <row r="21" spans="3:7">
      <c r="C21" s="3064">
        <v>41848</v>
      </c>
      <c r="D21" s="3063" t="s">
        <v>3129</v>
      </c>
      <c r="E21" s="3063">
        <v>2</v>
      </c>
      <c r="F21" s="3063">
        <v>16.77</v>
      </c>
      <c r="G21" s="3063">
        <f>F21*20000</f>
        <v>335400</v>
      </c>
    </row>
    <row r="22" spans="3:7">
      <c r="C22" s="3064">
        <v>41848</v>
      </c>
      <c r="D22" s="3063" t="s">
        <v>3127</v>
      </c>
      <c r="E22" s="3063">
        <v>3</v>
      </c>
      <c r="F22" s="3063">
        <v>1720.41</v>
      </c>
      <c r="G22" s="3063">
        <f>F22*20000</f>
        <v>34408200</v>
      </c>
    </row>
    <row r="23" spans="3:7">
      <c r="C23" s="3064">
        <v>41848</v>
      </c>
      <c r="D23" s="3063" t="s">
        <v>3125</v>
      </c>
      <c r="E23" s="3063">
        <v>1</v>
      </c>
      <c r="F23" s="3063">
        <v>89.31</v>
      </c>
      <c r="G23" s="3063">
        <f>F23*20000</f>
        <v>1786200</v>
      </c>
    </row>
    <row r="24" spans="3:7">
      <c r="C24" s="3064">
        <v>41848</v>
      </c>
      <c r="D24" s="3063" t="s">
        <v>3121</v>
      </c>
      <c r="E24" s="3063" t="s">
        <v>3122</v>
      </c>
      <c r="F24" s="3063">
        <v>1804.05</v>
      </c>
      <c r="G24" s="3063">
        <f>F24*20000</f>
        <v>36081000</v>
      </c>
    </row>
    <row r="25" spans="3:7">
      <c r="C25" s="3064">
        <v>41933</v>
      </c>
      <c r="D25" s="3063" t="s">
        <v>3133</v>
      </c>
      <c r="E25" s="3063" t="s">
        <v>3134</v>
      </c>
      <c r="F25" s="3063">
        <v>1469.99</v>
      </c>
      <c r="G25" s="3063">
        <v>29399800</v>
      </c>
    </row>
    <row r="26" spans="3:7">
      <c r="C26" s="3063" t="s">
        <v>3324</v>
      </c>
      <c r="D26" s="3063"/>
      <c r="E26" s="3063"/>
      <c r="F26" s="3063"/>
      <c r="G26" s="3063">
        <f>SUM(G20:G25)</f>
        <v>160845800</v>
      </c>
    </row>
  </sheetData>
  <mergeCells count="3">
    <mergeCell ref="A1:J1"/>
    <mergeCell ref="A7:G7"/>
    <mergeCell ref="H9:H13"/>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90" zoomScaleNormal="100" zoomScaleSheetLayoutView="90" workbookViewId="0">
      <selection activeCell="F37" sqref="F37"/>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269" t="s">
        <v>1817</v>
      </c>
      <c r="B2" s="3269"/>
      <c r="C2" s="3269"/>
      <c r="D2" s="904" t="s">
        <v>1793</v>
      </c>
      <c r="E2" s="1824" t="s">
        <v>1794</v>
      </c>
      <c r="F2" s="2886"/>
      <c r="G2" s="2877"/>
      <c r="H2" s="2878"/>
      <c r="I2" s="2548" t="s">
        <v>1818</v>
      </c>
      <c r="J2" s="2886"/>
      <c r="K2" s="2886"/>
      <c r="L2" s="2886"/>
      <c r="M2" s="2886"/>
      <c r="N2" s="2888"/>
      <c r="O2" s="2886"/>
      <c r="P2" s="2886"/>
    </row>
    <row r="3" spans="1:16" ht="15.75" thickBot="1">
      <c r="A3" s="3270" t="s">
        <v>1791</v>
      </c>
      <c r="B3" s="3270"/>
      <c r="C3" s="3270"/>
      <c r="D3" s="46">
        <f>'数据-基础表'!AY6</f>
        <v>3986.98</v>
      </c>
      <c r="E3" s="46">
        <f>'数据-基础表'!AZ5</f>
        <v>8042.29</v>
      </c>
      <c r="F3" s="2886"/>
      <c r="G3" s="1307"/>
      <c r="H3" s="1157" t="s">
        <v>1792</v>
      </c>
      <c r="I3" s="964">
        <f>ROUND('数据-基础表'!B3/'数据-基础表'!A3,2)</f>
        <v>2.02</v>
      </c>
      <c r="J3" s="2886"/>
      <c r="K3" s="2886"/>
      <c r="L3" s="2886"/>
      <c r="M3" s="2886"/>
      <c r="N3" s="2888"/>
      <c r="O3" s="2886"/>
      <c r="P3" s="2886"/>
    </row>
    <row r="4" spans="1:16" ht="15">
      <c r="A4" s="3271"/>
      <c r="B4" s="3272"/>
      <c r="C4" s="3273"/>
      <c r="D4" s="1826" t="s">
        <v>1793</v>
      </c>
      <c r="E4" s="1827" t="s">
        <v>1794</v>
      </c>
      <c r="F4" s="2886"/>
      <c r="G4" s="2879" t="s">
        <v>1819</v>
      </c>
      <c r="H4" s="1157" t="s">
        <v>1799</v>
      </c>
      <c r="I4" s="964">
        <f>ROUND(SUMIF('数据-基础表'!I9:AS9,"地上",'数据-基础表'!I5:AS5)/'数据-基础表'!A3,2)</f>
        <v>1.49</v>
      </c>
      <c r="J4" s="2886"/>
      <c r="K4" s="2886"/>
      <c r="L4" s="2886"/>
      <c r="M4" s="2886"/>
      <c r="N4" s="2888"/>
      <c r="O4" s="2886"/>
      <c r="P4" s="2886"/>
    </row>
    <row r="5" spans="1:16">
      <c r="A5" s="47" t="s">
        <v>1795</v>
      </c>
      <c r="B5" s="3274" t="s">
        <v>1796</v>
      </c>
      <c r="C5" s="3274"/>
      <c r="D5" s="48">
        <f>ROUND($D$3*E5/$E$3,2)</f>
        <v>0</v>
      </c>
      <c r="E5" s="49">
        <f>SUMIF('数据-基础表'!$11:$11,"住宅",'数据-基础表'!$5:$5)</f>
        <v>0</v>
      </c>
      <c r="F5" s="2886"/>
      <c r="G5" s="1307"/>
      <c r="H5" s="1157" t="s">
        <v>1792</v>
      </c>
      <c r="I5" s="964">
        <f>ROUND(E31/D31,2)</f>
        <v>2.02</v>
      </c>
      <c r="J5" s="2886"/>
      <c r="K5" s="2886"/>
      <c r="L5" s="2886"/>
      <c r="M5" s="2886"/>
      <c r="N5" s="2886"/>
      <c r="O5" s="2886"/>
      <c r="P5" s="2886"/>
    </row>
    <row r="6" spans="1:16" ht="15" thickBot="1">
      <c r="A6" s="1829"/>
      <c r="B6" s="3274" t="s">
        <v>1797</v>
      </c>
      <c r="C6" s="3274"/>
      <c r="D6" s="48">
        <f>ROUND($D$3*E6/$E$3,2)</f>
        <v>3986.98</v>
      </c>
      <c r="E6" s="49">
        <f>E3-E5</f>
        <v>8042.29</v>
      </c>
      <c r="F6" s="2886"/>
      <c r="G6" s="2880" t="s">
        <v>1798</v>
      </c>
      <c r="H6" s="1308" t="s">
        <v>1799</v>
      </c>
      <c r="I6" s="2881">
        <f>ROUND(F31/D31,2)</f>
        <v>1.49</v>
      </c>
      <c r="J6" s="2886"/>
      <c r="K6" s="2886"/>
      <c r="L6" s="2886"/>
      <c r="M6" s="2886"/>
      <c r="N6" s="2886"/>
      <c r="O6" s="2886"/>
      <c r="P6" s="2886"/>
    </row>
    <row r="7" spans="1:16" ht="15.75" thickBot="1">
      <c r="A7" s="3266"/>
      <c r="B7" s="3267"/>
      <c r="C7" s="3268"/>
      <c r="D7" s="1826" t="s">
        <v>1793</v>
      </c>
      <c r="E7" s="1830" t="s">
        <v>1800</v>
      </c>
      <c r="F7" s="2886"/>
      <c r="G7" s="2882" t="s">
        <v>1801</v>
      </c>
      <c r="H7" s="2883"/>
      <c r="I7" s="2884">
        <v>2.11</v>
      </c>
      <c r="J7" s="2886"/>
      <c r="K7" s="2886"/>
      <c r="L7" s="2886"/>
      <c r="M7" s="2886"/>
      <c r="N7" s="2886"/>
      <c r="O7" s="2886"/>
      <c r="P7" s="2886"/>
    </row>
    <row r="8" spans="1:16">
      <c r="A8" s="47" t="s">
        <v>1802</v>
      </c>
      <c r="B8" s="50" t="s">
        <v>1803</v>
      </c>
      <c r="C8" s="48" t="s">
        <v>1804</v>
      </c>
      <c r="D8" s="48">
        <f t="shared" ref="D8:D15" si="0">ROUND($D$3*E8/$E$3,2)</f>
        <v>2948.44</v>
      </c>
      <c r="E8" s="51">
        <f>SUMIF('数据-基础表'!BB10:BK10,"地上",'数据-基础表'!BB5:BK5)</f>
        <v>5947.41</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1038.54</v>
      </c>
      <c r="E11" s="51">
        <f>SUMPRODUCT(('数据-基础表'!BB10:BK10="地下")*('数据-基础表'!BB11:BK11="办公")*('数据-基础表'!BB5:BK5))+'数据-基础表'!BP5</f>
        <v>2094.88</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3986.98</v>
      </c>
      <c r="E16" s="53">
        <f>SUM(E8:E15)</f>
        <v>8042.29</v>
      </c>
      <c r="F16" s="2886"/>
      <c r="G16" s="2887"/>
      <c r="H16" s="1833" t="s">
        <v>1821</v>
      </c>
      <c r="I16" s="1834"/>
      <c r="J16" s="1301"/>
      <c r="K16" s="3263" t="s">
        <v>1821</v>
      </c>
      <c r="L16" s="3264"/>
      <c r="M16" s="3264"/>
      <c r="N16" s="3264"/>
      <c r="O16" s="3264"/>
      <c r="P16" s="3265"/>
    </row>
    <row r="17" spans="1:19" ht="15">
      <c r="A17" s="1835" t="s">
        <v>1822</v>
      </c>
      <c r="B17" s="1836" t="s">
        <v>1823</v>
      </c>
      <c r="C17" s="1837" t="s">
        <v>1824</v>
      </c>
      <c r="D17" s="1838" t="s">
        <v>1812</v>
      </c>
      <c r="E17" s="1839" t="s">
        <v>1813</v>
      </c>
      <c r="F17" s="1840"/>
      <c r="G17" s="1841"/>
      <c r="H17" s="1842" t="s">
        <v>1825</v>
      </c>
      <c r="I17" s="1843" t="s">
        <v>1810</v>
      </c>
      <c r="J17" s="1301"/>
      <c r="K17" s="3260" t="s">
        <v>1826</v>
      </c>
      <c r="L17" s="3261"/>
      <c r="M17" s="3262"/>
      <c r="N17" s="3260" t="s">
        <v>1827</v>
      </c>
      <c r="O17" s="3261"/>
      <c r="P17" s="3262"/>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0" t="s">
        <v>3072</v>
      </c>
      <c r="D19" s="48">
        <f>ROUND($D$3*E19/$E$3,2)</f>
        <v>3986.98</v>
      </c>
      <c r="E19" s="56">
        <f t="shared" ref="E19:E26" si="1">SUM(F19:G19)</f>
        <v>8042.29</v>
      </c>
      <c r="F19" s="3025">
        <f>'数据-基础表'!I13</f>
        <v>5947.41</v>
      </c>
      <c r="G19" s="3026">
        <f>'数据-基础表'!K13</f>
        <v>2094.88</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3986.98</v>
      </c>
      <c r="S19" s="1158">
        <f t="shared" si="5"/>
        <v>8042.29</v>
      </c>
    </row>
    <row r="20" spans="1:19">
      <c r="A20" s="1856"/>
      <c r="B20" s="50" t="s">
        <v>1839</v>
      </c>
      <c r="C20" s="1853"/>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5"/>
      <c r="G21" s="3026"/>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3986.98</v>
      </c>
      <c r="E27" s="1303">
        <f>IF(SUM(E19:E26)='数据-基础表'!BA5,SUM(E19:E26),IF(F27="地上面积有误","面积有误","地下面积有误"))</f>
        <v>8042.29</v>
      </c>
      <c r="F27" s="1302">
        <f>IF(SUM(F19:F26)=E8,SUM(F19:F26),"地上面积有误")</f>
        <v>5947.41</v>
      </c>
      <c r="G27" s="1304">
        <f>SUM(G19:G26)</f>
        <v>2094.88</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3986.98</v>
      </c>
      <c r="S27" s="1157">
        <f>IF(SUM(S19:S26)=$E$3,SUM(S19:S26),SUM(S19:S26)&amp;"误差"&amp;ROUND(SUM(S19:S26)-E3,2))</f>
        <v>8042.29</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3986.98</v>
      </c>
      <c r="E31" s="685">
        <f>E27+E30</f>
        <v>8042.29</v>
      </c>
      <c r="F31" s="686">
        <f>F27+F30</f>
        <v>5947.41</v>
      </c>
      <c r="G31" s="687">
        <f>G27+G30</f>
        <v>2094.88</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7">
      <c r="D33" s="1864"/>
    </row>
    <row r="36" spans="4:7">
      <c r="F36" s="1823">
        <v>2000</v>
      </c>
      <c r="G36" s="1823">
        <v>3500</v>
      </c>
    </row>
    <row r="37" spans="4:7">
      <c r="F37" s="1823">
        <v>2500</v>
      </c>
      <c r="G37" s="1823">
        <v>1000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30" sqref="L30"/>
    </sheetView>
  </sheetViews>
  <sheetFormatPr defaultColWidth="13.75" defaultRowHeight="12.75"/>
  <cols>
    <col min="1" max="1" width="22.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44396</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3073</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27</v>
      </c>
      <c r="D6" s="967">
        <f>SUMIF(项目基本情况!D$12:I$12,C6,项目基本情况!D$14:I$14)</f>
        <v>50</v>
      </c>
      <c r="E6" s="966">
        <f>IF(B6="","",SUMIF(项目基本情况!D$12:I$12,C6,项目基本情况!D$13:I$13))</f>
        <v>57196</v>
      </c>
      <c r="F6" s="68">
        <f>SUMIF(项目基本情况!D$12:I$12,C6,项目基本情况!D$15:I$15)</f>
        <v>35.06</v>
      </c>
      <c r="G6" s="69">
        <f>IF(ISERROR(ROUND(POWER(1+H6,D6-F6)*(POWER(1+H6,F6)-1)/(POWER(1+H6,D6)-1),3)),0,ROUND(POWER(1+H6,D6-F6)*(POWER(1+H6,F6)-1)/(POWER(1+H6,D6)-1),3))</f>
        <v>0.91</v>
      </c>
      <c r="H6" s="741">
        <v>5.5E-2</v>
      </c>
      <c r="I6" s="741">
        <v>0.06</v>
      </c>
      <c r="J6" s="70">
        <v>8.5000000000000006E-2</v>
      </c>
      <c r="K6" s="1161">
        <f>SUMIF('数据-汇总表'!C$19:C$33,A6,'数据-汇总表'!E$19:E$33)</f>
        <v>8042.29</v>
      </c>
      <c r="L6" s="742">
        <v>4500</v>
      </c>
      <c r="M6" s="71">
        <f t="shared" ref="M6:M14" si="0">ROUND(K6*L6/10000,0)</f>
        <v>3619</v>
      </c>
      <c r="N6" s="740">
        <f>N22</f>
        <v>0.79</v>
      </c>
      <c r="O6" s="71" t="str">
        <f>IF($N$5="成新度","——",ROUND(M6*N6,0))</f>
        <v>——</v>
      </c>
      <c r="P6" s="72" t="str">
        <f>IF($N$5="成新度","——",M6-O6)</f>
        <v>——</v>
      </c>
      <c r="Q6" s="743">
        <v>0.15</v>
      </c>
      <c r="R6" s="73">
        <f ca="1">SUMIF('数据-汇总表'!C$19:C$33,A6,'数据-汇总表'!R$19:R$27)</f>
        <v>3986.98</v>
      </c>
      <c r="S6" s="54">
        <f>IF('数据-汇总表'!$I$17="按面积比例",SUMIF('数据-汇总表'!C$19:C$33,A6,'数据-汇总表'!K$19:K$33),SUMIF('数据-汇总表'!C$19:C$33,A6,'数据-汇总表'!N$19:N$33))</f>
        <v>0</v>
      </c>
      <c r="T6" s="1334">
        <f>ROUND($L$14*S6/10000,0)</f>
        <v>0</v>
      </c>
      <c r="U6" s="74">
        <v>14000000</v>
      </c>
      <c r="V6" s="75">
        <v>0.02</v>
      </c>
      <c r="W6" s="75">
        <v>0</v>
      </c>
      <c r="X6" s="1171"/>
      <c r="Y6" s="76">
        <f>N6</f>
        <v>0.79</v>
      </c>
      <c r="Z6" s="77"/>
      <c r="AA6" s="70"/>
      <c r="AB6" s="70"/>
      <c r="AC6" s="1171"/>
      <c r="AD6" s="78"/>
      <c r="AE6" s="1172">
        <f ca="1">IF(AN6="",0,SUMIF(INDIRECT("'"&amp;AN6&amp;"'"&amp;"!E:E"),$AE$5,INDIRECT("'"&amp;AN6&amp;"'"&amp;"!F:F")))</f>
        <v>35.06</v>
      </c>
      <c r="AF6" s="1532"/>
      <c r="AG6" s="143">
        <f>IF(AF6="",0,AE6-AF6)</f>
        <v>0</v>
      </c>
      <c r="AH6" s="79">
        <v>1</v>
      </c>
      <c r="AI6" s="81">
        <v>1</v>
      </c>
      <c r="AJ6" s="82"/>
      <c r="AK6" s="83">
        <v>1.4999999999999999E-2</v>
      </c>
      <c r="AL6" s="84">
        <v>1.5E-3</v>
      </c>
      <c r="AM6" s="85">
        <v>0.02</v>
      </c>
      <c r="AN6" s="1901" t="s">
        <v>3141</v>
      </c>
      <c r="AO6" s="55">
        <f ca="1">SUMIF(INDIRECT("'"&amp;AN6&amp;"'"&amp;"!A:A"),"总价",INDIRECT("'"&amp;AN6&amp;"'"&amp;"!B:B"))</f>
        <v>21435</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14.25">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0.91</v>
      </c>
      <c r="H16" s="95">
        <f>ROUND(SUMPRODUCT(H6:H13,K6:K13)/SUMPRODUCT((H6:H13&gt;0)*(K6:K13)),3)</f>
        <v>5.5E-2</v>
      </c>
      <c r="I16" s="96"/>
      <c r="J16" s="96"/>
      <c r="K16" s="97">
        <f>SUM(K6:K15)</f>
        <v>8042.29</v>
      </c>
      <c r="L16" s="98">
        <f>ROUND(M16*10000/SUM(K6:K14),0)</f>
        <v>4500</v>
      </c>
      <c r="M16" s="98">
        <f>SUM(M6:M14)</f>
        <v>3619</v>
      </c>
      <c r="N16" s="99">
        <f>ROUND(SUMPRODUCT(M6:M14,N6:N14)/M16,3)</f>
        <v>0.79</v>
      </c>
      <c r="O16" s="98">
        <f>SUM(O6:O14)</f>
        <v>0</v>
      </c>
      <c r="P16" s="98">
        <f>SUM(P6:P14)</f>
        <v>0</v>
      </c>
      <c r="Q16" s="100">
        <f>ROUND(SUMPRODUCT(Q6:Q13,K6:K13)/SUMPRODUCT((Q6:Q13&gt;0)*(K6:K13)),2)</f>
        <v>0.15</v>
      </c>
      <c r="R16" s="1165">
        <f ca="1">SUM(R6:R13)</f>
        <v>3986.98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v>2007</v>
      </c>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29" t="s">
        <v>3050</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0" t="s">
        <v>3048</v>
      </c>
      <c r="D20" s="2905"/>
      <c r="E20" s="2902"/>
      <c r="F20" s="2902"/>
      <c r="G20" s="2902"/>
      <c r="H20" s="2902"/>
      <c r="I20" s="2902"/>
      <c r="J20" s="2902"/>
      <c r="K20" s="2901"/>
      <c r="L20" s="2901"/>
      <c r="M20" s="2900"/>
      <c r="N20" s="2900">
        <f>ROUND(1-(1-2%)*(2021-N18)/50,2)</f>
        <v>0.73</v>
      </c>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v>0.85</v>
      </c>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f>ROUND((N20+N21)/2,2)</f>
        <v>0.79</v>
      </c>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14.25">
      <c r="A27" s="1913" t="s">
        <v>1906</v>
      </c>
      <c r="B27" s="112"/>
      <c r="C27" s="3031" t="s">
        <v>3052</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v>161</v>
      </c>
      <c r="C29" s="3032" t="s">
        <v>3039</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3" t="s">
        <v>3040</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3" t="s">
        <v>3041</v>
      </c>
      <c r="D34" s="2913" t="s">
        <v>3049</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3" t="s">
        <v>3042</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3" t="s">
        <v>3043</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3" t="s">
        <v>3044</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3" t="s">
        <v>3044</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3045" t="s">
        <v>3074</v>
      </c>
      <c r="B40" s="1210">
        <f ca="1">IF(A40="利息：取LPR",存贷款利率!G1,存贷款利率!G1+C40)</f>
        <v>4.3499999999999997E-2</v>
      </c>
      <c r="C40" s="3044">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7.0000000000000007E-2</v>
      </c>
      <c r="C44" s="3033" t="s">
        <v>3053</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2" t="s">
        <v>3045</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2" t="s">
        <v>3046</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5" t="s">
        <v>3054</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2" t="s">
        <v>3045</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2" t="s">
        <v>3047</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30</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212</v>
      </c>
      <c r="C53" s="2888" t="s">
        <v>1932</v>
      </c>
      <c r="D53" s="3034" t="s">
        <v>3051</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v>30</v>
      </c>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31" sqref="F31"/>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275" t="s">
        <v>3031</v>
      </c>
      <c r="B1" s="3276"/>
      <c r="C1" s="3276"/>
      <c r="D1" s="3276"/>
      <c r="E1" s="3276"/>
      <c r="F1" s="3276"/>
      <c r="G1" s="3276"/>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3026</v>
      </c>
      <c r="D2" s="2687"/>
      <c r="E2" s="2684"/>
      <c r="F2" s="2688"/>
      <c r="G2" s="2686" t="s">
        <v>3027</v>
      </c>
      <c r="H2" s="907"/>
      <c r="I2" s="907"/>
      <c r="J2" s="907"/>
      <c r="K2" s="907"/>
      <c r="L2" s="907"/>
      <c r="M2" s="907"/>
      <c r="N2" s="907"/>
      <c r="O2" s="907"/>
      <c r="P2" s="907"/>
      <c r="Q2" s="907"/>
      <c r="R2" s="907"/>
    </row>
    <row r="3" spans="1:29" ht="48">
      <c r="A3" s="2667" t="s">
        <v>3028</v>
      </c>
      <c r="B3" s="2689" t="s">
        <v>2997</v>
      </c>
      <c r="C3" s="2690" t="s">
        <v>3029</v>
      </c>
      <c r="D3" s="2691"/>
      <c r="E3" s="2668" t="s">
        <v>3028</v>
      </c>
      <c r="F3" s="2692" t="s">
        <v>2998</v>
      </c>
      <c r="G3" s="2693" t="s">
        <v>3030</v>
      </c>
      <c r="H3" s="907"/>
      <c r="I3" s="907"/>
      <c r="J3" s="907"/>
      <c r="K3" s="907"/>
      <c r="L3" s="907"/>
      <c r="M3" s="907"/>
      <c r="N3" s="907"/>
      <c r="O3" s="907"/>
      <c r="P3" s="907"/>
      <c r="Q3" s="907"/>
      <c r="R3" s="907"/>
    </row>
    <row r="4" spans="1:29" ht="36.75">
      <c r="A4" s="2668"/>
      <c r="B4" s="329" t="s">
        <v>2999</v>
      </c>
      <c r="C4" s="2694" t="s">
        <v>3000</v>
      </c>
      <c r="D4" s="2691"/>
      <c r="E4" s="2695"/>
      <c r="F4" s="1557" t="s">
        <v>3001</v>
      </c>
      <c r="G4" s="2696" t="s">
        <v>3002</v>
      </c>
      <c r="H4" s="907"/>
      <c r="I4" s="907"/>
      <c r="J4" s="907"/>
      <c r="K4" s="907"/>
      <c r="L4" s="907"/>
      <c r="M4" s="907"/>
      <c r="N4" s="907"/>
      <c r="O4" s="907"/>
      <c r="P4" s="907"/>
      <c r="Q4" s="907"/>
      <c r="R4" s="907"/>
    </row>
    <row r="5" spans="1:29" ht="36.75">
      <c r="A5" s="2668"/>
      <c r="B5" s="329" t="s">
        <v>3003</v>
      </c>
      <c r="C5" s="2694" t="s">
        <v>3004</v>
      </c>
      <c r="D5" s="2691"/>
      <c r="E5" s="2695"/>
      <c r="F5" s="329" t="s">
        <v>3005</v>
      </c>
      <c r="G5" s="2696" t="s">
        <v>3006</v>
      </c>
      <c r="H5" s="907"/>
      <c r="I5" s="907"/>
      <c r="J5" s="907"/>
      <c r="K5" s="907"/>
      <c r="L5" s="907"/>
      <c r="M5" s="907"/>
      <c r="N5" s="907"/>
      <c r="O5" s="907"/>
      <c r="P5" s="907"/>
      <c r="Q5" s="907"/>
      <c r="R5" s="907"/>
    </row>
    <row r="6" spans="1:29" ht="36">
      <c r="A6" s="2668"/>
      <c r="B6" s="329" t="s">
        <v>3007</v>
      </c>
      <c r="C6" s="2696" t="s">
        <v>3002</v>
      </c>
      <c r="D6" s="2691"/>
      <c r="E6" s="2695"/>
      <c r="F6" s="329" t="s">
        <v>3008</v>
      </c>
      <c r="G6" s="2696" t="s">
        <v>3009</v>
      </c>
      <c r="H6" s="907"/>
      <c r="I6" s="907"/>
      <c r="J6" s="907"/>
      <c r="K6" s="907"/>
      <c r="L6" s="907"/>
      <c r="M6" s="907"/>
      <c r="N6" s="907"/>
      <c r="O6" s="907"/>
      <c r="P6" s="907"/>
      <c r="Q6" s="907"/>
      <c r="R6" s="907"/>
    </row>
    <row r="7" spans="1:29" ht="24.75" thickBot="1">
      <c r="A7" s="2668"/>
      <c r="B7" s="329" t="s">
        <v>3005</v>
      </c>
      <c r="C7" s="2696" t="s">
        <v>3006</v>
      </c>
      <c r="D7" s="2697"/>
      <c r="E7" s="2698"/>
      <c r="F7" s="2699" t="s">
        <v>3010</v>
      </c>
      <c r="G7" s="2700" t="s">
        <v>3011</v>
      </c>
      <c r="H7" s="907"/>
      <c r="I7" s="907"/>
      <c r="J7" s="907"/>
      <c r="K7" s="907"/>
      <c r="L7" s="907"/>
      <c r="M7" s="907"/>
      <c r="N7" s="907"/>
      <c r="O7" s="907"/>
      <c r="P7" s="907"/>
      <c r="Q7" s="907"/>
      <c r="R7" s="907"/>
    </row>
    <row r="8" spans="1:29">
      <c r="A8" s="2668"/>
      <c r="B8" s="329" t="s">
        <v>3008</v>
      </c>
      <c r="C8" s="2696" t="s">
        <v>3009</v>
      </c>
      <c r="D8" s="2697"/>
      <c r="E8" s="2697"/>
      <c r="F8" s="2701"/>
      <c r="G8" s="2701"/>
      <c r="H8" s="907"/>
      <c r="I8" s="907"/>
      <c r="J8" s="907"/>
      <c r="K8" s="907"/>
      <c r="L8" s="907"/>
      <c r="M8" s="907"/>
      <c r="N8" s="907"/>
      <c r="O8" s="907"/>
      <c r="P8" s="907"/>
      <c r="Q8" s="907"/>
      <c r="R8" s="907"/>
    </row>
    <row r="9" spans="1:29" ht="24">
      <c r="A9" s="2668"/>
      <c r="B9" s="329" t="s">
        <v>3012</v>
      </c>
      <c r="C9" s="2694" t="s">
        <v>3013</v>
      </c>
      <c r="D9" s="2691"/>
      <c r="E9" s="2697"/>
      <c r="F9" s="2701"/>
      <c r="G9" s="2701"/>
      <c r="H9" s="907"/>
      <c r="I9" s="907"/>
      <c r="J9" s="907"/>
      <c r="K9" s="907"/>
      <c r="L9" s="907"/>
      <c r="M9" s="907"/>
      <c r="N9" s="907"/>
      <c r="O9" s="907"/>
      <c r="P9" s="907"/>
      <c r="Q9" s="907"/>
      <c r="R9" s="907"/>
    </row>
    <row r="10" spans="1:29" s="2707" customFormat="1" ht="15" thickBot="1">
      <c r="A10" s="2669"/>
      <c r="B10" s="2702" t="s">
        <v>3014</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3032</v>
      </c>
      <c r="B13" s="2710"/>
      <c r="C13" s="2710"/>
      <c r="D13" s="2708"/>
      <c r="E13" s="2710"/>
      <c r="F13" s="2710"/>
      <c r="G13" s="2710"/>
    </row>
    <row r="14" spans="1:29" ht="15" thickBot="1">
      <c r="A14" s="2720"/>
      <c r="B14" s="2720"/>
      <c r="C14" s="2721" t="s">
        <v>3015</v>
      </c>
      <c r="D14" s="2691"/>
      <c r="E14" s="2722"/>
      <c r="F14" s="2722"/>
      <c r="G14" s="2686" t="s">
        <v>3016</v>
      </c>
    </row>
    <row r="15" spans="1:29" ht="51">
      <c r="A15" s="2670" t="s">
        <v>3017</v>
      </c>
      <c r="B15" s="2723" t="s">
        <v>2997</v>
      </c>
      <c r="C15" s="2724" t="str">
        <f>C3</f>
        <v>估价对象周边居住用地比例、居住小区规模和社区发展完善程度，综合评价居住社区成熟度一般</v>
      </c>
      <c r="D15" s="2691"/>
      <c r="E15" s="2671" t="s">
        <v>3018</v>
      </c>
      <c r="F15" s="2723" t="s">
        <v>3019</v>
      </c>
      <c r="G15" s="2725" t="str">
        <f>G3</f>
        <v>估价对象位于XX开发区，园区建设成熟度XX，产业集聚程度XX</v>
      </c>
    </row>
    <row r="16" spans="1:29" ht="38.25">
      <c r="A16" s="2672"/>
      <c r="B16" s="2726" t="s">
        <v>2999</v>
      </c>
      <c r="C16" s="2727" t="str">
        <f>C4</f>
        <v>估价对象位于XX商圈，周边商业氛围成熟，人流量大，商业繁华度好</v>
      </c>
      <c r="D16" s="2691"/>
      <c r="E16" s="2673"/>
      <c r="F16" s="2728" t="s">
        <v>3001</v>
      </c>
      <c r="G16" s="2729" t="str">
        <f>G4</f>
        <v>估价对象周边道路状况、公共交通通达情况、停车便捷程度，综合评价交通便捷度较好</v>
      </c>
    </row>
    <row r="17" spans="1:18" ht="38.25">
      <c r="A17" s="2672"/>
      <c r="B17" s="2726" t="s">
        <v>3003</v>
      </c>
      <c r="C17" s="2727" t="str">
        <f>C5</f>
        <v>估价对象位于XX商圈，周边办公楼项目较多，入驻率高，办公集聚程度较好</v>
      </c>
      <c r="D17" s="2697"/>
      <c r="E17" s="2673"/>
      <c r="F17" s="2728" t="s">
        <v>3020</v>
      </c>
      <c r="G17" s="2730"/>
    </row>
    <row r="18" spans="1:18" ht="38.25">
      <c r="A18" s="2672"/>
      <c r="B18" s="2728" t="s">
        <v>3007</v>
      </c>
      <c r="C18" s="2729" t="str">
        <f>C6</f>
        <v>估价对象周边道路状况、公共交通通达情况、停车便捷程度，综合评价交通便捷度较好</v>
      </c>
      <c r="D18" s="2697"/>
      <c r="E18" s="2673"/>
      <c r="F18" s="2728" t="s">
        <v>3010</v>
      </c>
      <c r="G18" s="2729" t="str">
        <f>G7</f>
        <v>该园区内是否有污染型企业，绿化情况，卫生条件，整体环境状况判断</v>
      </c>
    </row>
    <row r="19" spans="1:18" ht="25.5">
      <c r="A19" s="2672"/>
      <c r="B19" s="2728" t="s">
        <v>3021</v>
      </c>
      <c r="C19" s="2730"/>
      <c r="D19" s="2691"/>
      <c r="E19" s="2673"/>
      <c r="F19" s="329" t="s">
        <v>3005</v>
      </c>
      <c r="G19" s="2729" t="str">
        <f>G5</f>
        <v>估价对象所在区域公共配套设施齐备情况</v>
      </c>
    </row>
    <row r="20" spans="1:18" ht="25.5">
      <c r="A20" s="2672"/>
      <c r="B20" s="2728" t="s">
        <v>3022</v>
      </c>
      <c r="C20" s="2727" t="str">
        <f>C9</f>
        <v>区域自然环境：；人文环境；综合评价环境状况一般</v>
      </c>
      <c r="D20" s="2697"/>
      <c r="E20" s="2673"/>
      <c r="F20" s="329" t="s">
        <v>3008</v>
      </c>
      <c r="G20" s="2729" t="str">
        <f>G6</f>
        <v>估价对象所在区域基础设施水平</v>
      </c>
    </row>
    <row r="21" spans="1:18" ht="25.5">
      <c r="A21" s="2672"/>
      <c r="B21" s="329" t="s">
        <v>3005</v>
      </c>
      <c r="C21" s="2729" t="str">
        <f>C7</f>
        <v>估价对象所在区域公共配套设施齐备情况</v>
      </c>
      <c r="D21" s="2691"/>
      <c r="E21" s="2673"/>
      <c r="F21" s="2728" t="s">
        <v>3023</v>
      </c>
      <c r="G21" s="2731"/>
    </row>
    <row r="22" spans="1:18" ht="13.5" customHeight="1">
      <c r="A22" s="2672"/>
      <c r="B22" s="329" t="s">
        <v>3008</v>
      </c>
      <c r="C22" s="2729" t="str">
        <f>C8</f>
        <v>估价对象所在区域基础设施水平</v>
      </c>
      <c r="D22" s="2691"/>
      <c r="E22" s="2673"/>
      <c r="F22" s="2728" t="s">
        <v>3014</v>
      </c>
      <c r="G22" s="2730"/>
    </row>
    <row r="23" spans="1:18" s="907" customFormat="1" ht="15" thickBot="1">
      <c r="A23" s="2672"/>
      <c r="B23" s="2728" t="s">
        <v>3023</v>
      </c>
      <c r="C23" s="2731"/>
      <c r="D23" s="1927"/>
      <c r="E23" s="2674"/>
      <c r="F23" s="2732" t="s">
        <v>3024</v>
      </c>
      <c r="G23" s="2733"/>
      <c r="H23" s="2717"/>
      <c r="I23" s="2718"/>
      <c r="J23" s="2717"/>
      <c r="K23" s="2717"/>
      <c r="L23" s="2718"/>
      <c r="M23" s="2717"/>
      <c r="N23" s="2717"/>
      <c r="O23" s="2718"/>
      <c r="P23" s="2717"/>
      <c r="Q23" s="2717"/>
      <c r="R23" s="2719"/>
    </row>
    <row r="24" spans="1:18" s="907" customFormat="1" ht="15" thickBot="1">
      <c r="A24" s="2675"/>
      <c r="B24" s="2732" t="s">
        <v>3025</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c r="A1" s="2738" t="s">
        <v>1331</v>
      </c>
      <c r="B1" s="2738">
        <f>SUM(B14:B23)</f>
        <v>8042.29</v>
      </c>
      <c r="C1" s="2915"/>
      <c r="D1" s="2915"/>
      <c r="E1" s="2915"/>
      <c r="F1" s="2915"/>
      <c r="G1" s="2916"/>
      <c r="H1" s="2917"/>
      <c r="I1" s="2917"/>
      <c r="J1" s="2917"/>
      <c r="K1" s="2917"/>
    </row>
    <row r="2" spans="1:11">
      <c r="A2" s="2738" t="s">
        <v>1319</v>
      </c>
      <c r="B2" s="2738">
        <f>SUM(C14:C23)</f>
        <v>3986.98</v>
      </c>
      <c r="C2" s="2915"/>
      <c r="D2" s="2915"/>
      <c r="E2" s="2915"/>
      <c r="F2" s="2915"/>
      <c r="G2" s="2916"/>
      <c r="H2" s="2917"/>
      <c r="I2" s="2917"/>
      <c r="J2" s="2917"/>
      <c r="K2" s="2917"/>
    </row>
    <row r="3" spans="1:11">
      <c r="A3" s="2738" t="s">
        <v>1328</v>
      </c>
      <c r="B3" s="2740">
        <f>项目基本情况!D3</f>
        <v>44396</v>
      </c>
      <c r="C3" s="2915"/>
      <c r="D3" s="2915"/>
      <c r="E3" s="2915"/>
      <c r="F3" s="2915"/>
      <c r="G3" s="2916"/>
      <c r="H3" s="2917"/>
      <c r="I3" s="2917"/>
      <c r="J3" s="2917"/>
      <c r="K3" s="2917"/>
    </row>
    <row r="4" spans="1:11" ht="27">
      <c r="A4" s="2738" t="s">
        <v>1327</v>
      </c>
      <c r="B4" s="2738" t="s">
        <v>1326</v>
      </c>
      <c r="C4" s="2738" t="s">
        <v>1325</v>
      </c>
      <c r="D4" s="2738" t="s">
        <v>1324</v>
      </c>
      <c r="E4" s="2915"/>
      <c r="F4" s="2916"/>
      <c r="G4" s="2916"/>
      <c r="H4" s="2917"/>
      <c r="I4" s="2917"/>
      <c r="J4" s="2917"/>
      <c r="K4" s="2917"/>
    </row>
    <row r="5" spans="1:11">
      <c r="A5" s="2738" t="s">
        <v>1323</v>
      </c>
      <c r="B5" s="2738">
        <f ca="1">SUM(D14:D23)</f>
        <v>46880</v>
      </c>
      <c r="C5" s="2738">
        <f ca="1">ROUND(B5*10000/$B$1,0)</f>
        <v>58292</v>
      </c>
      <c r="D5" s="2738">
        <f ca="1">ROUND(B5*10000/$B$2,0)</f>
        <v>117583</v>
      </c>
      <c r="E5" s="2915"/>
      <c r="F5" s="2916"/>
      <c r="G5" s="2916"/>
      <c r="H5" s="2917"/>
      <c r="I5" s="2917"/>
      <c r="J5" s="2917"/>
      <c r="K5" s="2917"/>
    </row>
    <row r="6" spans="1:11">
      <c r="A6" s="2738" t="s">
        <v>1322</v>
      </c>
      <c r="B6" s="2738">
        <f ca="1">SUM(G14:G23)</f>
        <v>46880</v>
      </c>
      <c r="C6" s="2738">
        <f ca="1">ROUND(B6*10000/$B$1,0)</f>
        <v>58292</v>
      </c>
      <c r="D6" s="2738">
        <f ca="1">ROUND(B6*10000/$B$2,0)</f>
        <v>117583</v>
      </c>
      <c r="E6" s="2915"/>
      <c r="F6" s="2916"/>
      <c r="G6" s="2916"/>
      <c r="H6" s="2917"/>
      <c r="I6" s="2917"/>
      <c r="J6" s="2917"/>
      <c r="K6" s="2917"/>
    </row>
    <row r="7" spans="1:11">
      <c r="A7" s="2738" t="s">
        <v>1330</v>
      </c>
      <c r="B7" s="2738">
        <f>SUM(H14:H23)</f>
        <v>0</v>
      </c>
      <c r="C7" s="2738">
        <f>ROUND(B7*10000/$B$1,0)</f>
        <v>0</v>
      </c>
      <c r="D7" s="2738">
        <f>ROUND(B7*10000/$B$2,0)</f>
        <v>0</v>
      </c>
      <c r="E7" s="2915"/>
      <c r="F7" s="2916"/>
      <c r="G7" s="2916"/>
      <c r="H7" s="2917"/>
      <c r="I7" s="2917"/>
      <c r="J7" s="2917"/>
      <c r="K7" s="2917"/>
    </row>
    <row r="8" spans="1:11">
      <c r="A8" s="2738" t="s">
        <v>1252</v>
      </c>
      <c r="B8" s="2738">
        <f ca="1">SUM(I14:I23)</f>
        <v>33882</v>
      </c>
      <c r="C8" s="2738">
        <f ca="1">ROUND(B8*10000/$B$1,0)</f>
        <v>42130</v>
      </c>
      <c r="D8" s="2738">
        <f ca="1">ROUND(B8*10000/$B$2,0)</f>
        <v>84982</v>
      </c>
      <c r="E8" s="2915"/>
      <c r="F8" s="2916"/>
      <c r="G8" s="2916"/>
      <c r="H8" s="2917"/>
      <c r="I8" s="2917"/>
      <c r="J8" s="2917"/>
      <c r="K8" s="2917"/>
    </row>
    <row r="9" spans="1:11">
      <c r="A9" s="2738" t="s">
        <v>1321</v>
      </c>
      <c r="B9" s="2746"/>
      <c r="C9" s="2915"/>
      <c r="D9" s="2915"/>
      <c r="E9" s="2915"/>
      <c r="F9" s="2916"/>
      <c r="G9" s="2916"/>
      <c r="H9" s="2917"/>
      <c r="I9" s="2917"/>
      <c r="J9" s="2917"/>
      <c r="K9" s="2917"/>
    </row>
    <row r="10" spans="1:11">
      <c r="A10" s="2738" t="s">
        <v>1320</v>
      </c>
      <c r="B10" s="2746"/>
      <c r="C10" s="2915"/>
      <c r="D10" s="2915"/>
      <c r="E10" s="2915"/>
      <c r="F10" s="2916"/>
      <c r="G10" s="2916"/>
      <c r="H10" s="2917"/>
      <c r="I10" s="2917"/>
      <c r="J10" s="2917"/>
      <c r="K10" s="2917"/>
    </row>
    <row r="11" spans="1:11">
      <c r="A11" s="2738" t="s">
        <v>1336</v>
      </c>
      <c r="B11" s="2746"/>
      <c r="C11" s="2915"/>
      <c r="D11" s="2915"/>
      <c r="E11" s="2915"/>
      <c r="F11" s="2916"/>
      <c r="G11" s="2916"/>
      <c r="H11" s="2917"/>
      <c r="I11" s="2917"/>
      <c r="J11" s="2917"/>
      <c r="K11" s="2917"/>
    </row>
    <row r="12" spans="1:11">
      <c r="A12" s="2915"/>
      <c r="B12" s="2915"/>
      <c r="C12" s="2915"/>
      <c r="D12" s="2915"/>
      <c r="E12" s="2915"/>
      <c r="F12" s="2916"/>
      <c r="G12" s="2916"/>
      <c r="H12" s="2917"/>
      <c r="I12" s="2917"/>
      <c r="J12" s="2917"/>
      <c r="K12" s="2917"/>
    </row>
    <row r="13" spans="1:11" ht="27">
      <c r="A13" s="2741" t="s">
        <v>1335</v>
      </c>
      <c r="B13" s="2742" t="s">
        <v>1332</v>
      </c>
      <c r="C13" s="2742" t="s">
        <v>1334</v>
      </c>
      <c r="D13" s="2742" t="s">
        <v>1333</v>
      </c>
      <c r="E13" s="2738" t="s">
        <v>1325</v>
      </c>
      <c r="F13" s="2738" t="s">
        <v>1324</v>
      </c>
      <c r="G13" s="2742" t="s">
        <v>1318</v>
      </c>
      <c r="H13" s="2742" t="s">
        <v>1329</v>
      </c>
      <c r="I13" s="2742" t="s">
        <v>1317</v>
      </c>
      <c r="J13" s="2916"/>
      <c r="K13" s="2917"/>
    </row>
    <row r="14" spans="1:11">
      <c r="A14" s="2743" t="s">
        <v>1316</v>
      </c>
      <c r="B14" s="2744">
        <f>结果表!B118</f>
        <v>8042.29</v>
      </c>
      <c r="C14" s="2744">
        <f>结果表!C118</f>
        <v>3986.98</v>
      </c>
      <c r="D14" s="2744">
        <f ca="1">结果表!H118</f>
        <v>46880</v>
      </c>
      <c r="E14" s="2744">
        <f ca="1">ROUND(D14*10000/B14,0)</f>
        <v>58292</v>
      </c>
      <c r="F14" s="2744">
        <f ca="1">ROUND(D14*10000/C14,0)</f>
        <v>117583</v>
      </c>
      <c r="G14" s="2744">
        <f ca="1">结果表!D122</f>
        <v>46880</v>
      </c>
      <c r="H14" s="2744" t="str">
        <f>结果表!D124</f>
        <v>——</v>
      </c>
      <c r="I14" s="2744">
        <f ca="1">结果表!D126</f>
        <v>33882</v>
      </c>
      <c r="J14" s="2916"/>
      <c r="K14" s="2917"/>
    </row>
    <row r="15" spans="1:11">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c r="A16" s="2743" t="s">
        <v>1314</v>
      </c>
      <c r="B16" s="2745"/>
      <c r="C16" s="2745"/>
      <c r="D16" s="2745"/>
      <c r="E16" s="2744" t="e">
        <f t="shared" si="0"/>
        <v>#DIV/0!</v>
      </c>
      <c r="F16" s="2744" t="e">
        <f t="shared" si="1"/>
        <v>#DIV/0!</v>
      </c>
      <c r="G16" s="1500"/>
      <c r="H16" s="1500"/>
      <c r="I16" s="2745"/>
      <c r="J16" s="2917"/>
      <c r="K16" s="2917"/>
    </row>
    <row r="17" spans="1:11">
      <c r="A17" s="2743" t="s">
        <v>1313</v>
      </c>
      <c r="B17" s="2745"/>
      <c r="C17" s="2745"/>
      <c r="D17" s="2745"/>
      <c r="E17" s="2744" t="e">
        <f t="shared" si="0"/>
        <v>#DIV/0!</v>
      </c>
      <c r="F17" s="2744" t="e">
        <f t="shared" si="1"/>
        <v>#DIV/0!</v>
      </c>
      <c r="G17" s="1500"/>
      <c r="H17" s="1500"/>
      <c r="I17" s="2745"/>
      <c r="J17" s="2917"/>
      <c r="K17" s="2917"/>
    </row>
    <row r="18" spans="1:11">
      <c r="A18" s="2743" t="s">
        <v>1312</v>
      </c>
      <c r="B18" s="2745"/>
      <c r="C18" s="2745"/>
      <c r="D18" s="2745"/>
      <c r="E18" s="2744" t="e">
        <f t="shared" si="0"/>
        <v>#DIV/0!</v>
      </c>
      <c r="F18" s="2744" t="e">
        <f t="shared" si="1"/>
        <v>#DIV/0!</v>
      </c>
      <c r="G18" s="2745"/>
      <c r="H18" s="2745"/>
      <c r="I18" s="2745"/>
      <c r="J18" s="2917"/>
      <c r="K18" s="2917"/>
    </row>
    <row r="19" spans="1:11">
      <c r="A19" s="2743" t="s">
        <v>1311</v>
      </c>
      <c r="B19" s="2745"/>
      <c r="C19" s="2745"/>
      <c r="D19" s="2745"/>
      <c r="E19" s="2744" t="e">
        <f t="shared" si="0"/>
        <v>#DIV/0!</v>
      </c>
      <c r="F19" s="2744" t="e">
        <f t="shared" si="1"/>
        <v>#DIV/0!</v>
      </c>
      <c r="G19" s="2745"/>
      <c r="H19" s="2745"/>
      <c r="I19" s="2745"/>
      <c r="J19" s="2917"/>
      <c r="K19" s="2917"/>
    </row>
    <row r="20" spans="1:11">
      <c r="A20" s="2743" t="s">
        <v>1310</v>
      </c>
      <c r="B20" s="2745"/>
      <c r="C20" s="2745"/>
      <c r="D20" s="2745"/>
      <c r="E20" s="2744" t="e">
        <f t="shared" si="0"/>
        <v>#DIV/0!</v>
      </c>
      <c r="F20" s="2744" t="e">
        <f t="shared" si="1"/>
        <v>#DIV/0!</v>
      </c>
      <c r="G20" s="2745"/>
      <c r="H20" s="2745"/>
      <c r="I20" s="2745"/>
      <c r="J20" s="2917"/>
      <c r="K20" s="2917"/>
    </row>
    <row r="21" spans="1:11">
      <c r="A21" s="2743" t="s">
        <v>1309</v>
      </c>
      <c r="B21" s="2745"/>
      <c r="C21" s="2745"/>
      <c r="D21" s="2745"/>
      <c r="E21" s="2744" t="e">
        <f t="shared" si="0"/>
        <v>#DIV/0!</v>
      </c>
      <c r="F21" s="2744" t="e">
        <f t="shared" si="1"/>
        <v>#DIV/0!</v>
      </c>
      <c r="G21" s="2745"/>
      <c r="H21" s="2745"/>
      <c r="I21" s="2745"/>
      <c r="J21" s="2917"/>
      <c r="K21" s="2917"/>
    </row>
    <row r="22" spans="1:11">
      <c r="A22" s="2743" t="s">
        <v>1308</v>
      </c>
      <c r="B22" s="2745"/>
      <c r="C22" s="2745"/>
      <c r="D22" s="2745"/>
      <c r="E22" s="2744" t="e">
        <f t="shared" si="0"/>
        <v>#DIV/0!</v>
      </c>
      <c r="F22" s="2744" t="e">
        <f t="shared" si="1"/>
        <v>#DIV/0!</v>
      </c>
      <c r="G22" s="2745"/>
      <c r="H22" s="2745"/>
      <c r="I22" s="2745"/>
      <c r="J22" s="2917"/>
      <c r="K22" s="2917"/>
    </row>
    <row r="23" spans="1:11">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8" zoomScale="80" zoomScaleNormal="100" zoomScaleSheetLayoutView="80" zoomScalePageLayoutView="80" workbookViewId="0">
      <selection activeCell="G68" sqref="G68"/>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t="s">
        <v>27</v>
      </c>
      <c r="D1" s="1933"/>
      <c r="E1" s="1933"/>
      <c r="F1" s="1935" t="s">
        <v>1949</v>
      </c>
      <c r="G1" s="1746"/>
      <c r="H1" s="1936" t="str">
        <f>IF(G1="现房","——","估价对象范围")</f>
        <v>估价对象范围</v>
      </c>
      <c r="I1" s="1937"/>
    </row>
    <row r="2" spans="1:12" ht="21.75" customHeight="1" thickBot="1">
      <c r="A2" s="3347" t="str">
        <f>项目基本情况!S2</f>
        <v>北京市房地产</v>
      </c>
      <c r="B2" s="3348"/>
      <c r="C2" s="3348"/>
      <c r="D2" s="3348"/>
      <c r="E2" s="3348"/>
      <c r="F2" s="3348"/>
      <c r="G2" s="3348"/>
      <c r="H2" s="3348"/>
      <c r="I2" s="3349"/>
    </row>
    <row r="3" spans="1:12" ht="12.75">
      <c r="A3" s="3351" t="s">
        <v>1950</v>
      </c>
      <c r="B3" s="3352"/>
      <c r="C3" s="3352"/>
      <c r="D3" s="3352"/>
      <c r="E3" s="3352"/>
      <c r="F3" s="3352"/>
      <c r="G3" s="3352"/>
      <c r="H3" s="3352"/>
      <c r="I3" s="3352"/>
    </row>
    <row r="4" spans="1:12" ht="14.25">
      <c r="A4" s="1940" t="s">
        <v>1951</v>
      </c>
      <c r="B4" s="1941" t="s">
        <v>1952</v>
      </c>
      <c r="C4" s="1942" t="s">
        <v>3146</v>
      </c>
      <c r="D4" s="1942" t="s">
        <v>3302</v>
      </c>
      <c r="E4" s="3356" t="s">
        <v>1953</v>
      </c>
      <c r="F4" s="3357"/>
      <c r="G4" s="3357"/>
      <c r="H4" s="3357"/>
      <c r="I4" s="335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比较法</v>
      </c>
    </row>
    <row r="5" spans="1:12" ht="12.75">
      <c r="A5" s="3292" t="s">
        <v>1954</v>
      </c>
      <c r="B5" s="3350">
        <v>25</v>
      </c>
      <c r="C5" s="3353"/>
      <c r="D5" s="3341"/>
      <c r="E5" s="136" t="s">
        <v>1955</v>
      </c>
      <c r="F5" s="1943"/>
      <c r="G5" s="1943"/>
      <c r="H5" s="1943"/>
      <c r="I5" s="1557"/>
    </row>
    <row r="6" spans="1:12" ht="12.75">
      <c r="A6" s="3292"/>
      <c r="B6" s="3350"/>
      <c r="C6" s="3355"/>
      <c r="D6" s="3341"/>
      <c r="E6" s="136" t="s">
        <v>1956</v>
      </c>
      <c r="F6" s="1943"/>
      <c r="G6" s="1943"/>
      <c r="H6" s="1943"/>
      <c r="I6" s="1557"/>
    </row>
    <row r="7" spans="1:12" ht="12.75">
      <c r="A7" s="3292"/>
      <c r="B7" s="3350"/>
      <c r="C7" s="3354"/>
      <c r="D7" s="3341"/>
      <c r="E7" s="136" t="s">
        <v>1957</v>
      </c>
      <c r="F7" s="1943"/>
      <c r="G7" s="1943"/>
      <c r="H7" s="1943"/>
      <c r="I7" s="1557"/>
    </row>
    <row r="8" spans="1:12" ht="12.75">
      <c r="A8" s="3292" t="s">
        <v>1958</v>
      </c>
      <c r="B8" s="3350">
        <v>15</v>
      </c>
      <c r="C8" s="3353"/>
      <c r="D8" s="3341"/>
      <c r="E8" s="136" t="s">
        <v>1959</v>
      </c>
      <c r="F8" s="1943"/>
      <c r="G8" s="1943"/>
      <c r="H8" s="1943"/>
      <c r="I8" s="1557"/>
    </row>
    <row r="9" spans="1:12" ht="12.75">
      <c r="A9" s="3292"/>
      <c r="B9" s="3350"/>
      <c r="C9" s="3354"/>
      <c r="D9" s="3341"/>
      <c r="E9" s="136" t="s">
        <v>1960</v>
      </c>
      <c r="F9" s="1943"/>
      <c r="G9" s="1943"/>
      <c r="H9" s="1943"/>
      <c r="I9" s="1557"/>
    </row>
    <row r="10" spans="1:12" ht="12.75">
      <c r="A10" s="3292" t="s">
        <v>1961</v>
      </c>
      <c r="B10" s="3350">
        <v>15</v>
      </c>
      <c r="C10" s="3353"/>
      <c r="D10" s="3341"/>
      <c r="E10" s="136" t="s">
        <v>1962</v>
      </c>
      <c r="F10" s="1943"/>
      <c r="G10" s="1943"/>
      <c r="H10" s="1943"/>
      <c r="I10" s="1557"/>
    </row>
    <row r="11" spans="1:12" ht="12.75">
      <c r="A11" s="3292"/>
      <c r="B11" s="3350"/>
      <c r="C11" s="3354"/>
      <c r="D11" s="3341"/>
      <c r="E11" s="136" t="s">
        <v>1963</v>
      </c>
      <c r="F11" s="1943"/>
      <c r="G11" s="1943"/>
      <c r="H11" s="1943"/>
      <c r="I11" s="1557"/>
    </row>
    <row r="12" spans="1:12" ht="12.75">
      <c r="A12" s="3292" t="s">
        <v>1964</v>
      </c>
      <c r="B12" s="3350">
        <v>15</v>
      </c>
      <c r="C12" s="3353"/>
      <c r="D12" s="3341"/>
      <c r="E12" s="136" t="s">
        <v>1965</v>
      </c>
      <c r="F12" s="1943"/>
      <c r="G12" s="1943"/>
      <c r="H12" s="1943"/>
      <c r="I12" s="1557"/>
    </row>
    <row r="13" spans="1:12" ht="12.75">
      <c r="A13" s="3292"/>
      <c r="B13" s="3350"/>
      <c r="C13" s="3354"/>
      <c r="D13" s="3341"/>
      <c r="E13" s="136" t="s">
        <v>1966</v>
      </c>
      <c r="F13" s="1943"/>
      <c r="G13" s="1943"/>
      <c r="H13" s="1943"/>
      <c r="I13" s="1557"/>
    </row>
    <row r="14" spans="1:12" ht="12.75">
      <c r="A14" s="3292" t="s">
        <v>1967</v>
      </c>
      <c r="B14" s="3350">
        <v>30</v>
      </c>
      <c r="C14" s="3353">
        <v>7</v>
      </c>
      <c r="D14" s="3341">
        <v>3</v>
      </c>
      <c r="E14" s="136" t="s">
        <v>1968</v>
      </c>
      <c r="F14" s="1943"/>
      <c r="G14" s="1943"/>
      <c r="H14" s="1943"/>
      <c r="I14" s="1557"/>
    </row>
    <row r="15" spans="1:12" ht="12.75">
      <c r="A15" s="3292"/>
      <c r="B15" s="3350"/>
      <c r="C15" s="3355"/>
      <c r="D15" s="3341"/>
      <c r="E15" s="136" t="s">
        <v>1969</v>
      </c>
      <c r="F15" s="1943"/>
      <c r="G15" s="1943"/>
      <c r="H15" s="1943"/>
      <c r="I15" s="1557"/>
    </row>
    <row r="16" spans="1:12" ht="12.75">
      <c r="A16" s="3292"/>
      <c r="B16" s="3350"/>
      <c r="C16" s="3354"/>
      <c r="D16" s="3341"/>
      <c r="E16" s="136" t="s">
        <v>1970</v>
      </c>
      <c r="F16" s="1943"/>
      <c r="G16" s="1943"/>
      <c r="H16" s="1943"/>
      <c r="I16" s="1557"/>
    </row>
    <row r="17" spans="1:36" ht="15">
      <c r="A17" s="1944" t="s">
        <v>1971</v>
      </c>
      <c r="B17" s="60"/>
      <c r="C17" s="137">
        <f>SUM(C5:C16)</f>
        <v>7</v>
      </c>
      <c r="D17" s="137">
        <f>SUM(D5:D16)</f>
        <v>3</v>
      </c>
      <c r="E17" s="134"/>
      <c r="F17" s="134"/>
      <c r="G17" s="134"/>
      <c r="H17" s="134"/>
      <c r="I17" s="134"/>
      <c r="K17" s="308"/>
      <c r="L17" s="308" t="s">
        <v>1972</v>
      </c>
      <c r="M17" s="308" t="s">
        <v>1973</v>
      </c>
    </row>
    <row r="18" spans="1:36" ht="31.9" customHeight="1" thickBot="1">
      <c r="A18" s="1945" t="s">
        <v>1974</v>
      </c>
      <c r="B18" s="1946"/>
      <c r="C18" s="138">
        <f>ROUND(C17/SUM(C17:D17),2)</f>
        <v>0.7</v>
      </c>
      <c r="D18" s="138">
        <f>1-C18</f>
        <v>0.30000000000000004</v>
      </c>
      <c r="E18" s="3372" t="s">
        <v>2872</v>
      </c>
      <c r="F18" s="3373"/>
      <c r="G18" s="3373"/>
      <c r="H18" s="3373"/>
      <c r="I18" s="3373"/>
      <c r="K18" s="308" t="s">
        <v>1975</v>
      </c>
      <c r="L18" s="308">
        <f>IF(C1="",'数据-汇总表'!E3,SUMIF(项目类型,C1,'数据-汇总表'!E17:E26)+SUMIF(项目类型,C1,'数据-汇总表'!I17:I26))</f>
        <v>8042.29</v>
      </c>
      <c r="M18" s="308">
        <f>IF(C1="",'数据-汇总表'!E3,SUMIF(项目类型,C1,'数据-汇总表'!E17:E26))</f>
        <v>8042.29</v>
      </c>
    </row>
    <row r="19" spans="1:36" ht="15">
      <c r="A19" s="1947" t="s">
        <v>1976</v>
      </c>
      <c r="B19" s="1948" t="s">
        <v>1977</v>
      </c>
      <c r="C19" s="139">
        <f ca="1">SUMIF(INDIRECT("'"&amp;C4&amp;"'"&amp;"!A:A"),结果表!B19,INDIRECT("'"&amp;C4&amp;"'"&amp;"!B:B"))</f>
        <v>42216</v>
      </c>
      <c r="D19" s="140">
        <f ca="1">SUMIF(INDIRECT("'"&amp;D4&amp;"'"&amp;"!A:A"),结果表!B19,INDIRECT("'"&amp;D4&amp;"'"&amp;"!B:B"))</f>
        <v>57761</v>
      </c>
      <c r="E19" s="1947" t="s">
        <v>1978</v>
      </c>
      <c r="F19" s="1948" t="s">
        <v>1977</v>
      </c>
      <c r="G19" s="141">
        <f ca="1">ROUND(C19*$C$18+D19*$D$18,0)</f>
        <v>46880</v>
      </c>
      <c r="H19" s="1949" t="s">
        <v>1979</v>
      </c>
      <c r="I19" s="134"/>
      <c r="K19" s="308" t="s">
        <v>1980</v>
      </c>
      <c r="L19" s="308">
        <f>IF(C1="",'数据-汇总表'!D3,SUMIF(项目类型,C1,'数据-汇总表'!D17:D26)+SUMIF(项目类型,C1,'数据-汇总表'!H17:H27))</f>
        <v>3986.98</v>
      </c>
      <c r="M19" s="308">
        <f>IF(C1="",'数据-汇总表'!D3,SUMIF(项目类型,C1,'数据-汇总表'!D17:D26))</f>
        <v>3986.98</v>
      </c>
    </row>
    <row r="20" spans="1:36" ht="15">
      <c r="A20" s="1950"/>
      <c r="B20" s="1157" t="s">
        <v>1981</v>
      </c>
      <c r="C20" s="142">
        <f ca="1">SUMIF(INDIRECT("'"&amp;C4&amp;"'"&amp;"!A:A"),结果表!B20,INDIRECT("'"&amp;C4&amp;"'"&amp;"!B:B"))</f>
        <v>52493</v>
      </c>
      <c r="D20" s="143">
        <f ca="1">SUMIF(INDIRECT("'"&amp;D4&amp;"'"&amp;"!A:A"),结果表!B20,INDIRECT("'"&amp;D4&amp;"'"&amp;"!B:B"))</f>
        <v>71822</v>
      </c>
      <c r="E20" s="1950"/>
      <c r="F20" s="1157" t="s">
        <v>1981</v>
      </c>
      <c r="G20" s="144">
        <f ca="1">ROUND(C20*$C$18+D20*$D$18,0)</f>
        <v>58292</v>
      </c>
      <c r="H20" s="917" t="s">
        <v>1982</v>
      </c>
      <c r="I20" s="134"/>
    </row>
    <row r="21" spans="1:36" ht="15" customHeight="1" thickBot="1">
      <c r="A21" s="937"/>
      <c r="B21" s="1951" t="s">
        <v>1983</v>
      </c>
      <c r="C21" s="728">
        <f ca="1">ROUND(C19*10000/L19,0)</f>
        <v>105885</v>
      </c>
      <c r="D21" s="729">
        <f ca="1">ROUND(D19*10000/L19,0)</f>
        <v>144874</v>
      </c>
      <c r="E21" s="937"/>
      <c r="F21" s="1951" t="s">
        <v>1983</v>
      </c>
      <c r="G21" s="145">
        <f ca="1">ROUND(G19*10000/L19,0)</f>
        <v>117583</v>
      </c>
      <c r="H21" s="1952" t="s">
        <v>1982</v>
      </c>
      <c r="I21" s="134"/>
    </row>
    <row r="22" spans="1:36" ht="15" thickBot="1">
      <c r="A22" s="1874" t="s">
        <v>1984</v>
      </c>
      <c r="B22" s="1953"/>
      <c r="C22" s="1954"/>
      <c r="D22" s="730">
        <f ca="1">IF(C19&lt;D19,D19/C19-1,C19/D19-1)</f>
        <v>0.36822531741519793</v>
      </c>
      <c r="E22" s="134"/>
      <c r="F22" s="134"/>
      <c r="G22" s="134"/>
      <c r="H22" s="134"/>
      <c r="I22" s="134"/>
    </row>
    <row r="23" spans="1:36" ht="13.5" thickBot="1">
      <c r="A23" s="1933"/>
      <c r="B23" s="1933"/>
      <c r="C23" s="1933"/>
      <c r="D23" s="1933"/>
      <c r="E23" s="134"/>
      <c r="F23" s="134"/>
      <c r="G23" s="134"/>
      <c r="H23" s="134"/>
      <c r="I23" s="134"/>
    </row>
    <row r="24" spans="1:36" ht="14.25">
      <c r="A24" s="3365" t="s">
        <v>1985</v>
      </c>
      <c r="B24" s="1948" t="s">
        <v>1977</v>
      </c>
      <c r="C24" s="141">
        <f>IF(B30=0,0,D30)</f>
        <v>0</v>
      </c>
      <c r="D24" s="1955"/>
      <c r="E24" s="134"/>
      <c r="F24" s="134"/>
      <c r="G24" s="134"/>
      <c r="H24" s="134"/>
      <c r="I24" s="134"/>
    </row>
    <row r="25" spans="1:36" ht="14.25">
      <c r="A25" s="3366"/>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f ca="1">G19/'数据-汇总表'!F27*10000</f>
        <v>78824.22768902767</v>
      </c>
      <c r="C27" s="147">
        <v>0</v>
      </c>
      <c r="D27" s="148">
        <f ca="1">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2873</v>
      </c>
      <c r="F30" s="134"/>
      <c r="G30" s="134"/>
      <c r="H30" s="134"/>
      <c r="I30" s="134"/>
    </row>
    <row r="31" spans="1:36" s="2527" customFormat="1" ht="26.45" customHeight="1" thickTop="1" thickBot="1">
      <c r="A31" s="2522"/>
      <c r="B31" s="2523"/>
      <c r="C31" s="2523"/>
      <c r="D31" s="2523"/>
      <c r="E31" s="2523"/>
      <c r="F31" s="2523"/>
      <c r="G31" s="2523"/>
      <c r="H31" s="2523"/>
      <c r="I31" s="2524" t="s">
        <v>2874</v>
      </c>
      <c r="J31" s="3182"/>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46880</v>
      </c>
      <c r="D32" s="1961" t="s">
        <v>3150</v>
      </c>
      <c r="E32" s="134"/>
      <c r="F32" s="134"/>
      <c r="G32" s="134"/>
      <c r="H32" s="134"/>
      <c r="I32" s="134"/>
    </row>
    <row r="33" spans="1:15" ht="15">
      <c r="A33" s="894" t="s">
        <v>1992</v>
      </c>
      <c r="B33" s="1962"/>
      <c r="C33" s="1963" t="s">
        <v>3151</v>
      </c>
      <c r="D33" s="1964" t="s">
        <v>3146</v>
      </c>
      <c r="E33" s="1965" t="s">
        <v>1993</v>
      </c>
      <c r="F33" s="1966" t="str">
        <f>IF(D32="楼面单价","取值（单价）","取值（总价）")</f>
        <v>取值（总价）</v>
      </c>
      <c r="G33" s="134"/>
      <c r="H33" s="134"/>
      <c r="I33" s="134"/>
    </row>
    <row r="34" spans="1:15" ht="15">
      <c r="A34" s="1967"/>
      <c r="B34" s="1968" t="s">
        <v>1994</v>
      </c>
      <c r="C34" s="153">
        <f ca="1">IF(C33="自定义",F34,C32-C35)</f>
        <v>42333</v>
      </c>
      <c r="D34" s="970">
        <f ca="1">IF(C33="自定义",ROUND(C34/C32,3),IF(C33="收益比率",SUMIF(INDIRECT("'"&amp;D33&amp;"'"&amp;"!b:b"),"土地收益比率",INDIRECT("'"&amp;D33&amp;"'"&amp;"!c:c")),SUMIF(INDIRECT("'"&amp;D33&amp;"'"&amp;"!b:b"),"土地成本比率",INDIRECT("'"&amp;D33&amp;"'"&amp;"!c:c"))))</f>
        <v>0.90300000000000002</v>
      </c>
      <c r="E34" s="1969" t="s">
        <v>1995</v>
      </c>
      <c r="F34" s="1498"/>
      <c r="G34" s="134"/>
      <c r="H34" s="134"/>
      <c r="I34" s="134"/>
    </row>
    <row r="35" spans="1:15" ht="15.75" thickBot="1">
      <c r="A35" s="1970"/>
      <c r="B35" s="1971" t="s">
        <v>1996</v>
      </c>
      <c r="C35" s="1332">
        <f ca="1">IF(C33="自定义",F35,ROUND(C32*D35,0))</f>
        <v>4547</v>
      </c>
      <c r="D35" s="1333">
        <f ca="1">IF(C33="自定义",ROUND(C35/C32,3),IF(C33="收益比率",SUMIF(INDIRECT("'"&amp;D33&amp;"'"&amp;"!b:b"),"建筑物收益比率",INDIRECT("'"&amp;D33&amp;"'"&amp;"!c:c")),SUMIF(INDIRECT("'"&amp;D33&amp;"'"&amp;"!b:b"),"建筑物成本比率",INDIRECT("'"&amp;D33&amp;"'"&amp;"!c:c"))))</f>
        <v>9.7000000000000003E-2</v>
      </c>
      <c r="E35" s="1972" t="s">
        <v>1997</v>
      </c>
      <c r="F35" s="159"/>
      <c r="G35" s="134"/>
      <c r="H35" s="134"/>
      <c r="I35" s="134"/>
    </row>
    <row r="36" spans="1:15" ht="15.75" thickBot="1">
      <c r="A36" s="3342" t="s">
        <v>1998</v>
      </c>
      <c r="B36" s="1973" t="s">
        <v>1999</v>
      </c>
      <c r="C36" s="150"/>
      <c r="D36" s="1974"/>
      <c r="E36" s="1975"/>
      <c r="F36" s="1976"/>
      <c r="G36" s="134"/>
      <c r="H36" s="134"/>
      <c r="I36" s="134"/>
    </row>
    <row r="37" spans="1:15" ht="15.75" thickBot="1">
      <c r="A37" s="3343"/>
      <c r="B37" s="1860" t="s">
        <v>2000</v>
      </c>
      <c r="C37" s="152"/>
      <c r="D37" s="1301"/>
      <c r="E37" s="1301"/>
      <c r="F37" s="1976"/>
      <c r="G37" s="134"/>
      <c r="H37" s="134"/>
      <c r="I37" s="134"/>
    </row>
    <row r="38" spans="1:15" ht="15.75" thickBot="1">
      <c r="A38" s="3344"/>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362" t="s">
        <v>2012</v>
      </c>
      <c r="B45" s="3363"/>
      <c r="C45" s="3364"/>
      <c r="D45" s="160">
        <f ca="1">ROUND(H101*F45,0)</f>
        <v>46880</v>
      </c>
      <c r="E45" s="161" t="s">
        <v>2013</v>
      </c>
      <c r="F45" s="162">
        <v>1</v>
      </c>
      <c r="G45" s="163" t="s">
        <v>2014</v>
      </c>
      <c r="H45" s="134"/>
      <c r="I45" s="134"/>
      <c r="J45" s="3279" t="s">
        <v>2015</v>
      </c>
      <c r="K45" s="3279"/>
      <c r="L45" s="3279"/>
      <c r="M45" s="3279"/>
      <c r="N45" s="3279"/>
      <c r="O45" s="3279"/>
    </row>
    <row r="46" spans="1:15" ht="14.25" customHeight="1">
      <c r="A46" s="3359" t="s">
        <v>2016</v>
      </c>
      <c r="B46" s="3360"/>
      <c r="C46" s="3360"/>
      <c r="D46" s="3360"/>
      <c r="E46" s="3360"/>
      <c r="F46" s="3360"/>
      <c r="G46" s="3361"/>
      <c r="H46" s="1992"/>
      <c r="I46" s="164"/>
      <c r="J46" s="2749">
        <v>1</v>
      </c>
      <c r="K46" s="3280" t="s">
        <v>2017</v>
      </c>
      <c r="L46" s="3280"/>
      <c r="M46" s="3281"/>
      <c r="N46" s="3281"/>
      <c r="O46" s="3281"/>
    </row>
    <row r="47" spans="1:15" ht="12" customHeight="1">
      <c r="A47" s="165" t="s">
        <v>2018</v>
      </c>
      <c r="B47" s="166"/>
      <c r="C47" s="167"/>
      <c r="D47" s="1247" t="s">
        <v>2019</v>
      </c>
      <c r="E47" s="308" t="s">
        <v>2020</v>
      </c>
      <c r="F47" s="168" t="s">
        <v>2021</v>
      </c>
      <c r="G47" s="2772" t="s">
        <v>2022</v>
      </c>
      <c r="H47" s="2773"/>
      <c r="I47" s="164"/>
      <c r="J47" s="2749">
        <v>2</v>
      </c>
      <c r="K47" s="3280" t="s">
        <v>2023</v>
      </c>
      <c r="L47" s="3280"/>
      <c r="M47" s="3282">
        <f>'数据-取费表'!B2</f>
        <v>44396</v>
      </c>
      <c r="N47" s="3282"/>
      <c r="O47" s="3282"/>
    </row>
    <row r="48" spans="1:15" ht="25.5">
      <c r="A48" s="3345" t="s">
        <v>2024</v>
      </c>
      <c r="B48" s="3346"/>
      <c r="C48" s="3346"/>
      <c r="D48" s="2547">
        <f ca="1">IF(H48="情况1",0,IF(H48="情况2",D52,IF(H48="情况3",D53,IF(H48="情况4",D54))))</f>
        <v>1600</v>
      </c>
      <c r="E48" s="2557" t="str">
        <f>IF(H48="情况4","(销售额-原购置价)×税（费）率","销售额×税（费）率")</f>
        <v>(销售额-原购置价)×税（费）率</v>
      </c>
      <c r="F48" s="2774">
        <f>IF(H48="情况1","免征",'数据-取费表'!B41)</f>
        <v>5.6000000000000001E-2</v>
      </c>
      <c r="G48" s="2775" t="s">
        <v>2025</v>
      </c>
      <c r="H48" s="2776" t="s">
        <v>3317</v>
      </c>
      <c r="I48" s="1992"/>
      <c r="J48" s="2749">
        <v>3</v>
      </c>
      <c r="K48" s="3280" t="s">
        <v>2026</v>
      </c>
      <c r="L48" s="3280"/>
      <c r="M48" s="3283">
        <f ca="1">H101</f>
        <v>46880</v>
      </c>
      <c r="N48" s="3283"/>
      <c r="O48" s="3283"/>
    </row>
    <row r="49" spans="1:35" ht="25.5" customHeight="1">
      <c r="A49" s="2556" t="s">
        <v>2027</v>
      </c>
      <c r="B49" s="3328" t="s">
        <v>2028</v>
      </c>
      <c r="C49" s="3328"/>
      <c r="D49" s="1775">
        <v>0</v>
      </c>
      <c r="E49" s="330" t="s">
        <v>2029</v>
      </c>
      <c r="F49" s="2650" t="s">
        <v>34</v>
      </c>
      <c r="G49" s="3311"/>
      <c r="H49" s="2528" t="s">
        <v>2875</v>
      </c>
      <c r="I49" s="2529"/>
      <c r="J49" s="2749">
        <v>4</v>
      </c>
      <c r="K49" s="3280" t="str">
        <f>IF(项目基本情况!E8="房地产抵押价值","房地产抵押价值","抵押担保权已注销时的房地产抵押价值")</f>
        <v>房地产抵押价值</v>
      </c>
      <c r="L49" s="3280"/>
      <c r="M49" s="3283">
        <f ca="1">IF(项目基本情况!E8="房地产抵押价值",H107,H109)</f>
        <v>46880</v>
      </c>
      <c r="N49" s="3283"/>
      <c r="O49" s="3283"/>
    </row>
    <row r="50" spans="1:35" ht="25.5" customHeight="1">
      <c r="A50" s="2777"/>
      <c r="B50" s="3328" t="s">
        <v>2030</v>
      </c>
      <c r="C50" s="3328"/>
      <c r="D50" s="2778"/>
      <c r="E50" s="338"/>
      <c r="F50" s="2650"/>
      <c r="G50" s="3312"/>
      <c r="H50" s="2530" t="s">
        <v>2876</v>
      </c>
      <c r="I50" s="2529"/>
      <c r="J50" s="3279" t="s">
        <v>2031</v>
      </c>
      <c r="K50" s="3279"/>
      <c r="L50" s="3279"/>
      <c r="M50" s="3279"/>
      <c r="N50" s="3279"/>
      <c r="O50" s="3279"/>
    </row>
    <row r="51" spans="1:35" ht="20.45" customHeight="1">
      <c r="A51" s="2779"/>
      <c r="B51" s="3328" t="s">
        <v>2032</v>
      </c>
      <c r="C51" s="3328"/>
      <c r="D51" s="1247"/>
      <c r="E51" s="333"/>
      <c r="F51" s="2650"/>
      <c r="G51" s="3313"/>
      <c r="H51" s="2530" t="s">
        <v>2877</v>
      </c>
      <c r="I51" s="2529"/>
      <c r="J51" s="2750" t="s">
        <v>2033</v>
      </c>
      <c r="K51" s="3280" t="s">
        <v>2034</v>
      </c>
      <c r="L51" s="3280"/>
      <c r="M51" s="2750" t="s">
        <v>2035</v>
      </c>
      <c r="N51" s="2750" t="s">
        <v>2036</v>
      </c>
      <c r="O51" s="2750" t="s">
        <v>2037</v>
      </c>
    </row>
    <row r="52" spans="1:35" ht="24" customHeight="1">
      <c r="A52" s="2558" t="s">
        <v>2038</v>
      </c>
      <c r="B52" s="3328" t="s">
        <v>2039</v>
      </c>
      <c r="C52" s="3328"/>
      <c r="D52" s="1247">
        <f ca="1">ROUND(D45*'数据-取费表'!B41/(1+'数据-取费表'!C42),0)</f>
        <v>2500</v>
      </c>
      <c r="E52" s="2557" t="s">
        <v>2040</v>
      </c>
      <c r="F52" s="2780">
        <f>'数据-取费表'!B41</f>
        <v>5.6000000000000001E-2</v>
      </c>
      <c r="G52" s="2781"/>
      <c r="H52" s="2770"/>
      <c r="I52" s="1993"/>
      <c r="J52" s="2749">
        <v>1</v>
      </c>
      <c r="K52" s="3305" t="s">
        <v>2041</v>
      </c>
      <c r="L52" s="3305"/>
      <c r="M52" s="2751">
        <f ca="1">D48</f>
        <v>1600</v>
      </c>
      <c r="N52" s="2749" t="str">
        <f>E48</f>
        <v>(销售额-原购置价)×税（费）率</v>
      </c>
      <c r="O52" s="2752">
        <f>F48</f>
        <v>5.6000000000000001E-2</v>
      </c>
    </row>
    <row r="53" spans="1:35" ht="12" customHeight="1">
      <c r="A53" s="2558" t="s">
        <v>2042</v>
      </c>
      <c r="B53" s="3329" t="s">
        <v>3036</v>
      </c>
      <c r="C53" s="3330"/>
      <c r="D53" s="1247">
        <f ca="1">ROUND(D45*'数据-取费表'!B41/(1+'数据-取费表'!C42),0)</f>
        <v>2500</v>
      </c>
      <c r="E53" s="2557" t="s">
        <v>2040</v>
      </c>
      <c r="F53" s="2780">
        <f>'数据-取费表'!B41</f>
        <v>5.6000000000000001E-2</v>
      </c>
      <c r="G53" s="2781"/>
      <c r="H53" s="2770"/>
      <c r="I53" s="1993"/>
      <c r="J53" s="2749">
        <v>2</v>
      </c>
      <c r="K53" s="3305" t="s">
        <v>2043</v>
      </c>
      <c r="L53" s="3305"/>
      <c r="M53" s="2751">
        <f t="shared" ref="M53:O54" ca="1" si="0">D55</f>
        <v>23</v>
      </c>
      <c r="N53" s="2749" t="str">
        <f t="shared" si="0"/>
        <v>销售额×税（费）率</v>
      </c>
      <c r="O53" s="2752">
        <f t="shared" si="0"/>
        <v>5.0000000000000001E-4</v>
      </c>
    </row>
    <row r="54" spans="1:35" ht="12" customHeight="1">
      <c r="A54" s="2558" t="s">
        <v>2044</v>
      </c>
      <c r="B54" s="3329" t="s">
        <v>3037</v>
      </c>
      <c r="C54" s="3330"/>
      <c r="D54" s="1247">
        <f ca="1">C68</f>
        <v>1600</v>
      </c>
      <c r="E54" s="333" t="s">
        <v>2045</v>
      </c>
      <c r="F54" s="2780">
        <f>'数据-取费表'!B41</f>
        <v>5.6000000000000001E-2</v>
      </c>
      <c r="G54" s="2781"/>
      <c r="H54" s="2782"/>
      <c r="I54" s="1993"/>
      <c r="J54" s="2749">
        <v>3</v>
      </c>
      <c r="K54" s="3305" t="s">
        <v>2046</v>
      </c>
      <c r="L54" s="3305"/>
      <c r="M54" s="2751">
        <f t="shared" ca="1" si="0"/>
        <v>11375</v>
      </c>
      <c r="N54" s="2749" t="str">
        <f t="shared" si="0"/>
        <v>增值额×税（费）率</v>
      </c>
      <c r="O54" s="2753" t="str">
        <f t="shared" si="0"/>
        <v>——</v>
      </c>
    </row>
    <row r="55" spans="1:35" ht="24" customHeight="1">
      <c r="A55" s="3368" t="s">
        <v>2047</v>
      </c>
      <c r="B55" s="3346"/>
      <c r="C55" s="3346"/>
      <c r="D55" s="2547">
        <f ca="1">IF(H55="个人住宅",0,ROUND(D45*I55,0))</f>
        <v>23</v>
      </c>
      <c r="E55" s="2557" t="s">
        <v>2048</v>
      </c>
      <c r="F55" s="2780">
        <f>IF(H55="正常",I55,"免征")</f>
        <v>5.0000000000000001E-4</v>
      </c>
      <c r="G55" s="2781"/>
      <c r="H55" s="2776" t="s">
        <v>3300</v>
      </c>
      <c r="I55" s="170">
        <f>'数据-取费表'!B49</f>
        <v>5.0000000000000001E-4</v>
      </c>
      <c r="J55" s="2749" t="str">
        <f>IF(H59="非个人房产","",4)</f>
        <v/>
      </c>
      <c r="K55" s="3305" t="str">
        <f>IF(H59="非个人房产","——","个人所得税")</f>
        <v>——</v>
      </c>
      <c r="L55" s="3305"/>
      <c r="M55" s="2754" t="str">
        <f>D59</f>
        <v>——</v>
      </c>
      <c r="N55" s="2228" t="str">
        <f>E59</f>
        <v>——</v>
      </c>
      <c r="O55" s="2755" t="str">
        <f>F59</f>
        <v>——</v>
      </c>
    </row>
    <row r="56" spans="1:35" ht="24.75">
      <c r="A56" s="3368" t="s">
        <v>2049</v>
      </c>
      <c r="B56" s="3346"/>
      <c r="C56" s="3346"/>
      <c r="D56" s="2547">
        <f ca="1">IF(H56="个人住宅",D57,D58)</f>
        <v>11375</v>
      </c>
      <c r="E56" s="2557" t="s">
        <v>2050</v>
      </c>
      <c r="F56" s="2780" t="str">
        <f>IF(H56="正常",F58,"免征")</f>
        <v>——</v>
      </c>
      <c r="G56" s="2783" t="s">
        <v>2051</v>
      </c>
      <c r="H56" s="2784" t="s">
        <v>3300</v>
      </c>
      <c r="I56" s="1994"/>
      <c r="J56" s="2749" t="str">
        <f>IF(项目基本情况!K6="上海银行",IF(J55="",4,J55+1),"")</f>
        <v/>
      </c>
      <c r="K56" s="3286" t="str">
        <f>IF(项目基本情况!K6="上海银行","其他处置费用","")</f>
        <v/>
      </c>
      <c r="L56" s="3287"/>
      <c r="M56" s="2751" t="str">
        <f>IF(项目基本情况!K6="上海银行",M69,"")</f>
        <v/>
      </c>
      <c r="N56" s="3286" t="str">
        <f>IF(项目基本情况!K6="上海银行","包含处置中涉及的律师、诉讼、拍卖、评估等费用","")</f>
        <v/>
      </c>
      <c r="O56" s="3289"/>
    </row>
    <row r="57" spans="1:35" ht="12.75">
      <c r="A57" s="2558" t="s">
        <v>2027</v>
      </c>
      <c r="B57" s="3329" t="s">
        <v>2052</v>
      </c>
      <c r="C57" s="3330"/>
      <c r="D57" s="1775">
        <v>0</v>
      </c>
      <c r="E57" s="330" t="s">
        <v>2029</v>
      </c>
      <c r="F57" s="308"/>
      <c r="G57" s="2781"/>
      <c r="H57" s="2785"/>
      <c r="I57" s="1994"/>
      <c r="J57" s="3305">
        <f>IF(AND(J55="",J56=""),4,IF(项目基本情况!K6="上海银行",结果表!J56+1,结果表!J55+1))</f>
        <v>4</v>
      </c>
      <c r="K57" s="3305" t="s">
        <v>2053</v>
      </c>
      <c r="L57" s="2756" t="s">
        <v>2054</v>
      </c>
      <c r="M57" s="2757"/>
      <c r="N57" s="2758">
        <f ca="1">SUMIF(M52:M56,"&lt;9e307")</f>
        <v>12998</v>
      </c>
      <c r="O57" s="2759"/>
      <c r="P57" s="2918">
        <f ca="1">N57/M49</f>
        <v>0.27726109215017064</v>
      </c>
    </row>
    <row r="58" spans="1:35" ht="24.75">
      <c r="A58" s="2558" t="s">
        <v>2038</v>
      </c>
      <c r="B58" s="3329" t="s">
        <v>2055</v>
      </c>
      <c r="C58" s="3328"/>
      <c r="D58" s="2547">
        <f ca="1">IF(H58="转让取得",C81,C97)</f>
        <v>11375</v>
      </c>
      <c r="E58" s="2557" t="s">
        <v>2050</v>
      </c>
      <c r="F58" s="308" t="s">
        <v>34</v>
      </c>
      <c r="G58" s="2781"/>
      <c r="H58" s="2784" t="s">
        <v>3318</v>
      </c>
      <c r="I58" s="1994"/>
      <c r="J58" s="3305"/>
      <c r="K58" s="3305"/>
      <c r="L58" s="2756" t="s">
        <v>2056</v>
      </c>
      <c r="M58" s="2760"/>
      <c r="N58" s="2761" t="str">
        <f ca="1">NUMBERSTRING(INT(N57*10000),2)&amp;"元整"</f>
        <v>壹亿贰仟玖佰玖拾捌万元整</v>
      </c>
      <c r="O58" s="2762"/>
    </row>
    <row r="59" spans="1:35" ht="24.75" thickBot="1">
      <c r="A59" s="3309" t="s">
        <v>2057</v>
      </c>
      <c r="B59" s="3310"/>
      <c r="C59" s="3310"/>
      <c r="D59" s="2786" t="str">
        <f>IF(H59="非个人房产","——",IF(H59="个人住宅（满五唯一有凭证）",0,IF(H59="个人其他（无凭证）",ROUND(D45*F59,0),ROUND(C67*F59,0))))</f>
        <v>——</v>
      </c>
      <c r="E59" s="2787" t="str">
        <f>IF(H59="非个人房产","——",IF(H59="个人其他（无凭证）","销售额×税（费）率",IF(H59="个人住宅（满五唯一有凭证）","免征","差额计税")))</f>
        <v>——</v>
      </c>
      <c r="F59" s="2788" t="str">
        <f>IF(OR(H59="非个人房产",H59="个人住宅（满五唯一有凭证）"),"——",IF(H59="个人其他（有凭证）",20%,1%))</f>
        <v>——</v>
      </c>
      <c r="G59" s="2789" t="s">
        <v>2051</v>
      </c>
      <c r="H59" s="2532" t="s">
        <v>3319</v>
      </c>
      <c r="I59" s="2531" t="s">
        <v>2878</v>
      </c>
      <c r="J59" s="3307">
        <f>J57+1</f>
        <v>5</v>
      </c>
      <c r="K59" s="3305" t="s">
        <v>2058</v>
      </c>
      <c r="L59" s="2749" t="s">
        <v>2054</v>
      </c>
      <c r="M59" s="2763"/>
      <c r="N59" s="2764">
        <f ca="1">M49-N57</f>
        <v>33882</v>
      </c>
      <c r="O59" s="2765"/>
    </row>
    <row r="60" spans="1:35" ht="12" customHeight="1">
      <c r="A60" s="1995"/>
      <c r="B60" s="1933"/>
      <c r="C60" s="1933"/>
      <c r="D60" s="1933"/>
      <c r="E60" s="1763"/>
      <c r="F60" s="1994"/>
      <c r="G60" s="1994"/>
      <c r="H60" s="1996"/>
      <c r="I60" s="134"/>
      <c r="J60" s="3308"/>
      <c r="K60" s="3305"/>
      <c r="L60" s="2756" t="s">
        <v>2056</v>
      </c>
      <c r="M60" s="2760"/>
      <c r="N60" s="2761" t="str">
        <f ca="1">NUMBERSTRING(INT(N59*10000),2)&amp;"元整"</f>
        <v>叁亿叁仟捌佰捌拾贰万元整</v>
      </c>
      <c r="O60" s="2762"/>
    </row>
    <row r="61" spans="1:35" ht="13.5" thickBot="1">
      <c r="A61" s="3367" t="s">
        <v>2059</v>
      </c>
      <c r="B61" s="3367"/>
      <c r="C61" s="3367"/>
      <c r="D61" s="3367"/>
      <c r="E61" s="3367"/>
      <c r="F61" s="1994"/>
      <c r="G61" s="1994"/>
      <c r="H61" s="1996"/>
      <c r="I61" s="134"/>
      <c r="J61" s="2749">
        <f>J59+1</f>
        <v>6</v>
      </c>
      <c r="K61" s="3305" t="s">
        <v>2060</v>
      </c>
      <c r="L61" s="3305"/>
      <c r="M61" s="2766"/>
      <c r="N61" s="2767">
        <f ca="1">ROUND(N59*10000/'数据-汇总表'!E3,0)</f>
        <v>42130</v>
      </c>
      <c r="O61" s="2768"/>
    </row>
    <row r="62" spans="1:35" ht="12.75">
      <c r="A62" s="3324" t="s">
        <v>2061</v>
      </c>
      <c r="B62" s="3325"/>
      <c r="C62" s="2209"/>
      <c r="D62" s="2209" t="s">
        <v>2062</v>
      </c>
      <c r="E62" s="171" t="s">
        <v>2063</v>
      </c>
      <c r="F62" s="1994"/>
      <c r="G62" s="1994"/>
      <c r="H62" s="1996"/>
      <c r="I62" s="134"/>
    </row>
    <row r="63" spans="1:35" ht="12.75">
      <c r="A63" s="178" t="s">
        <v>775</v>
      </c>
      <c r="B63" s="172" t="s">
        <v>2064</v>
      </c>
      <c r="C63" s="2790">
        <f ca="1">ROUND((C64+C65)/(1+'数据-取费表'!C42),0)</f>
        <v>44648</v>
      </c>
      <c r="D63" s="172"/>
      <c r="E63" s="173"/>
      <c r="F63" s="1994"/>
      <c r="G63" s="1994"/>
      <c r="H63" s="1996"/>
      <c r="I63" s="134"/>
      <c r="J63" s="3288" t="s">
        <v>2065</v>
      </c>
      <c r="K63" s="1501" t="s">
        <v>2066</v>
      </c>
      <c r="L63" s="1501">
        <f ca="1">IF(M49&gt;10000,M49*0.5%,IF(AND(M49&gt;1000,M49&lt;=10000),M49*1%,IF(AND(M49&gt;100,M49&lt;=1000),M49*3%,IF(AND(M49&gt;10,M49&lt;=100),M49*5%,M49*8%))))</f>
        <v>234.4</v>
      </c>
      <c r="M63" s="308">
        <f ca="1">ROUND(L63,1)</f>
        <v>234.4</v>
      </c>
      <c r="N63" s="2769"/>
      <c r="Z63" s="1938"/>
      <c r="AI63" s="1939"/>
    </row>
    <row r="64" spans="1:35" ht="14.25" customHeight="1">
      <c r="A64" s="174" t="s">
        <v>770</v>
      </c>
      <c r="B64" s="175" t="s">
        <v>2067</v>
      </c>
      <c r="C64" s="2791">
        <f ca="1">D45</f>
        <v>46880</v>
      </c>
      <c r="D64" s="175" t="s">
        <v>32</v>
      </c>
      <c r="E64" s="177"/>
      <c r="F64" s="1994"/>
      <c r="G64" s="1994"/>
      <c r="H64" s="1996"/>
      <c r="I64" s="134"/>
      <c r="J64" s="3288"/>
      <c r="K64" s="1501" t="s">
        <v>2068</v>
      </c>
      <c r="L64" s="1501">
        <f ca="1">IF(M49&gt;2000,M49*0.5%,IF(AND(M49&gt;1000,M49&lt;=2000),M49*0.6%,IF(AND(M49&gt;500,M49&lt;=1000),M49*0.7%,IF(AND(M49&gt;200,M49&lt;=500),M49*0.8%,IF(AND(M49&gt;100,M49&lt;=200),M49*0.9%,IF(AND(M49&gt;50,M49&lt;=100),M49*1%,IF(AND(M49&gt;20,M49&lt;=50),M49*1.5%,IF(AND(M49&gt;10,M49&lt;=20),M49*2%,IF(AND(M49&gt;1,M49&lt;=10),M49*2.5%)))))))))</f>
        <v>234.4</v>
      </c>
      <c r="M64" s="308">
        <f t="shared" ref="M64:M65" ca="1" si="1">ROUND(L64,1)</f>
        <v>234.4</v>
      </c>
      <c r="N64" s="2770" t="s">
        <v>2069</v>
      </c>
      <c r="Z64" s="1938"/>
      <c r="AI64" s="1939"/>
    </row>
    <row r="65" spans="1:35" ht="14.25" customHeight="1">
      <c r="A65" s="174" t="s">
        <v>771</v>
      </c>
      <c r="B65" s="175" t="s">
        <v>2070</v>
      </c>
      <c r="C65" s="2792"/>
      <c r="D65" s="175"/>
      <c r="E65" s="177"/>
      <c r="F65" s="1994"/>
      <c r="G65" s="1994"/>
      <c r="H65" s="1996"/>
      <c r="I65" s="134"/>
      <c r="J65" s="3288"/>
      <c r="K65" s="1501" t="s">
        <v>2071</v>
      </c>
      <c r="L65" s="1501">
        <f ca="1">IF(M49&gt;1000,M49*0.1%,IF(AND(M49&gt;500,M49&lt;=1000),M49*0.5%,IF(AND(M49&gt;50,M49&lt;=500),M49*1%,IF(AND(M49&gt;1,M49&lt;=50),M49*1.5%))))</f>
        <v>46.88</v>
      </c>
      <c r="M65" s="308">
        <f t="shared" ca="1" si="1"/>
        <v>46.9</v>
      </c>
      <c r="N65" s="2770" t="s">
        <v>2069</v>
      </c>
      <c r="Z65" s="1938"/>
      <c r="AI65" s="1939"/>
    </row>
    <row r="66" spans="1:35" ht="14.25" customHeight="1">
      <c r="A66" s="178" t="s">
        <v>772</v>
      </c>
      <c r="B66" s="179" t="s">
        <v>2072</v>
      </c>
      <c r="C66" s="2793">
        <f>清单!G26/10000</f>
        <v>16084.58</v>
      </c>
      <c r="D66" s="179" t="s">
        <v>32</v>
      </c>
      <c r="E66" s="1509" t="s">
        <v>1337</v>
      </c>
      <c r="F66" s="1994"/>
      <c r="G66" s="1994"/>
      <c r="H66" s="1996"/>
      <c r="I66" s="134"/>
      <c r="J66" s="3288"/>
      <c r="K66" s="1501" t="s">
        <v>2073</v>
      </c>
      <c r="L66" s="1501">
        <f ca="1">M49*0.5%</f>
        <v>234.4</v>
      </c>
      <c r="M66" s="308">
        <f ca="1">IF(L66&gt;0.5,0.5,ROUND(L66,0))</f>
        <v>0.5</v>
      </c>
      <c r="N66" s="2770" t="s">
        <v>2074</v>
      </c>
      <c r="Z66" s="1938"/>
      <c r="AI66" s="1939"/>
    </row>
    <row r="67" spans="1:35" ht="14.25" customHeight="1">
      <c r="A67" s="178" t="s">
        <v>773</v>
      </c>
      <c r="B67" s="179" t="s">
        <v>2075</v>
      </c>
      <c r="C67" s="2794">
        <f ca="1">C63-C66</f>
        <v>28563.42</v>
      </c>
      <c r="D67" s="175" t="s">
        <v>32</v>
      </c>
      <c r="E67" s="177"/>
      <c r="F67" s="1994"/>
      <c r="G67" s="1994"/>
      <c r="H67" s="1996"/>
      <c r="I67" s="134"/>
      <c r="J67" s="3288"/>
      <c r="K67" s="1501" t="s">
        <v>2076</v>
      </c>
      <c r="L67" s="1501">
        <f ca="1">IF(M49&gt;=10000,(8.25+(M49-10000)*0.01%),IF(AND(M49&gt;=8000,M49&lt;10000),(7.85+(M49-8000)*0.02%),IF(AND(M49&gt;=5000,M49&lt;8000),(6.65+(M49-5000)*0.04%),IF(AND(M49&gt;=2000,M49&lt;5000),(4.25+(PM49-2000)*0.08%),IF(AND(M49&gt;=1000,M49&lt;2000),(2.75+(M49-1000)*0.15%),IF(AND(M49&gt;=100,M49&lt;1000),(0.5+(M49-100)*0.25%),IF(AND(M49&gt;0,M49&lt;100),M49*0.5%)))))))</f>
        <v>11.938000000000001</v>
      </c>
      <c r="M67" s="308">
        <f ca="1">ROUND(L67*0.9,1)</f>
        <v>10.7</v>
      </c>
      <c r="N67" s="2769"/>
      <c r="Z67" s="1938"/>
      <c r="AI67" s="1939"/>
    </row>
    <row r="68" spans="1:35" ht="14.25" customHeight="1" thickBot="1">
      <c r="A68" s="181" t="s">
        <v>774</v>
      </c>
      <c r="B68" s="182" t="s">
        <v>2077</v>
      </c>
      <c r="C68" s="2795">
        <f ca="1">IF(C67&lt;=0,0,ROUND(C67*D68,0))</f>
        <v>1600</v>
      </c>
      <c r="D68" s="2796">
        <f>'数据-取费表'!B41</f>
        <v>5.6000000000000001E-2</v>
      </c>
      <c r="E68" s="184"/>
      <c r="F68" s="1994"/>
      <c r="G68" s="1994"/>
      <c r="H68" s="1996"/>
      <c r="I68" s="134"/>
      <c r="J68" s="3288"/>
      <c r="K68" s="1501" t="s">
        <v>2078</v>
      </c>
      <c r="L68" s="1501">
        <f ca="1">IF(M49&gt;10000,M49*0.5%,IF(AND(M49&gt;5000,M49&lt;=10000),M49*1%,IF(AND(M49&gt;1000,M49&lt;=5000),M49*2%,IF(AND(M49&gt;200,M49&lt;=1000),M49*3%,M49*5%))))</f>
        <v>234.4</v>
      </c>
      <c r="M68" s="308">
        <f ca="1">ROUND(L68,1)</f>
        <v>234.4</v>
      </c>
      <c r="N68" s="2769"/>
      <c r="Z68" s="1938"/>
      <c r="AI68" s="1939"/>
    </row>
    <row r="69" spans="1:35" s="1958" customFormat="1" ht="16.5" customHeight="1">
      <c r="A69" s="1997"/>
      <c r="B69" s="1998"/>
      <c r="C69" s="1999"/>
      <c r="D69" s="2000"/>
      <c r="E69" s="2001"/>
      <c r="F69" s="1763"/>
      <c r="G69" s="1763"/>
      <c r="H69" s="1762"/>
      <c r="I69" s="1933"/>
      <c r="J69" s="3288"/>
      <c r="K69" s="1501" t="s">
        <v>2079</v>
      </c>
      <c r="L69" s="1501"/>
      <c r="M69" s="308">
        <f ca="1">ROUND(SUM(M63:M68),0)</f>
        <v>761</v>
      </c>
      <c r="N69" s="2771">
        <f ca="1">M69/M49</f>
        <v>1.6232935153583618E-2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332" t="s">
        <v>2080</v>
      </c>
      <c r="B70" s="3333"/>
      <c r="C70" s="3333"/>
      <c r="D70" s="3333"/>
      <c r="E70" s="3333"/>
      <c r="F70" s="3333"/>
      <c r="G70" s="3333"/>
      <c r="H70" s="3333"/>
      <c r="I70" s="2002"/>
      <c r="J70" s="2919"/>
      <c r="K70" s="2919"/>
      <c r="L70" s="2919"/>
      <c r="M70" s="2919"/>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324" t="s">
        <v>2061</v>
      </c>
      <c r="B71" s="3325"/>
      <c r="C71" s="2209"/>
      <c r="D71" s="2209" t="s">
        <v>2062</v>
      </c>
      <c r="E71" s="185" t="s">
        <v>2063</v>
      </c>
      <c r="F71" s="186"/>
      <c r="G71" s="186"/>
      <c r="H71" s="187"/>
      <c r="I71" s="2006"/>
      <c r="J71" s="2919"/>
      <c r="K71" s="2919"/>
      <c r="L71" s="2919"/>
      <c r="M71" s="2919"/>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44648</v>
      </c>
      <c r="D72" s="175" t="s">
        <v>32</v>
      </c>
      <c r="E72" s="2554"/>
      <c r="F72" s="2553"/>
      <c r="G72" s="2553"/>
      <c r="H72" s="188"/>
      <c r="I72" s="2006"/>
      <c r="J72" s="2919"/>
      <c r="K72" s="2919"/>
      <c r="L72" s="2919"/>
      <c r="M72" s="2919"/>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16844</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16576</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f>清单!G26/10000</f>
        <v>16084.58</v>
      </c>
      <c r="D75" s="175" t="s">
        <v>32</v>
      </c>
      <c r="E75" s="190" t="s">
        <v>2085</v>
      </c>
      <c r="F75" s="2798" t="s">
        <v>3321</v>
      </c>
      <c r="G75" s="190" t="s">
        <v>2086</v>
      </c>
      <c r="H75" s="2799">
        <v>0</v>
      </c>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329" t="s">
        <v>2088</v>
      </c>
      <c r="F76" s="3328"/>
      <c r="G76" s="3328"/>
      <c r="H76" s="3331"/>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491</v>
      </c>
      <c r="D77" s="2801">
        <f>'数据-取费表'!B48+'数据-取费表'!B49</f>
        <v>3.0499999999999999E-2</v>
      </c>
      <c r="E77" s="2547" t="s">
        <v>2090</v>
      </c>
      <c r="F77" s="192"/>
      <c r="G77" s="2008" t="s">
        <v>3325</v>
      </c>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268</v>
      </c>
      <c r="D78" s="2803">
        <f>'数据-取费表'!B43</f>
        <v>6.000000000000001E-3</v>
      </c>
      <c r="E78" s="3321" t="s">
        <v>2092</v>
      </c>
      <c r="F78" s="3322"/>
      <c r="G78" s="3322"/>
      <c r="H78" s="3323"/>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27804</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1.6506767988601283</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11375</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332" t="s">
        <v>2096</v>
      </c>
      <c r="B83" s="3333"/>
      <c r="C83" s="3333"/>
      <c r="D83" s="3333"/>
      <c r="E83" s="3333"/>
      <c r="F83" s="3333"/>
      <c r="G83" s="3333"/>
      <c r="H83" s="3333"/>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324" t="s">
        <v>2061</v>
      </c>
      <c r="B84" s="3325"/>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44648</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268</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290" t="s">
        <v>2870</v>
      </c>
      <c r="H90" s="3291"/>
      <c r="I90" s="2007"/>
      <c r="J90" s="2747"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321" t="s">
        <v>2105</v>
      </c>
      <c r="F91" s="3322"/>
      <c r="G91" s="3322"/>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321" t="s">
        <v>2108</v>
      </c>
      <c r="F92" s="3322"/>
      <c r="G92" s="3322"/>
      <c r="H92" s="3323"/>
      <c r="I92" s="2007"/>
      <c r="J92" s="2748"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268</v>
      </c>
      <c r="D93" s="2803">
        <f>'数据-取费表'!B43</f>
        <v>6.000000000000001E-3</v>
      </c>
      <c r="E93" s="3321" t="s">
        <v>2092</v>
      </c>
      <c r="F93" s="3322"/>
      <c r="G93" s="3322"/>
      <c r="H93" s="3323"/>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369" t="s">
        <v>2112</v>
      </c>
      <c r="F94" s="3370"/>
      <c r="G94" s="3370"/>
      <c r="H94" s="3371"/>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44380</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165.59701492537314</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26534</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271" t="s">
        <v>2114</v>
      </c>
      <c r="B100" s="3272"/>
      <c r="C100" s="3272"/>
      <c r="D100" s="3306"/>
      <c r="E100" s="3272" t="s">
        <v>2115</v>
      </c>
      <c r="F100" s="3272"/>
      <c r="G100" s="3272"/>
      <c r="H100" s="3306"/>
      <c r="I100" s="134"/>
    </row>
    <row r="101" spans="1:35" ht="18.75" customHeight="1">
      <c r="A101" s="3314" t="s">
        <v>2116</v>
      </c>
      <c r="B101" s="3315"/>
      <c r="C101" s="2811" t="str">
        <f>C4</f>
        <v>成本法</v>
      </c>
      <c r="D101" s="2812" t="str">
        <f>D4</f>
        <v>比较法-办公</v>
      </c>
      <c r="E101" s="3284" t="s">
        <v>2117</v>
      </c>
      <c r="F101" s="3285"/>
      <c r="G101" s="2013" t="s">
        <v>2118</v>
      </c>
      <c r="H101" s="2821">
        <f ca="1">H118</f>
        <v>46880</v>
      </c>
      <c r="I101" s="134"/>
    </row>
    <row r="102" spans="1:35" ht="18.75" customHeight="1">
      <c r="A102" s="3316" t="s">
        <v>2119</v>
      </c>
      <c r="B102" s="2810" t="s">
        <v>2118</v>
      </c>
      <c r="C102" s="2811">
        <f ca="1">C19</f>
        <v>42216</v>
      </c>
      <c r="D102" s="2812">
        <f ca="1">D19</f>
        <v>57761</v>
      </c>
      <c r="E102" s="3284"/>
      <c r="F102" s="3285"/>
      <c r="G102" s="2013" t="s">
        <v>2120</v>
      </c>
      <c r="H102" s="2781">
        <f ca="1">I118</f>
        <v>58292</v>
      </c>
      <c r="I102" s="134"/>
    </row>
    <row r="103" spans="1:35" ht="42.75" customHeight="1">
      <c r="A103" s="3316"/>
      <c r="B103" s="2810" t="s">
        <v>2120</v>
      </c>
      <c r="C103" s="2813">
        <f ca="1">C20</f>
        <v>52493</v>
      </c>
      <c r="D103" s="2814">
        <f ca="1">D20</f>
        <v>71822</v>
      </c>
      <c r="E103" s="3277" t="s">
        <v>2121</v>
      </c>
      <c r="F103" s="3278"/>
      <c r="G103" s="2014" t="s">
        <v>2122</v>
      </c>
      <c r="H103" s="2821">
        <f>IF(D36="正常操作",H104+H105+H106,H105+H106)</f>
        <v>0</v>
      </c>
      <c r="I103" s="134"/>
    </row>
    <row r="104" spans="1:35" ht="18.75" customHeight="1">
      <c r="A104" s="3316" t="s">
        <v>2123</v>
      </c>
      <c r="B104" s="2815" t="s">
        <v>2118</v>
      </c>
      <c r="C104" s="2816">
        <f ca="1">H118</f>
        <v>46880</v>
      </c>
      <c r="D104" s="2817"/>
      <c r="E104" s="1860" t="s">
        <v>2124</v>
      </c>
      <c r="F104" s="1851"/>
      <c r="G104" s="2014" t="s">
        <v>2122</v>
      </c>
      <c r="H104" s="2822">
        <f>IF(D36="同一抵押权人同一抵押物续贷",C36&amp;"（续贷，未扣减，详见特别提示）",C36)</f>
        <v>0</v>
      </c>
      <c r="I104" s="134"/>
    </row>
    <row r="105" spans="1:35" ht="18.75" customHeight="1" thickBot="1">
      <c r="A105" s="3326"/>
      <c r="B105" s="2818" t="s">
        <v>2120</v>
      </c>
      <c r="C105" s="2819">
        <f ca="1">I118</f>
        <v>58292</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317" t="str">
        <f>IF(项目基本情况!E8="已注销","——","3.房地产抵押价值")</f>
        <v>3.房地产抵押价值</v>
      </c>
      <c r="F107" s="3285"/>
      <c r="G107" s="2013" t="s">
        <v>2118</v>
      </c>
      <c r="H107" s="2821">
        <f ca="1">IF(E107="——","——",H101-H103)</f>
        <v>46880</v>
      </c>
      <c r="I107" s="134"/>
    </row>
    <row r="108" spans="1:35" ht="18.75" customHeight="1">
      <c r="A108" s="134"/>
      <c r="B108" s="134"/>
      <c r="C108" s="134"/>
      <c r="D108" s="134"/>
      <c r="E108" s="3317"/>
      <c r="F108" s="3285"/>
      <c r="G108" s="2013" t="s">
        <v>2120</v>
      </c>
      <c r="H108" s="2781">
        <f ca="1">ROUND(H107*10000/'数据-汇总表'!E3,0)</f>
        <v>58292</v>
      </c>
      <c r="I108" s="134"/>
    </row>
    <row r="109" spans="1:35" ht="18.75" customHeight="1">
      <c r="A109" s="134"/>
      <c r="B109" s="134"/>
      <c r="C109" s="134"/>
      <c r="D109" s="134"/>
      <c r="E109" s="3317" t="str">
        <f>IF(项目基本情况!E8="已注销及未注销","4.抵押担保权已注销时的房地产抵押价值",IF(项目基本情况!E8="已注销","3.抵押担保权已注销时的房地产抵押价值","——"))</f>
        <v>——</v>
      </c>
      <c r="F109" s="3285"/>
      <c r="G109" s="2013" t="s">
        <v>2118</v>
      </c>
      <c r="H109" s="2824" t="str">
        <f>IF(E109="——","——",H101-H105-H106)</f>
        <v>——</v>
      </c>
      <c r="I109" s="134"/>
    </row>
    <row r="110" spans="1:35" ht="18.75" customHeight="1">
      <c r="A110" s="134"/>
      <c r="B110" s="134"/>
      <c r="C110" s="134"/>
      <c r="D110" s="134"/>
      <c r="E110" s="3317"/>
      <c r="F110" s="3285"/>
      <c r="G110" s="2013" t="s">
        <v>2120</v>
      </c>
      <c r="H110" s="2781" t="str">
        <f>IF(H109="——","——",ROUND(H109*10000/'数据-汇总表'!E3,0))</f>
        <v>——</v>
      </c>
      <c r="I110" s="134"/>
    </row>
    <row r="111" spans="1:35" ht="18.75" customHeight="1">
      <c r="A111" s="134"/>
      <c r="B111" s="134"/>
      <c r="C111" s="134"/>
      <c r="D111" s="134"/>
      <c r="E111" s="3318" t="str">
        <f>IF(项目基本情况!E9="抵押净值",IF(OR(项目基本情况!E8="已注销",项目基本情况!E8="房地产抵押价值"),"4.抵押净值","5.抵押净值"),"——")</f>
        <v>4.抵押净值</v>
      </c>
      <c r="F111" s="3304"/>
      <c r="G111" s="2013" t="s">
        <v>2118</v>
      </c>
      <c r="H111" s="2821">
        <f ca="1">IF(E111="——","——",N59)</f>
        <v>33882</v>
      </c>
      <c r="I111" s="134"/>
    </row>
    <row r="112" spans="1:35" ht="18.75" customHeight="1" thickBot="1">
      <c r="A112" s="134"/>
      <c r="B112" s="134"/>
      <c r="C112" s="134"/>
      <c r="D112" s="134"/>
      <c r="E112" s="3319"/>
      <c r="F112" s="3320"/>
      <c r="G112" s="2016" t="s">
        <v>2120</v>
      </c>
      <c r="H112" s="2825">
        <f ca="1">IF(E111="——","——",N61)</f>
        <v>42130</v>
      </c>
      <c r="I112" s="134"/>
    </row>
    <row r="113" spans="1:27" ht="18.75" customHeight="1">
      <c r="A113" s="134"/>
      <c r="B113" s="134"/>
      <c r="C113" s="134"/>
      <c r="D113" s="134"/>
      <c r="E113" s="3327" t="s">
        <v>2126</v>
      </c>
      <c r="F113" s="3327"/>
      <c r="G113" s="3327"/>
      <c r="H113" s="3327"/>
      <c r="I113" s="134"/>
    </row>
    <row r="114" spans="1:27" ht="3.75" customHeight="1">
      <c r="A114" s="1933"/>
      <c r="B114" s="1933"/>
      <c r="C114" s="1933"/>
      <c r="D114" s="1933"/>
      <c r="E114" s="1995"/>
      <c r="F114" s="1995"/>
      <c r="G114" s="1995"/>
      <c r="H114" s="1995"/>
      <c r="I114" s="1933"/>
    </row>
    <row r="115" spans="1:27" ht="18.75" customHeight="1">
      <c r="A115" s="3338" t="s">
        <v>2128</v>
      </c>
      <c r="B115" s="3339"/>
      <c r="C115" s="3339"/>
      <c r="D115" s="3339"/>
      <c r="E115" s="3339"/>
      <c r="F115" s="3339"/>
      <c r="G115" s="3339"/>
      <c r="H115" s="3339"/>
      <c r="I115" s="3340"/>
    </row>
    <row r="116" spans="1:27" ht="27" customHeight="1">
      <c r="A116" s="3292" t="s">
        <v>2129</v>
      </c>
      <c r="B116" s="3296" t="s">
        <v>2130</v>
      </c>
      <c r="C116" s="3296" t="s">
        <v>2131</v>
      </c>
      <c r="D116" s="3302" t="s">
        <v>2132</v>
      </c>
      <c r="E116" s="3303"/>
      <c r="F116" s="3334" t="s">
        <v>2133</v>
      </c>
      <c r="G116" s="3334"/>
      <c r="H116" s="3292" t="s">
        <v>2134</v>
      </c>
      <c r="I116" s="3292"/>
    </row>
    <row r="117" spans="1:27" ht="18.75" customHeight="1">
      <c r="A117" s="3292"/>
      <c r="B117" s="3297"/>
      <c r="C117" s="3297"/>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8042.29</v>
      </c>
      <c r="C118" s="2552">
        <f>M19</f>
        <v>3986.98</v>
      </c>
      <c r="D118" s="2552">
        <f ca="1">ROUND(IF(D32="总价",C34,E118*B118/10000),0)</f>
        <v>42333</v>
      </c>
      <c r="E118" s="2552">
        <f ca="1">ROUND(IF(C33="自定义",IF(D32="楼面单价",C34,D118*10000/B118),I118-G118),0)</f>
        <v>52638</v>
      </c>
      <c r="F118" s="2552">
        <f ca="1">ROUND(IF(D32="总价",C35,G118*B118/10000),0)</f>
        <v>4547</v>
      </c>
      <c r="G118" s="2552">
        <f ca="1">ROUND(IF(D32="楼面单价",C35,F118*10000/B118),0)</f>
        <v>5654</v>
      </c>
      <c r="H118" s="2552">
        <f ca="1">ROUND(IF(D32="总价",C32,I118*B118/10000),0)</f>
        <v>46880</v>
      </c>
      <c r="I118" s="2552">
        <f ca="1">ROUND(IF(D32="楼面单价",C32,H118*10000/B118),0)</f>
        <v>58292</v>
      </c>
    </row>
    <row r="119" spans="1:27" ht="18.75" customHeight="1">
      <c r="A119" s="3292" t="s">
        <v>2138</v>
      </c>
      <c r="B119" s="3292"/>
      <c r="C119" s="3292"/>
      <c r="D119" s="3298" t="str">
        <f ca="1">NUMBERSTRING(INT(D118*10000),2)&amp;"元整"</f>
        <v>肆亿贰仟叁佰叁拾叁万元整</v>
      </c>
      <c r="E119" s="3299"/>
      <c r="F119" s="3298" t="str">
        <f ca="1">NUMBERSTRING(INT(F118*10000),2)&amp;"元整"</f>
        <v>肆仟伍佰肆拾柒万元整</v>
      </c>
      <c r="G119" s="3299"/>
      <c r="H119" s="3298" t="str">
        <f ca="1">NUMBERSTRING(INT(H118*10000),2)&amp;"元整"</f>
        <v>肆亿陆仟捌佰捌拾万元整</v>
      </c>
      <c r="I119" s="3299"/>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335" t="s">
        <v>2138</v>
      </c>
      <c r="B121" s="3336"/>
      <c r="C121" s="3337"/>
      <c r="D121" s="3298" t="str">
        <f>IF(D120=0,"零元整",NUMBERSTRING(INT(D120*10000),2)&amp;"元整")</f>
        <v>零元整</v>
      </c>
      <c r="E121" s="3300"/>
      <c r="F121" s="3300"/>
      <c r="G121" s="3300"/>
      <c r="H121" s="3300"/>
      <c r="I121" s="3299"/>
      <c r="AA121" s="734"/>
    </row>
    <row r="122" spans="1:27" ht="18.75" customHeight="1">
      <c r="A122" s="3304" t="str">
        <f>IF(项目基本情况!B9="房地产市场价值","",MID(E107,3,LEN(E107)-2))</f>
        <v>房地产抵押价值</v>
      </c>
      <c r="B122" s="3304"/>
      <c r="C122" s="3304"/>
      <c r="D122" s="3293">
        <f ca="1">H107</f>
        <v>46880</v>
      </c>
      <c r="E122" s="3294"/>
      <c r="F122" s="3294"/>
      <c r="G122" s="3294"/>
      <c r="H122" s="3294"/>
      <c r="I122" s="3295"/>
      <c r="AA122" s="734"/>
    </row>
    <row r="123" spans="1:27" ht="18.75" customHeight="1">
      <c r="A123" s="3292" t="s">
        <v>2138</v>
      </c>
      <c r="B123" s="3292"/>
      <c r="C123" s="3292"/>
      <c r="D123" s="3298" t="str">
        <f ca="1">NUMBERSTRING(INT(D122*10000),2)&amp;"元整"</f>
        <v>肆亿陆仟捌佰捌拾万元整</v>
      </c>
      <c r="E123" s="3300"/>
      <c r="F123" s="3300"/>
      <c r="G123" s="3300"/>
      <c r="H123" s="3300"/>
      <c r="I123" s="3299"/>
      <c r="AA123" s="734"/>
    </row>
    <row r="124" spans="1:27" ht="18.75" customHeight="1">
      <c r="A124" s="3304" t="str">
        <f>IF(项目基本情况!B9="房地产市场价值","",MID(E109,3,LEN(E109)-2))</f>
        <v/>
      </c>
      <c r="B124" s="3304"/>
      <c r="C124" s="3304"/>
      <c r="D124" s="3293" t="str">
        <f>H109</f>
        <v>——</v>
      </c>
      <c r="E124" s="3294"/>
      <c r="F124" s="3294"/>
      <c r="G124" s="3294"/>
      <c r="H124" s="3294"/>
      <c r="I124" s="3295"/>
      <c r="AA124" s="734"/>
    </row>
    <row r="125" spans="1:27" ht="18.75" customHeight="1">
      <c r="A125" s="3292" t="s">
        <v>2138</v>
      </c>
      <c r="B125" s="3292"/>
      <c r="C125" s="3292"/>
      <c r="D125" s="3298" t="e">
        <f>NUMBERSTRING(INT(D124*10000),2)&amp;"元整"</f>
        <v>#VALUE!</v>
      </c>
      <c r="E125" s="3300"/>
      <c r="F125" s="3300"/>
      <c r="G125" s="3300"/>
      <c r="H125" s="3300"/>
      <c r="I125" s="3299"/>
      <c r="AA125" s="734"/>
    </row>
    <row r="126" spans="1:27" ht="18.75" customHeight="1">
      <c r="A126" s="3304" t="str">
        <f>IF(项目基本情况!B9="房地产市场价值","",MID(E111,3,LEN(E111)-2))</f>
        <v>抵押净值</v>
      </c>
      <c r="B126" s="3304"/>
      <c r="C126" s="3304"/>
      <c r="D126" s="3293">
        <f ca="1">H111</f>
        <v>33882</v>
      </c>
      <c r="E126" s="3294"/>
      <c r="F126" s="3294"/>
      <c r="G126" s="3294"/>
      <c r="H126" s="3294"/>
      <c r="I126" s="3295"/>
      <c r="AA126" s="734"/>
    </row>
    <row r="127" spans="1:27" ht="18.75" customHeight="1">
      <c r="A127" s="3292" t="s">
        <v>2138</v>
      </c>
      <c r="B127" s="3292"/>
      <c r="C127" s="3292"/>
      <c r="D127" s="3298" t="str">
        <f ca="1">NUMBERSTRING(INT(D126*10000),2)&amp;"元整"</f>
        <v>叁亿叁仟捌佰捌拾贰万元整</v>
      </c>
      <c r="E127" s="3300"/>
      <c r="F127" s="3300"/>
      <c r="G127" s="3300"/>
      <c r="H127" s="3300"/>
      <c r="I127" s="3299"/>
      <c r="AA127" s="734"/>
    </row>
    <row r="128" spans="1:27" ht="21.75" customHeight="1">
      <c r="A128" s="3301" t="s">
        <v>2139</v>
      </c>
      <c r="B128" s="3301"/>
      <c r="C128" s="3301"/>
      <c r="D128" s="3301"/>
      <c r="E128" s="3301"/>
      <c r="F128" s="3301"/>
      <c r="G128" s="3301"/>
      <c r="H128" s="3301"/>
      <c r="I128" s="3301"/>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83" t="str">
        <f>项目基本情况!B1</f>
        <v>北京市房地产抵押价值预评估</v>
      </c>
      <c r="C37" s="3183"/>
      <c r="D37" s="3183"/>
      <c r="E37" s="3183"/>
      <c r="F37" s="3183"/>
      <c r="G37" s="3183"/>
      <c r="H37" s="3183"/>
      <c r="I37" s="3183"/>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郑燚（注册号：1120070131)、吴薇（注册号：1419970001)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3" zoomScale="80" zoomScaleNormal="70" zoomScaleSheetLayoutView="80" workbookViewId="0">
      <selection activeCell="I49" sqref="I49"/>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t="s">
        <v>27</v>
      </c>
      <c r="E1" s="1402"/>
      <c r="F1" s="2065" t="s">
        <v>3299</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f>IF(C2="——",ROUND(C50*D3/10000,0),ROUND(C50*D3/10000,0)-D2)</f>
        <v>57761</v>
      </c>
      <c r="C2" s="2067" t="s">
        <v>70</v>
      </c>
      <c r="D2" s="1275" t="e">
        <f ca="1">SUMIF(INDIRECT("'"&amp;F2&amp;"'"&amp;"!A:A"),"承租人权益价值",INDIRECT("'"&amp;F2&amp;"'"&amp;"!c:c"))</f>
        <v>#REF!</v>
      </c>
      <c r="E2" s="2068" t="s">
        <v>2149</v>
      </c>
      <c r="F2" s="2069"/>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71822</v>
      </c>
      <c r="C3" s="360" t="s">
        <v>2465</v>
      </c>
      <c r="D3" s="359">
        <f>IF(D1="",'数据-汇总表'!E3,SUMIF('数据-汇总表'!$C19:$C33,D1,'数据-汇总表'!$E19:$E33))</f>
        <v>8042.29</v>
      </c>
      <c r="E3" s="2140"/>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2466</v>
      </c>
      <c r="B4" s="362"/>
      <c r="C4" s="3396" t="s">
        <v>2467</v>
      </c>
      <c r="D4" s="3397"/>
      <c r="E4" s="3398" t="s">
        <v>2468</v>
      </c>
      <c r="F4" s="3399"/>
      <c r="G4" s="3396" t="s">
        <v>2469</v>
      </c>
      <c r="H4" s="3397"/>
      <c r="I4" s="3396" t="s">
        <v>2470</v>
      </c>
      <c r="J4" s="3397"/>
      <c r="K4" s="567" t="s">
        <v>2471</v>
      </c>
      <c r="L4" s="2943"/>
      <c r="M4" s="2944"/>
      <c r="N4" s="2944"/>
      <c r="O4" s="2944"/>
      <c r="P4" s="3400" t="s">
        <v>2472</v>
      </c>
      <c r="Q4" s="3401"/>
      <c r="R4" s="3379" t="s">
        <v>2468</v>
      </c>
      <c r="S4" s="3380"/>
      <c r="T4" s="3379" t="s">
        <v>2469</v>
      </c>
      <c r="U4" s="3380"/>
      <c r="V4" s="3408" t="s">
        <v>2470</v>
      </c>
      <c r="W4" s="3408"/>
      <c r="X4" s="2144"/>
      <c r="Y4" s="3379" t="s">
        <v>2472</v>
      </c>
      <c r="Z4" s="3380"/>
      <c r="AA4" s="3374" t="s">
        <v>2468</v>
      </c>
      <c r="AB4" s="3374" t="s">
        <v>2469</v>
      </c>
      <c r="AC4" s="3393" t="s">
        <v>2470</v>
      </c>
    </row>
    <row r="5" spans="1:29" ht="15">
      <c r="A5" s="364"/>
      <c r="B5" s="365"/>
      <c r="C5" s="3385" t="s">
        <v>2363</v>
      </c>
      <c r="D5" s="3386"/>
      <c r="E5" s="3383" t="s">
        <v>3316</v>
      </c>
      <c r="F5" s="3384"/>
      <c r="G5" s="3389" t="s">
        <v>3328</v>
      </c>
      <c r="H5" s="3386"/>
      <c r="I5" s="3389" t="s">
        <v>3337</v>
      </c>
      <c r="J5" s="3386"/>
      <c r="K5" s="567"/>
      <c r="L5" s="2943"/>
      <c r="M5" s="2944"/>
      <c r="N5" s="2944"/>
      <c r="O5" s="2944"/>
      <c r="P5" s="3402"/>
      <c r="Q5" s="3403"/>
      <c r="R5" s="3381"/>
      <c r="S5" s="3382"/>
      <c r="T5" s="3381"/>
      <c r="U5" s="3382"/>
      <c r="V5" s="3409"/>
      <c r="W5" s="3409"/>
      <c r="X5" s="1539"/>
      <c r="Y5" s="3381"/>
      <c r="Z5" s="3382"/>
      <c r="AA5" s="3375"/>
      <c r="AB5" s="3375"/>
      <c r="AC5" s="3394"/>
    </row>
    <row r="6" spans="1:29" ht="15.75" thickBot="1">
      <c r="A6" s="366"/>
      <c r="B6" s="367"/>
      <c r="C6" s="3387" t="s">
        <v>2367</v>
      </c>
      <c r="D6" s="3388"/>
      <c r="E6" s="3390" t="s">
        <v>2367</v>
      </c>
      <c r="F6" s="3391"/>
      <c r="G6" s="3387" t="s">
        <v>2367</v>
      </c>
      <c r="H6" s="3388"/>
      <c r="I6" s="3387" t="s">
        <v>2367</v>
      </c>
      <c r="J6" s="3388"/>
      <c r="K6" s="567" t="s">
        <v>2368</v>
      </c>
      <c r="L6" s="2943"/>
      <c r="M6" s="2944"/>
      <c r="N6" s="2944"/>
      <c r="O6" s="2944"/>
      <c r="P6" s="3404"/>
      <c r="Q6" s="3405"/>
      <c r="R6" s="3381"/>
      <c r="S6" s="3382"/>
      <c r="T6" s="3406"/>
      <c r="U6" s="3407"/>
      <c r="V6" s="3409"/>
      <c r="W6" s="3409"/>
      <c r="X6" s="1539"/>
      <c r="Y6" s="3406"/>
      <c r="Z6" s="3407"/>
      <c r="AA6" s="3376"/>
      <c r="AB6" s="3376"/>
      <c r="AC6" s="3395"/>
    </row>
    <row r="7" spans="1:29" s="113" customFormat="1" ht="15.75" thickBot="1">
      <c r="A7" s="368" t="s">
        <v>2369</v>
      </c>
      <c r="B7" s="369"/>
      <c r="C7" s="370">
        <f>'数据-取费表'!B2</f>
        <v>44396</v>
      </c>
      <c r="D7" s="371">
        <v>100</v>
      </c>
      <c r="E7" s="372">
        <v>44282</v>
      </c>
      <c r="F7" s="373">
        <f>SUMIF(59:59,YEAR(E7)&amp;"-"&amp;MONTH(E7),60:60)</f>
        <v>100</v>
      </c>
      <c r="G7" s="372">
        <v>44362</v>
      </c>
      <c r="H7" s="371">
        <f>SUMIF(59:59,YEAR(G7)&amp;"-"&amp;MONTH(G7),60:60)</f>
        <v>100</v>
      </c>
      <c r="I7" s="372">
        <v>44386</v>
      </c>
      <c r="J7" s="371">
        <f>SUMIF(59:59,YEAR(I7)&amp;"-"&amp;MONTH(I7),60:60)</f>
        <v>100</v>
      </c>
      <c r="K7" s="568"/>
      <c r="L7" s="2945"/>
      <c r="M7" s="2946"/>
      <c r="N7" s="2946"/>
      <c r="O7" s="2946"/>
      <c r="P7" s="3410" t="s">
        <v>2370</v>
      </c>
      <c r="Q7" s="3411"/>
      <c r="R7" s="710" t="s">
        <v>17</v>
      </c>
      <c r="S7" s="711">
        <f t="shared" ref="S7:S15" si="0">F7</f>
        <v>100</v>
      </c>
      <c r="T7" s="710" t="s">
        <v>17</v>
      </c>
      <c r="U7" s="711">
        <f t="shared" ref="U7:U15" si="1">H7</f>
        <v>100</v>
      </c>
      <c r="V7" s="710" t="s">
        <v>17</v>
      </c>
      <c r="W7" s="711">
        <f t="shared" ref="W7:W15" si="2">J7</f>
        <v>100</v>
      </c>
      <c r="X7" s="712"/>
      <c r="Y7" s="3377" t="s">
        <v>2370</v>
      </c>
      <c r="Z7" s="3378"/>
      <c r="AA7" s="713">
        <f>D7/F7</f>
        <v>1</v>
      </c>
      <c r="AB7" s="713">
        <f>D7/H7</f>
        <v>1</v>
      </c>
      <c r="AC7" s="2145">
        <f>D7/J7</f>
        <v>1</v>
      </c>
    </row>
    <row r="8" spans="1:29" s="113" customFormat="1" ht="15.75" thickBot="1">
      <c r="A8" s="368" t="s">
        <v>2371</v>
      </c>
      <c r="B8" s="369"/>
      <c r="C8" s="374" t="s">
        <v>2473</v>
      </c>
      <c r="D8" s="371">
        <v>100</v>
      </c>
      <c r="E8" s="374" t="s">
        <v>3300</v>
      </c>
      <c r="F8" s="373">
        <f>SUMIF(62:62,E8,63:63)-SUMIF(62:62,C8,63:63)+100</f>
        <v>100</v>
      </c>
      <c r="G8" s="374" t="s">
        <v>3300</v>
      </c>
      <c r="H8" s="371">
        <f>SUMIF(62:62,G8,63:63)-SUMIF(62:62,C8,63:63)+100</f>
        <v>100</v>
      </c>
      <c r="I8" s="374" t="s">
        <v>3300</v>
      </c>
      <c r="J8" s="371">
        <f>SUMIF(62:62,I8,63:63)-SUMIF(62:62,C8,63:63)+100</f>
        <v>100</v>
      </c>
      <c r="K8" s="568"/>
      <c r="L8" s="2945"/>
      <c r="M8" s="2946"/>
      <c r="N8" s="2946"/>
      <c r="O8" s="2946"/>
      <c r="P8" s="3410" t="s">
        <v>2373</v>
      </c>
      <c r="Q8" s="3378"/>
      <c r="R8" s="710" t="s">
        <v>17</v>
      </c>
      <c r="S8" s="711">
        <f t="shared" si="0"/>
        <v>100</v>
      </c>
      <c r="T8" s="710" t="s">
        <v>17</v>
      </c>
      <c r="U8" s="711">
        <f t="shared" si="1"/>
        <v>100</v>
      </c>
      <c r="V8" s="710" t="s">
        <v>17</v>
      </c>
      <c r="W8" s="711">
        <f t="shared" si="2"/>
        <v>100</v>
      </c>
      <c r="X8" s="712"/>
      <c r="Y8" s="3377" t="s">
        <v>2373</v>
      </c>
      <c r="Z8" s="3378"/>
      <c r="AA8" s="713">
        <f t="shared" ref="AA8:AA47" si="3">D8/F8</f>
        <v>1</v>
      </c>
      <c r="AB8" s="713">
        <f t="shared" ref="AB8:AB47" si="4">D8/H8</f>
        <v>1</v>
      </c>
      <c r="AC8" s="2145">
        <f t="shared" ref="AC8:AC47" si="5">D8/J8</f>
        <v>1</v>
      </c>
    </row>
    <row r="9" spans="1:29" s="113" customFormat="1">
      <c r="A9" s="375" t="s">
        <v>2374</v>
      </c>
      <c r="B9" s="3177" t="s">
        <v>2375</v>
      </c>
      <c r="C9" s="3171" t="s">
        <v>3326</v>
      </c>
      <c r="D9" s="131">
        <v>100</v>
      </c>
      <c r="E9" s="379" t="s">
        <v>27</v>
      </c>
      <c r="F9" s="131">
        <f>SUMIF(64:64,E9,65:65)-SUMIF(64:64,C9,65:65)+100</f>
        <v>100</v>
      </c>
      <c r="G9" s="379" t="s">
        <v>27</v>
      </c>
      <c r="H9" s="131">
        <f>SUMIF(64:64,G9,65:65)-SUMIF(64:64,C9,65:65)+100</f>
        <v>100</v>
      </c>
      <c r="I9" s="379" t="s">
        <v>27</v>
      </c>
      <c r="J9" s="131">
        <f>SUMIF(64:64,I9,65:65)-SUMIF(64:64,C9,65:65)+100</f>
        <v>100</v>
      </c>
      <c r="K9" s="568"/>
      <c r="L9" s="2945"/>
      <c r="M9" s="2946"/>
      <c r="N9" s="2946"/>
      <c r="O9" s="2946"/>
      <c r="P9" s="3392" t="s">
        <v>2376</v>
      </c>
      <c r="Q9" s="1527" t="str">
        <f t="shared" ref="Q9:Q15" si="6">B9</f>
        <v>用途</v>
      </c>
      <c r="R9" s="710" t="s">
        <v>17</v>
      </c>
      <c r="S9" s="711">
        <f t="shared" si="0"/>
        <v>100</v>
      </c>
      <c r="T9" s="710" t="s">
        <v>17</v>
      </c>
      <c r="U9" s="711">
        <f t="shared" si="1"/>
        <v>100</v>
      </c>
      <c r="V9" s="710" t="s">
        <v>17</v>
      </c>
      <c r="W9" s="711">
        <f t="shared" si="2"/>
        <v>100</v>
      </c>
      <c r="X9" s="712"/>
      <c r="Y9" s="3350" t="s">
        <v>2377</v>
      </c>
      <c r="Z9" s="55" t="str">
        <f t="shared" ref="Z9:Z15" si="7">Q9</f>
        <v>用途</v>
      </c>
      <c r="AA9" s="713">
        <f t="shared" si="3"/>
        <v>1</v>
      </c>
      <c r="AB9" s="713">
        <f t="shared" si="4"/>
        <v>1</v>
      </c>
      <c r="AC9" s="2145">
        <f t="shared" si="5"/>
        <v>1</v>
      </c>
    </row>
    <row r="10" spans="1:29" s="386" customFormat="1" ht="27">
      <c r="A10" s="380"/>
      <c r="B10" s="3176"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92"/>
      <c r="Q10" s="1527" t="str">
        <f t="shared" si="6"/>
        <v>土地使用年限（年）</v>
      </c>
      <c r="R10" s="710" t="s">
        <v>17</v>
      </c>
      <c r="S10" s="711">
        <f t="shared" si="0"/>
        <v>100</v>
      </c>
      <c r="T10" s="710" t="s">
        <v>17</v>
      </c>
      <c r="U10" s="711">
        <f t="shared" si="1"/>
        <v>100</v>
      </c>
      <c r="V10" s="710" t="s">
        <v>17</v>
      </c>
      <c r="W10" s="711">
        <f t="shared" si="2"/>
        <v>100</v>
      </c>
      <c r="X10" s="712"/>
      <c r="Y10" s="3350"/>
      <c r="Z10" s="55" t="str">
        <f t="shared" si="7"/>
        <v>土地使用年限（年）</v>
      </c>
      <c r="AA10" s="713">
        <f t="shared" si="3"/>
        <v>1</v>
      </c>
      <c r="AB10" s="713">
        <f t="shared" si="4"/>
        <v>1</v>
      </c>
      <c r="AC10" s="2145">
        <f t="shared" si="5"/>
        <v>1</v>
      </c>
    </row>
    <row r="11" spans="1:29" ht="15">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49"/>
      <c r="M11" s="2944"/>
      <c r="N11" s="2944"/>
      <c r="O11" s="2944"/>
      <c r="P11" s="3392"/>
      <c r="Q11" s="1527" t="str">
        <f t="shared" si="6"/>
        <v>容积率</v>
      </c>
      <c r="R11" s="710" t="s">
        <v>17</v>
      </c>
      <c r="S11" s="711">
        <f t="shared" si="0"/>
        <v>100</v>
      </c>
      <c r="T11" s="710" t="s">
        <v>17</v>
      </c>
      <c r="U11" s="711">
        <f t="shared" si="1"/>
        <v>100</v>
      </c>
      <c r="V11" s="710" t="s">
        <v>17</v>
      </c>
      <c r="W11" s="711">
        <f t="shared" si="2"/>
        <v>100</v>
      </c>
      <c r="X11" s="712"/>
      <c r="Y11" s="3350"/>
      <c r="Z11" s="55" t="str">
        <f t="shared" si="7"/>
        <v>容积率</v>
      </c>
      <c r="AA11" s="713">
        <f t="shared" si="3"/>
        <v>1</v>
      </c>
      <c r="AB11" s="713">
        <f t="shared" si="4"/>
        <v>1</v>
      </c>
      <c r="AC11" s="2145">
        <f t="shared" si="5"/>
        <v>1</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5"/>
      <c r="M12" s="2946"/>
      <c r="N12" s="2946"/>
      <c r="O12" s="2946"/>
      <c r="P12" s="3392"/>
      <c r="Q12" s="1527">
        <f t="shared" si="6"/>
        <v>111</v>
      </c>
      <c r="R12" s="710" t="s">
        <v>17</v>
      </c>
      <c r="S12" s="711">
        <f t="shared" si="0"/>
        <v>100</v>
      </c>
      <c r="T12" s="710" t="s">
        <v>17</v>
      </c>
      <c r="U12" s="711">
        <f t="shared" si="1"/>
        <v>100</v>
      </c>
      <c r="V12" s="710" t="s">
        <v>17</v>
      </c>
      <c r="W12" s="711">
        <f t="shared" si="2"/>
        <v>100</v>
      </c>
      <c r="X12" s="712"/>
      <c r="Y12" s="3350"/>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0"/>
      <c r="M13" s="2944"/>
      <c r="N13" s="2944"/>
      <c r="O13" s="2944"/>
      <c r="P13" s="3392"/>
      <c r="Q13" s="1527">
        <f t="shared" si="6"/>
        <v>111</v>
      </c>
      <c r="R13" s="710" t="s">
        <v>17</v>
      </c>
      <c r="S13" s="711">
        <f t="shared" si="0"/>
        <v>100</v>
      </c>
      <c r="T13" s="710" t="s">
        <v>17</v>
      </c>
      <c r="U13" s="711">
        <f t="shared" si="1"/>
        <v>100</v>
      </c>
      <c r="V13" s="710" t="s">
        <v>17</v>
      </c>
      <c r="W13" s="711">
        <f t="shared" si="2"/>
        <v>100</v>
      </c>
      <c r="X13" s="712"/>
      <c r="Y13" s="3350"/>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0"/>
      <c r="M14" s="2944"/>
      <c r="N14" s="2944"/>
      <c r="O14" s="2944"/>
      <c r="P14" s="3392"/>
      <c r="Q14" s="1527">
        <f t="shared" si="6"/>
        <v>111</v>
      </c>
      <c r="R14" s="710" t="s">
        <v>17</v>
      </c>
      <c r="S14" s="711">
        <f t="shared" si="0"/>
        <v>100</v>
      </c>
      <c r="T14" s="710" t="s">
        <v>17</v>
      </c>
      <c r="U14" s="711">
        <f t="shared" si="1"/>
        <v>100</v>
      </c>
      <c r="V14" s="710" t="s">
        <v>17</v>
      </c>
      <c r="W14" s="711">
        <f t="shared" si="2"/>
        <v>100</v>
      </c>
      <c r="X14" s="712"/>
      <c r="Y14" s="3350"/>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3181" t="s">
        <v>3342</v>
      </c>
      <c r="M15" s="2944"/>
      <c r="N15" s="2944"/>
      <c r="O15" s="2944"/>
      <c r="P15" s="3412" t="s">
        <v>2381</v>
      </c>
      <c r="Q15" s="1536" t="str">
        <f t="shared" si="6"/>
        <v>办公集聚程度</v>
      </c>
      <c r="R15" s="714" t="s">
        <v>17</v>
      </c>
      <c r="S15" s="715">
        <f t="shared" si="0"/>
        <v>100</v>
      </c>
      <c r="T15" s="714" t="s">
        <v>17</v>
      </c>
      <c r="U15" s="715">
        <f t="shared" si="1"/>
        <v>100</v>
      </c>
      <c r="V15" s="714" t="s">
        <v>17</v>
      </c>
      <c r="W15" s="715">
        <f t="shared" si="2"/>
        <v>100</v>
      </c>
      <c r="X15" s="1539"/>
      <c r="Y15" s="3414" t="s">
        <v>2381</v>
      </c>
      <c r="Z15" s="1540" t="str">
        <f t="shared" si="7"/>
        <v>办公集聚程度</v>
      </c>
      <c r="AA15" s="1537">
        <f t="shared" si="3"/>
        <v>1</v>
      </c>
      <c r="AB15" s="1537">
        <f t="shared" si="4"/>
        <v>1</v>
      </c>
      <c r="AC15" s="2148">
        <f t="shared" si="5"/>
        <v>1</v>
      </c>
    </row>
    <row r="16" spans="1:29" ht="15">
      <c r="A16" s="387"/>
      <c r="B16" s="586"/>
      <c r="C16" s="3175" t="s">
        <v>3139</v>
      </c>
      <c r="D16" s="407"/>
      <c r="E16" s="406" t="s">
        <v>3139</v>
      </c>
      <c r="F16" s="407"/>
      <c r="G16" s="2090" t="s">
        <v>3139</v>
      </c>
      <c r="H16" s="409"/>
      <c r="I16" s="406" t="s">
        <v>3139</v>
      </c>
      <c r="J16" s="407"/>
      <c r="K16" s="572"/>
      <c r="L16" s="2950"/>
      <c r="M16" s="2944"/>
      <c r="N16" s="2944"/>
      <c r="O16" s="2944"/>
      <c r="P16" s="3413"/>
      <c r="Q16" s="1536"/>
      <c r="R16" s="714"/>
      <c r="S16" s="715"/>
      <c r="T16" s="714"/>
      <c r="U16" s="715"/>
      <c r="V16" s="714"/>
      <c r="W16" s="715"/>
      <c r="X16" s="1539"/>
      <c r="Y16" s="3415"/>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3</v>
      </c>
      <c r="L17" s="2950"/>
      <c r="M17" s="2944"/>
      <c r="N17" s="2944"/>
      <c r="O17" s="2944"/>
      <c r="P17" s="3413"/>
      <c r="Q17" s="1536" t="str">
        <f>B17</f>
        <v>交通便捷度</v>
      </c>
      <c r="R17" s="714" t="s">
        <v>17</v>
      </c>
      <c r="S17" s="715">
        <f>F17</f>
        <v>100</v>
      </c>
      <c r="T17" s="714" t="s">
        <v>17</v>
      </c>
      <c r="U17" s="715">
        <f>H17</f>
        <v>100</v>
      </c>
      <c r="V17" s="714" t="s">
        <v>17</v>
      </c>
      <c r="W17" s="715">
        <f>J17</f>
        <v>100</v>
      </c>
      <c r="X17" s="1539"/>
      <c r="Y17" s="3415"/>
      <c r="Z17" s="1540" t="str">
        <f>Q17</f>
        <v>交通便捷度</v>
      </c>
      <c r="AA17" s="1537">
        <f t="shared" si="3"/>
        <v>1</v>
      </c>
      <c r="AB17" s="1537">
        <f t="shared" si="4"/>
        <v>1</v>
      </c>
      <c r="AC17" s="2148">
        <f t="shared" si="5"/>
        <v>1</v>
      </c>
    </row>
    <row r="18" spans="1:29" ht="15">
      <c r="A18" s="387"/>
      <c r="B18" s="588"/>
      <c r="C18" s="2150" t="s">
        <v>3139</v>
      </c>
      <c r="D18" s="409"/>
      <c r="E18" s="2150" t="s">
        <v>3139</v>
      </c>
      <c r="F18" s="409"/>
      <c r="G18" s="2150" t="s">
        <v>3139</v>
      </c>
      <c r="H18" s="407"/>
      <c r="I18" s="2150" t="s">
        <v>3139</v>
      </c>
      <c r="J18" s="407"/>
      <c r="K18" s="572"/>
      <c r="L18" s="2950"/>
      <c r="M18" s="2944"/>
      <c r="N18" s="2944"/>
      <c r="O18" s="2944"/>
      <c r="P18" s="3413"/>
      <c r="Q18" s="1536"/>
      <c r="R18" s="714"/>
      <c r="S18" s="715"/>
      <c r="T18" s="714"/>
      <c r="U18" s="715"/>
      <c r="V18" s="714"/>
      <c r="W18" s="715"/>
      <c r="X18" s="1539"/>
      <c r="Y18" s="3415"/>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3</v>
      </c>
      <c r="L19" s="2950"/>
      <c r="M19" s="2944"/>
      <c r="N19" s="2944"/>
      <c r="O19" s="2944"/>
      <c r="P19" s="3413"/>
      <c r="Q19" s="1536" t="str">
        <f>B19</f>
        <v>公共配套设施</v>
      </c>
      <c r="R19" s="714" t="s">
        <v>17</v>
      </c>
      <c r="S19" s="715">
        <f>F19</f>
        <v>100</v>
      </c>
      <c r="T19" s="714" t="s">
        <v>17</v>
      </c>
      <c r="U19" s="715">
        <f>H19</f>
        <v>100</v>
      </c>
      <c r="V19" s="714" t="s">
        <v>17</v>
      </c>
      <c r="W19" s="715">
        <f>J19</f>
        <v>100</v>
      </c>
      <c r="X19" s="1539"/>
      <c r="Y19" s="3415"/>
      <c r="Z19" s="1540" t="str">
        <f>Q19</f>
        <v>公共配套设施</v>
      </c>
      <c r="AA19" s="1537">
        <f t="shared" si="3"/>
        <v>1</v>
      </c>
      <c r="AB19" s="1537">
        <f t="shared" si="4"/>
        <v>1</v>
      </c>
      <c r="AC19" s="2148">
        <f t="shared" si="5"/>
        <v>1</v>
      </c>
    </row>
    <row r="20" spans="1:29" ht="15">
      <c r="A20" s="387"/>
      <c r="B20" s="588"/>
      <c r="C20" s="2090" t="s">
        <v>3139</v>
      </c>
      <c r="D20" s="407"/>
      <c r="E20" s="2090" t="s">
        <v>3139</v>
      </c>
      <c r="F20" s="407"/>
      <c r="G20" s="2090" t="s">
        <v>3139</v>
      </c>
      <c r="H20" s="407"/>
      <c r="I20" s="2090" t="s">
        <v>3139</v>
      </c>
      <c r="J20" s="407"/>
      <c r="K20" s="572"/>
      <c r="L20" s="2950"/>
      <c r="M20" s="2944"/>
      <c r="N20" s="2944"/>
      <c r="O20" s="2944"/>
      <c r="P20" s="3413"/>
      <c r="Q20" s="1536"/>
      <c r="R20" s="714"/>
      <c r="S20" s="715"/>
      <c r="T20" s="714"/>
      <c r="U20" s="715"/>
      <c r="V20" s="714"/>
      <c r="W20" s="715"/>
      <c r="X20" s="1539"/>
      <c r="Y20" s="3415"/>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50"/>
      <c r="M21" s="2944"/>
      <c r="N21" s="2944"/>
      <c r="O21" s="2944"/>
      <c r="P21" s="3413"/>
      <c r="Q21" s="1536" t="str">
        <f>B21</f>
        <v>基础设施水平</v>
      </c>
      <c r="R21" s="714" t="s">
        <v>17</v>
      </c>
      <c r="S21" s="715">
        <f>F21</f>
        <v>100</v>
      </c>
      <c r="T21" s="714" t="s">
        <v>17</v>
      </c>
      <c r="U21" s="715">
        <f>H21</f>
        <v>100</v>
      </c>
      <c r="V21" s="714" t="s">
        <v>17</v>
      </c>
      <c r="W21" s="715">
        <f>J21</f>
        <v>100</v>
      </c>
      <c r="X21" s="1539"/>
      <c r="Y21" s="3415"/>
      <c r="Z21" s="1540" t="str">
        <f>Q21</f>
        <v>基础设施水平</v>
      </c>
      <c r="AA21" s="1537">
        <f t="shared" ref="AA21" si="8">D21/F21</f>
        <v>1</v>
      </c>
      <c r="AB21" s="1537">
        <f t="shared" ref="AB21" si="9">D21/H21</f>
        <v>1</v>
      </c>
      <c r="AC21" s="2148">
        <f t="shared" ref="AC21" si="10">D21/J21</f>
        <v>1</v>
      </c>
    </row>
    <row r="22" spans="1:29" ht="15">
      <c r="A22" s="387"/>
      <c r="B22" s="589"/>
      <c r="C22" s="2150" t="s">
        <v>3301</v>
      </c>
      <c r="D22" s="407"/>
      <c r="E22" s="2150" t="s">
        <v>3301</v>
      </c>
      <c r="F22" s="407"/>
      <c r="G22" s="2150" t="s">
        <v>3301</v>
      </c>
      <c r="H22" s="407"/>
      <c r="I22" s="2150" t="s">
        <v>3301</v>
      </c>
      <c r="J22" s="407"/>
      <c r="K22" s="1292"/>
      <c r="L22" s="2950"/>
      <c r="M22" s="2944"/>
      <c r="N22" s="2944"/>
      <c r="O22" s="2944"/>
      <c r="P22" s="3413"/>
      <c r="Q22" s="1536"/>
      <c r="R22" s="714"/>
      <c r="S22" s="715"/>
      <c r="T22" s="714"/>
      <c r="U22" s="715"/>
      <c r="V22" s="714"/>
      <c r="W22" s="715"/>
      <c r="X22" s="1539"/>
      <c r="Y22" s="3415"/>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99</v>
      </c>
      <c r="G23" s="411"/>
      <c r="H23" s="409">
        <f>SUMIF(85:85,G24,86:86)-SUMIF(85:85,C24,86:86)+100</f>
        <v>99</v>
      </c>
      <c r="I23" s="411"/>
      <c r="J23" s="409">
        <f>SUMIF(85:85,I24,86:86)-SUMIF(85:85,C24,86:86)+100</f>
        <v>99</v>
      </c>
      <c r="K23" s="571">
        <v>1</v>
      </c>
      <c r="L23" s="2950"/>
      <c r="M23" s="2944"/>
      <c r="N23" s="2944"/>
      <c r="O23" s="2944"/>
      <c r="P23" s="3413"/>
      <c r="Q23" s="1536" t="str">
        <f>B23</f>
        <v>环境质量</v>
      </c>
      <c r="R23" s="714" t="s">
        <v>17</v>
      </c>
      <c r="S23" s="715">
        <f>F23</f>
        <v>99</v>
      </c>
      <c r="T23" s="714" t="s">
        <v>17</v>
      </c>
      <c r="U23" s="715">
        <f>H23</f>
        <v>99</v>
      </c>
      <c r="V23" s="714" t="s">
        <v>17</v>
      </c>
      <c r="W23" s="715">
        <f>J23</f>
        <v>99</v>
      </c>
      <c r="X23" s="1539"/>
      <c r="Y23" s="3415"/>
      <c r="Z23" s="1540" t="str">
        <f>Q23</f>
        <v>环境质量</v>
      </c>
      <c r="AA23" s="1537">
        <f t="shared" si="3"/>
        <v>1.0101010101010102</v>
      </c>
      <c r="AB23" s="1537">
        <f t="shared" si="4"/>
        <v>1.0101010101010102</v>
      </c>
      <c r="AC23" s="2148">
        <f t="shared" si="5"/>
        <v>1.0101010101010102</v>
      </c>
    </row>
    <row r="24" spans="1:29" ht="15">
      <c r="A24" s="387"/>
      <c r="B24" s="589"/>
      <c r="C24" s="2090" t="s">
        <v>3140</v>
      </c>
      <c r="D24" s="407"/>
      <c r="E24" s="2083" t="s">
        <v>3139</v>
      </c>
      <c r="F24" s="407"/>
      <c r="G24" s="2084" t="s">
        <v>3139</v>
      </c>
      <c r="H24" s="407"/>
      <c r="I24" s="2084" t="s">
        <v>3139</v>
      </c>
      <c r="J24" s="407"/>
      <c r="K24" s="572"/>
      <c r="L24" s="2950"/>
      <c r="M24" s="2944"/>
      <c r="N24" s="2944"/>
      <c r="O24" s="2944"/>
      <c r="P24" s="3413"/>
      <c r="Q24" s="1536"/>
      <c r="R24" s="714"/>
      <c r="S24" s="715"/>
      <c r="T24" s="714"/>
      <c r="U24" s="715"/>
      <c r="V24" s="714"/>
      <c r="W24" s="715"/>
      <c r="X24" s="1539"/>
      <c r="Y24" s="3415"/>
      <c r="Z24" s="1540"/>
      <c r="AA24" s="1537">
        <v>1</v>
      </c>
      <c r="AB24" s="1537">
        <v>1</v>
      </c>
      <c r="AC24" s="2148">
        <v>1</v>
      </c>
    </row>
    <row r="25" spans="1:29" ht="27">
      <c r="A25" s="364"/>
      <c r="B25" s="3178" t="s">
        <v>2512</v>
      </c>
      <c r="C25" s="2094"/>
      <c r="D25" s="394">
        <v>100</v>
      </c>
      <c r="E25" s="393"/>
      <c r="F25" s="394">
        <f>SUMIF(87:87,E26,88:88)-SUMIF(87:87,C26,88:88)+100</f>
        <v>102</v>
      </c>
      <c r="G25" s="2094"/>
      <c r="H25" s="394">
        <f>SUMIF(87:87,G26,88:88)-SUMIF(87:87,C26,88:88)+100</f>
        <v>104</v>
      </c>
      <c r="I25" s="393"/>
      <c r="J25" s="394">
        <f>SUMIF(87:87,I26,88:88)-SUMIF(87:87,C26,88:88)+100</f>
        <v>102</v>
      </c>
      <c r="K25" s="571">
        <v>2</v>
      </c>
      <c r="L25" s="2950"/>
      <c r="M25" s="2944"/>
      <c r="N25" s="2944"/>
      <c r="O25" s="2944"/>
      <c r="P25" s="3413"/>
      <c r="Q25" s="1536" t="str">
        <f>B25</f>
        <v>毗邻道路的类型与等级</v>
      </c>
      <c r="R25" s="714" t="s">
        <v>17</v>
      </c>
      <c r="S25" s="715">
        <f>F25</f>
        <v>102</v>
      </c>
      <c r="T25" s="714" t="s">
        <v>17</v>
      </c>
      <c r="U25" s="715">
        <f>H25</f>
        <v>104</v>
      </c>
      <c r="V25" s="714" t="s">
        <v>17</v>
      </c>
      <c r="W25" s="715">
        <f>J25</f>
        <v>102</v>
      </c>
      <c r="X25" s="1539"/>
      <c r="Y25" s="3415"/>
      <c r="Z25" s="1540" t="str">
        <f>Q25</f>
        <v>毗邻道路的类型与等级</v>
      </c>
      <c r="AA25" s="1537">
        <f t="shared" si="3"/>
        <v>0.98039215686274506</v>
      </c>
      <c r="AB25" s="1537">
        <f t="shared" si="4"/>
        <v>0.96153846153846156</v>
      </c>
      <c r="AC25" s="2148">
        <f t="shared" si="5"/>
        <v>0.98039215686274506</v>
      </c>
    </row>
    <row r="26" spans="1:29" ht="15">
      <c r="A26" s="364"/>
      <c r="B26" s="588"/>
      <c r="C26" s="590" t="s">
        <v>3335</v>
      </c>
      <c r="D26" s="394"/>
      <c r="E26" s="573" t="s">
        <v>3333</v>
      </c>
      <c r="F26" s="394"/>
      <c r="G26" s="590" t="s">
        <v>3331</v>
      </c>
      <c r="H26" s="394"/>
      <c r="I26" s="573" t="s">
        <v>3333</v>
      </c>
      <c r="J26" s="394"/>
      <c r="K26" s="572"/>
      <c r="L26" s="2950"/>
      <c r="M26" s="2944"/>
      <c r="N26" s="2944"/>
      <c r="O26" s="2944"/>
      <c r="P26" s="3413"/>
      <c r="Q26" s="1536"/>
      <c r="R26" s="714"/>
      <c r="S26" s="715"/>
      <c r="T26" s="714"/>
      <c r="U26" s="715"/>
      <c r="V26" s="714"/>
      <c r="W26" s="715"/>
      <c r="X26" s="1539"/>
      <c r="Y26" s="3415"/>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413"/>
      <c r="Q27" s="1536" t="str">
        <f t="shared" ref="Q27:Q47" si="11">B27</f>
        <v>楼层</v>
      </c>
      <c r="R27" s="714" t="s">
        <v>17</v>
      </c>
      <c r="S27" s="715">
        <f>F27</f>
        <v>100</v>
      </c>
      <c r="T27" s="714" t="s">
        <v>17</v>
      </c>
      <c r="U27" s="715">
        <f>H27</f>
        <v>100</v>
      </c>
      <c r="V27" s="714" t="s">
        <v>17</v>
      </c>
      <c r="W27" s="715">
        <f>J27</f>
        <v>100</v>
      </c>
      <c r="X27" s="1539"/>
      <c r="Y27" s="3415"/>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5"/>
      <c r="M28" s="2946"/>
      <c r="N28" s="2946"/>
      <c r="O28" s="2946"/>
      <c r="P28" s="3413"/>
      <c r="Q28" s="1527" t="str">
        <f t="shared" si="11"/>
        <v>朝向</v>
      </c>
      <c r="R28" s="710" t="s">
        <v>17</v>
      </c>
      <c r="S28" s="711">
        <f>F28</f>
        <v>100</v>
      </c>
      <c r="T28" s="710" t="s">
        <v>17</v>
      </c>
      <c r="U28" s="711">
        <f>H28</f>
        <v>100</v>
      </c>
      <c r="V28" s="710" t="s">
        <v>17</v>
      </c>
      <c r="W28" s="711">
        <f>J28</f>
        <v>100</v>
      </c>
      <c r="X28" s="712"/>
      <c r="Y28" s="3415"/>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0"/>
      <c r="M29" s="2944"/>
      <c r="N29" s="2944"/>
      <c r="O29" s="2944"/>
      <c r="P29" s="3413"/>
      <c r="Q29" s="1536">
        <f t="shared" si="11"/>
        <v>111</v>
      </c>
      <c r="R29" s="714" t="s">
        <v>17</v>
      </c>
      <c r="S29" s="715">
        <f t="shared" ref="S29:S47" si="12">F29</f>
        <v>100</v>
      </c>
      <c r="T29" s="714" t="s">
        <v>17</v>
      </c>
      <c r="U29" s="715">
        <f t="shared" ref="U29:U47" si="13">H29</f>
        <v>100</v>
      </c>
      <c r="V29" s="714" t="s">
        <v>17</v>
      </c>
      <c r="W29" s="715">
        <f t="shared" ref="W29:W47" si="14">J29</f>
        <v>100</v>
      </c>
      <c r="X29" s="1539"/>
      <c r="Y29" s="3415"/>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0"/>
      <c r="M30" s="2944"/>
      <c r="N30" s="2944"/>
      <c r="O30" s="2944"/>
      <c r="P30" s="3413"/>
      <c r="Q30" s="1536">
        <f t="shared" si="11"/>
        <v>111</v>
      </c>
      <c r="R30" s="714" t="s">
        <v>17</v>
      </c>
      <c r="S30" s="715">
        <f t="shared" si="12"/>
        <v>100</v>
      </c>
      <c r="T30" s="714" t="s">
        <v>17</v>
      </c>
      <c r="U30" s="715">
        <f t="shared" si="13"/>
        <v>100</v>
      </c>
      <c r="V30" s="714" t="s">
        <v>17</v>
      </c>
      <c r="W30" s="715">
        <f t="shared" si="14"/>
        <v>100</v>
      </c>
      <c r="X30" s="1539"/>
      <c r="Y30" s="3415"/>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0"/>
      <c r="M31" s="2944"/>
      <c r="N31" s="2944"/>
      <c r="O31" s="2944"/>
      <c r="P31" s="3413"/>
      <c r="Q31" s="1536">
        <f t="shared" si="11"/>
        <v>111</v>
      </c>
      <c r="R31" s="714" t="s">
        <v>17</v>
      </c>
      <c r="S31" s="715">
        <f t="shared" si="12"/>
        <v>100</v>
      </c>
      <c r="T31" s="714" t="s">
        <v>17</v>
      </c>
      <c r="U31" s="715">
        <f t="shared" si="13"/>
        <v>100</v>
      </c>
      <c r="V31" s="714" t="s">
        <v>17</v>
      </c>
      <c r="W31" s="715">
        <f t="shared" si="14"/>
        <v>100</v>
      </c>
      <c r="X31" s="1539"/>
      <c r="Y31" s="3415"/>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0"/>
      <c r="M32" s="2944"/>
      <c r="N32" s="2944"/>
      <c r="O32" s="2944"/>
      <c r="P32" s="3413"/>
      <c r="Q32" s="1536">
        <f t="shared" si="11"/>
        <v>111</v>
      </c>
      <c r="R32" s="714" t="s">
        <v>17</v>
      </c>
      <c r="S32" s="715">
        <f t="shared" si="12"/>
        <v>100</v>
      </c>
      <c r="T32" s="714" t="s">
        <v>17</v>
      </c>
      <c r="U32" s="715">
        <f t="shared" si="13"/>
        <v>100</v>
      </c>
      <c r="V32" s="714" t="s">
        <v>17</v>
      </c>
      <c r="W32" s="715">
        <f t="shared" si="14"/>
        <v>100</v>
      </c>
      <c r="X32" s="1539"/>
      <c r="Y32" s="3415"/>
      <c r="Z32" s="1540">
        <f t="shared" si="15"/>
        <v>111</v>
      </c>
      <c r="AA32" s="1537">
        <f t="shared" si="3"/>
        <v>1</v>
      </c>
      <c r="AB32" s="1537">
        <f t="shared" si="4"/>
        <v>1</v>
      </c>
      <c r="AC32" s="2148">
        <f t="shared" si="5"/>
        <v>1</v>
      </c>
    </row>
    <row r="33" spans="1:29" ht="15">
      <c r="A33" s="399" t="s">
        <v>2384</v>
      </c>
      <c r="B33" s="67" t="s">
        <v>2514</v>
      </c>
      <c r="C33" s="2153" t="s">
        <v>3338</v>
      </c>
      <c r="D33" s="426">
        <v>100</v>
      </c>
      <c r="E33" s="2153" t="s">
        <v>3338</v>
      </c>
      <c r="F33" s="420">
        <f>SUMIF(101:101,E33,102:102)-SUMIF(101:101,C33,102:102)+100</f>
        <v>100</v>
      </c>
      <c r="G33" s="2153" t="s">
        <v>3338</v>
      </c>
      <c r="H33" s="394">
        <f>SUMIF(101:101,G33,102:102)-SUMIF(101:101,C33,102:102)+100</f>
        <v>100</v>
      </c>
      <c r="I33" s="2153" t="s">
        <v>3338</v>
      </c>
      <c r="J33" s="426">
        <f>SUMIF(101:101,I33,102:102)-SUMIF(101:101,C33,102:102)+100</f>
        <v>100</v>
      </c>
      <c r="K33" s="569">
        <v>2</v>
      </c>
      <c r="L33" s="2950"/>
      <c r="M33" s="2944"/>
      <c r="N33" s="2944"/>
      <c r="O33" s="2944"/>
      <c r="P33" s="3416" t="s">
        <v>2386</v>
      </c>
      <c r="Q33" s="1536" t="str">
        <f t="shared" si="11"/>
        <v>建筑类型</v>
      </c>
      <c r="R33" s="714" t="s">
        <v>17</v>
      </c>
      <c r="S33" s="715">
        <f t="shared" si="12"/>
        <v>100</v>
      </c>
      <c r="T33" s="714" t="s">
        <v>17</v>
      </c>
      <c r="U33" s="715">
        <f t="shared" si="13"/>
        <v>100</v>
      </c>
      <c r="V33" s="714" t="s">
        <v>17</v>
      </c>
      <c r="W33" s="715">
        <f t="shared" si="14"/>
        <v>100</v>
      </c>
      <c r="X33" s="1539"/>
      <c r="Y33" s="3419" t="s">
        <v>2386</v>
      </c>
      <c r="Z33" s="1540" t="str">
        <f t="shared" si="15"/>
        <v>建筑类型</v>
      </c>
      <c r="AA33" s="1537">
        <f t="shared" si="3"/>
        <v>1</v>
      </c>
      <c r="AB33" s="1537">
        <f t="shared" si="4"/>
        <v>1</v>
      </c>
      <c r="AC33" s="2148">
        <f t="shared" si="5"/>
        <v>1</v>
      </c>
    </row>
    <row r="34" spans="1:29" s="430" customFormat="1" ht="15">
      <c r="A34" s="427"/>
      <c r="B34" s="381" t="s">
        <v>2387</v>
      </c>
      <c r="C34" s="428">
        <f>'数据-汇总表'!E27</f>
        <v>8042.29</v>
      </c>
      <c r="D34" s="132">
        <v>100</v>
      </c>
      <c r="E34" s="389">
        <v>5000</v>
      </c>
      <c r="F34" s="384">
        <f>LOOKUP(E34,104:104,105:105)-LOOKUP(C34,104:104,105:105)+100</f>
        <v>101</v>
      </c>
      <c r="G34" s="388">
        <v>2529.6</v>
      </c>
      <c r="H34" s="132">
        <f>LOOKUP(G34,104:104,105:105)-LOOKUP(C34,104:104,105:105)+100</f>
        <v>101</v>
      </c>
      <c r="I34" s="388">
        <v>4750</v>
      </c>
      <c r="J34" s="132">
        <f>LOOKUP(I34,104:104,105:105)-LOOKUP(C34,104:104,105:105)+100</f>
        <v>101</v>
      </c>
      <c r="K34" s="570"/>
      <c r="L34" s="2949"/>
      <c r="M34" s="2951"/>
      <c r="N34" s="2951"/>
      <c r="O34" s="2951"/>
      <c r="P34" s="3417"/>
      <c r="Q34" s="716" t="str">
        <f t="shared" si="11"/>
        <v>项目建筑规模</v>
      </c>
      <c r="R34" s="717" t="s">
        <v>17</v>
      </c>
      <c r="S34" s="718">
        <f t="shared" si="12"/>
        <v>101</v>
      </c>
      <c r="T34" s="717" t="s">
        <v>17</v>
      </c>
      <c r="U34" s="718">
        <f t="shared" si="13"/>
        <v>101</v>
      </c>
      <c r="V34" s="717" t="s">
        <v>17</v>
      </c>
      <c r="W34" s="718">
        <f t="shared" si="14"/>
        <v>101</v>
      </c>
      <c r="X34" s="719"/>
      <c r="Y34" s="3419"/>
      <c r="Z34" s="720" t="str">
        <f t="shared" si="15"/>
        <v>项目建筑规模</v>
      </c>
      <c r="AA34" s="1537">
        <f t="shared" si="3"/>
        <v>0.99009900990099009</v>
      </c>
      <c r="AB34" s="1537">
        <f t="shared" si="4"/>
        <v>0.99009900990099009</v>
      </c>
      <c r="AC34" s="2148">
        <f t="shared" si="5"/>
        <v>0.99009900990099009</v>
      </c>
    </row>
    <row r="35" spans="1:29" ht="15">
      <c r="A35" s="431"/>
      <c r="B35" s="381" t="s">
        <v>2388</v>
      </c>
      <c r="C35" s="419" t="s">
        <v>3123</v>
      </c>
      <c r="D35" s="394">
        <v>100</v>
      </c>
      <c r="E35" s="419" t="s">
        <v>3144</v>
      </c>
      <c r="F35" s="420">
        <f>SUMIF(106:106,E35,107:107)-SUMIF(106:106,C35,107:107)+100</f>
        <v>102</v>
      </c>
      <c r="G35" s="419" t="s">
        <v>3123</v>
      </c>
      <c r="H35" s="394">
        <f>SUMIF(106:106,G35,107:107)-SUMIF(106:106,C35,107:107)+100</f>
        <v>100</v>
      </c>
      <c r="I35" s="419" t="s">
        <v>3144</v>
      </c>
      <c r="J35" s="394">
        <f>SUMIF(106:106,I35,107:107)-SUMIF(106:106,C35,107:107)+100</f>
        <v>102</v>
      </c>
      <c r="K35" s="569">
        <v>2</v>
      </c>
      <c r="L35" s="2950"/>
      <c r="M35" s="2944"/>
      <c r="N35" s="2944"/>
      <c r="O35" s="2944"/>
      <c r="P35" s="3417"/>
      <c r="Q35" s="1536" t="str">
        <f t="shared" si="11"/>
        <v>建筑结构</v>
      </c>
      <c r="R35" s="714" t="s">
        <v>17</v>
      </c>
      <c r="S35" s="715">
        <f t="shared" si="12"/>
        <v>102</v>
      </c>
      <c r="T35" s="714" t="s">
        <v>17</v>
      </c>
      <c r="U35" s="715">
        <f t="shared" si="13"/>
        <v>100</v>
      </c>
      <c r="V35" s="714" t="s">
        <v>17</v>
      </c>
      <c r="W35" s="715">
        <f t="shared" si="14"/>
        <v>102</v>
      </c>
      <c r="X35" s="1539"/>
      <c r="Y35" s="3419"/>
      <c r="Z35" s="1540" t="str">
        <f t="shared" si="15"/>
        <v>建筑结构</v>
      </c>
      <c r="AA35" s="1537">
        <f t="shared" si="3"/>
        <v>0.98039215686274506</v>
      </c>
      <c r="AB35" s="1537">
        <f t="shared" si="4"/>
        <v>1</v>
      </c>
      <c r="AC35" s="2148">
        <f t="shared" si="5"/>
        <v>0.98039215686274506</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417"/>
      <c r="Q36" s="1536" t="str">
        <f t="shared" si="11"/>
        <v>公共部分装修</v>
      </c>
      <c r="R36" s="714" t="s">
        <v>17</v>
      </c>
      <c r="S36" s="715">
        <f t="shared" si="12"/>
        <v>100</v>
      </c>
      <c r="T36" s="714" t="s">
        <v>17</v>
      </c>
      <c r="U36" s="715">
        <f t="shared" si="13"/>
        <v>100</v>
      </c>
      <c r="V36" s="714" t="s">
        <v>17</v>
      </c>
      <c r="W36" s="715">
        <f t="shared" si="14"/>
        <v>100</v>
      </c>
      <c r="X36" s="1539"/>
      <c r="Y36" s="3419"/>
      <c r="Z36" s="1540" t="str">
        <f t="shared" si="15"/>
        <v>公共部分装修</v>
      </c>
      <c r="AA36" s="1537">
        <f t="shared" si="3"/>
        <v>1</v>
      </c>
      <c r="AB36" s="1537">
        <f t="shared" si="4"/>
        <v>1</v>
      </c>
      <c r="AC36" s="2148">
        <f t="shared" si="5"/>
        <v>1</v>
      </c>
    </row>
    <row r="37" spans="1:29" ht="15">
      <c r="A37" s="431"/>
      <c r="B37" s="381" t="s">
        <v>2483</v>
      </c>
      <c r="C37" s="433">
        <f>'数据-取费表'!N6</f>
        <v>0.79</v>
      </c>
      <c r="D37" s="394">
        <v>100</v>
      </c>
      <c r="E37" s="433">
        <v>0.85</v>
      </c>
      <c r="F37" s="420">
        <f>LOOKUP(E37,111:111,112:112)-LOOKUP(C37,111:111,112:112)+100</f>
        <v>102</v>
      </c>
      <c r="G37" s="433">
        <v>0.75</v>
      </c>
      <c r="H37" s="420">
        <f>LOOKUP(G37,111:111,112:112)-LOOKUP(C37,111:111,112:112)+100</f>
        <v>100</v>
      </c>
      <c r="I37" s="433">
        <v>0.75</v>
      </c>
      <c r="J37" s="394">
        <f>LOOKUP(I37,111:111,112:112)-LOOKUP(C37,111:111,112:112)+100</f>
        <v>100</v>
      </c>
      <c r="K37" s="569">
        <v>2</v>
      </c>
      <c r="L37" s="2950"/>
      <c r="M37" s="2944"/>
      <c r="N37" s="2944"/>
      <c r="O37" s="2944"/>
      <c r="P37" s="3417"/>
      <c r="Q37" s="1536" t="str">
        <f t="shared" si="11"/>
        <v>成新度</v>
      </c>
      <c r="R37" s="714" t="s">
        <v>17</v>
      </c>
      <c r="S37" s="715">
        <f t="shared" si="12"/>
        <v>102</v>
      </c>
      <c r="T37" s="714" t="s">
        <v>17</v>
      </c>
      <c r="U37" s="715">
        <f t="shared" si="13"/>
        <v>100</v>
      </c>
      <c r="V37" s="714" t="s">
        <v>17</v>
      </c>
      <c r="W37" s="715">
        <f t="shared" si="14"/>
        <v>100</v>
      </c>
      <c r="X37" s="1539"/>
      <c r="Y37" s="3419"/>
      <c r="Z37" s="1540" t="str">
        <f t="shared" si="15"/>
        <v>成新度</v>
      </c>
      <c r="AA37" s="1537">
        <f t="shared" si="3"/>
        <v>0.98039215686274506</v>
      </c>
      <c r="AB37" s="1537">
        <f t="shared" si="4"/>
        <v>1</v>
      </c>
      <c r="AC37" s="2148">
        <f t="shared" si="5"/>
        <v>1</v>
      </c>
    </row>
    <row r="38" spans="1:29" s="113" customFormat="1" ht="15">
      <c r="A38" s="432"/>
      <c r="B38" s="3176"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417"/>
      <c r="Q38" s="1527" t="str">
        <f t="shared" si="11"/>
        <v>写字楼等级</v>
      </c>
      <c r="R38" s="710" t="s">
        <v>17</v>
      </c>
      <c r="S38" s="711">
        <f t="shared" si="12"/>
        <v>100</v>
      </c>
      <c r="T38" s="710" t="s">
        <v>17</v>
      </c>
      <c r="U38" s="711">
        <f t="shared" si="13"/>
        <v>100</v>
      </c>
      <c r="V38" s="710" t="s">
        <v>17</v>
      </c>
      <c r="W38" s="711">
        <f t="shared" si="14"/>
        <v>100</v>
      </c>
      <c r="X38" s="712"/>
      <c r="Y38" s="3419"/>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417" t="s">
        <v>2386</v>
      </c>
      <c r="Q39" s="1536" t="str">
        <f t="shared" si="11"/>
        <v>物业管理</v>
      </c>
      <c r="R39" s="714" t="s">
        <v>17</v>
      </c>
      <c r="S39" s="715">
        <f t="shared" si="12"/>
        <v>100</v>
      </c>
      <c r="T39" s="714" t="s">
        <v>17</v>
      </c>
      <c r="U39" s="715">
        <f t="shared" si="13"/>
        <v>100</v>
      </c>
      <c r="V39" s="714" t="s">
        <v>17</v>
      </c>
      <c r="W39" s="715">
        <f t="shared" si="14"/>
        <v>100</v>
      </c>
      <c r="X39" s="1539"/>
      <c r="Y39" s="3419" t="s">
        <v>2386</v>
      </c>
      <c r="Z39" s="1540" t="str">
        <f t="shared" si="15"/>
        <v>物业管理</v>
      </c>
      <c r="AA39" s="1537">
        <f t="shared" si="3"/>
        <v>1</v>
      </c>
      <c r="AB39" s="1537">
        <f t="shared" si="4"/>
        <v>1</v>
      </c>
      <c r="AC39" s="2148">
        <f t="shared" si="5"/>
        <v>1</v>
      </c>
    </row>
    <row r="40" spans="1:29" ht="15">
      <c r="A40" s="431"/>
      <c r="B40" s="381" t="s">
        <v>2484</v>
      </c>
      <c r="C40" s="419" t="s">
        <v>3301</v>
      </c>
      <c r="D40" s="394">
        <v>100</v>
      </c>
      <c r="E40" s="419" t="s">
        <v>3301</v>
      </c>
      <c r="F40" s="420">
        <f>SUMIF(117:117,E40,118:118)-SUMIF(117:117,C40,118:118)+100</f>
        <v>100</v>
      </c>
      <c r="G40" s="419" t="s">
        <v>3301</v>
      </c>
      <c r="H40" s="394">
        <f>SUMIF(117:117,G40,118:118)-SUMIF(117:117,C40,118:118)+100</f>
        <v>100</v>
      </c>
      <c r="I40" s="419" t="s">
        <v>3301</v>
      </c>
      <c r="J40" s="394">
        <f>SUMIF(117:117,I40,118:118)-SUMIF(117:117,C40,118:118)+100</f>
        <v>100</v>
      </c>
      <c r="K40" s="3179">
        <v>1</v>
      </c>
      <c r="L40" s="2950"/>
      <c r="M40" s="2944"/>
      <c r="N40" s="2944"/>
      <c r="O40" s="2944"/>
      <c r="P40" s="3417"/>
      <c r="Q40" s="1536" t="str">
        <f t="shared" si="11"/>
        <v>市政基础设施</v>
      </c>
      <c r="R40" s="714" t="s">
        <v>17</v>
      </c>
      <c r="S40" s="715">
        <f t="shared" si="12"/>
        <v>100</v>
      </c>
      <c r="T40" s="714" t="s">
        <v>17</v>
      </c>
      <c r="U40" s="715">
        <f t="shared" si="13"/>
        <v>100</v>
      </c>
      <c r="V40" s="714" t="s">
        <v>17</v>
      </c>
      <c r="W40" s="715">
        <f t="shared" si="14"/>
        <v>100</v>
      </c>
      <c r="X40" s="1539"/>
      <c r="Y40" s="3419"/>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417"/>
      <c r="Q41" s="1536" t="str">
        <f t="shared" si="11"/>
        <v>层高</v>
      </c>
      <c r="R41" s="714" t="s">
        <v>17</v>
      </c>
      <c r="S41" s="715">
        <f t="shared" si="12"/>
        <v>100</v>
      </c>
      <c r="T41" s="714" t="s">
        <v>17</v>
      </c>
      <c r="U41" s="715">
        <f t="shared" si="13"/>
        <v>100</v>
      </c>
      <c r="V41" s="714" t="s">
        <v>17</v>
      </c>
      <c r="W41" s="715">
        <f t="shared" si="14"/>
        <v>100</v>
      </c>
      <c r="X41" s="1539"/>
      <c r="Y41" s="3419"/>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417"/>
      <c r="Q42" s="716" t="str">
        <f t="shared" si="11"/>
        <v>单套建筑面积</v>
      </c>
      <c r="R42" s="717" t="s">
        <v>17</v>
      </c>
      <c r="S42" s="718">
        <f t="shared" si="12"/>
        <v>100</v>
      </c>
      <c r="T42" s="717" t="s">
        <v>17</v>
      </c>
      <c r="U42" s="718">
        <f t="shared" si="13"/>
        <v>100</v>
      </c>
      <c r="V42" s="717" t="s">
        <v>17</v>
      </c>
      <c r="W42" s="718">
        <f t="shared" si="14"/>
        <v>100</v>
      </c>
      <c r="X42" s="719"/>
      <c r="Y42" s="3419"/>
      <c r="Z42" s="720" t="str">
        <f t="shared" si="15"/>
        <v>单套建筑面积</v>
      </c>
      <c r="AA42" s="1537">
        <f t="shared" si="3"/>
        <v>1</v>
      </c>
      <c r="AB42" s="1537">
        <f t="shared" si="4"/>
        <v>1</v>
      </c>
      <c r="AC42" s="2148">
        <f t="shared" si="5"/>
        <v>1</v>
      </c>
    </row>
    <row r="43" spans="1:29" ht="15">
      <c r="A43" s="431"/>
      <c r="B43" s="381" t="s">
        <v>2489</v>
      </c>
      <c r="C43" s="419" t="s">
        <v>3305</v>
      </c>
      <c r="D43" s="394">
        <v>100</v>
      </c>
      <c r="E43" s="419" t="s">
        <v>3305</v>
      </c>
      <c r="F43" s="420">
        <f>SUMIF(123:123,E43,124:124)-SUMIF(123:123,C43,124:124)+100</f>
        <v>100</v>
      </c>
      <c r="G43" s="3180" t="s">
        <v>3327</v>
      </c>
      <c r="H43" s="394">
        <f>SUMIF(123:123,G43,124:124)-SUMIF(123:123,C43,124:124)+100</f>
        <v>98</v>
      </c>
      <c r="I43" s="419" t="s">
        <v>3327</v>
      </c>
      <c r="J43" s="394">
        <f>SUMIF(123:123,I43,124:124)-SUMIF(123:123,C43,124:124)+100</f>
        <v>98</v>
      </c>
      <c r="K43" s="569">
        <v>2</v>
      </c>
      <c r="L43" s="3181" t="s">
        <v>3341</v>
      </c>
      <c r="M43" s="2944"/>
      <c r="N43" s="2944"/>
      <c r="O43" s="2944"/>
      <c r="P43" s="3417"/>
      <c r="Q43" s="1536" t="str">
        <f t="shared" si="11"/>
        <v>内部装修</v>
      </c>
      <c r="R43" s="714" t="s">
        <v>17</v>
      </c>
      <c r="S43" s="715">
        <f t="shared" si="12"/>
        <v>100</v>
      </c>
      <c r="T43" s="714" t="s">
        <v>17</v>
      </c>
      <c r="U43" s="715">
        <f t="shared" si="13"/>
        <v>98</v>
      </c>
      <c r="V43" s="714" t="s">
        <v>17</v>
      </c>
      <c r="W43" s="715">
        <f t="shared" si="14"/>
        <v>98</v>
      </c>
      <c r="X43" s="1539"/>
      <c r="Y43" s="3419"/>
      <c r="Z43" s="1540" t="str">
        <f t="shared" si="15"/>
        <v>内部装修</v>
      </c>
      <c r="AA43" s="1537">
        <f t="shared" si="3"/>
        <v>1</v>
      </c>
      <c r="AB43" s="1537">
        <f t="shared" si="4"/>
        <v>1.0204081632653061</v>
      </c>
      <c r="AC43" s="2148">
        <f t="shared" si="5"/>
        <v>1.0204081632653061</v>
      </c>
    </row>
    <row r="44" spans="1:29" ht="15">
      <c r="A44" s="431"/>
      <c r="B44" s="381" t="s">
        <v>2397</v>
      </c>
      <c r="C44" s="419" t="s">
        <v>3139</v>
      </c>
      <c r="D44" s="394">
        <v>100</v>
      </c>
      <c r="E44" s="419" t="s">
        <v>3139</v>
      </c>
      <c r="F44" s="420">
        <f>SUMIF(125:125,E44,126:126)-SUMIF(125:125,C44,126:126)+100</f>
        <v>100</v>
      </c>
      <c r="G44" s="419" t="s">
        <v>3139</v>
      </c>
      <c r="H44" s="394">
        <f>SUMIF(125:125,G44,126:126)-SUMIF(125:125,C44,126:126)+100</f>
        <v>100</v>
      </c>
      <c r="I44" s="419" t="s">
        <v>3139</v>
      </c>
      <c r="J44" s="394">
        <f>SUMIF(125:125,I44,126:126)-SUMIF(125:125,C44,126:126)+100</f>
        <v>100</v>
      </c>
      <c r="K44" s="569">
        <v>2</v>
      </c>
      <c r="L44" s="2950"/>
      <c r="M44" s="2944"/>
      <c r="N44" s="2944"/>
      <c r="O44" s="2944"/>
      <c r="P44" s="3417"/>
      <c r="Q44" s="1536" t="str">
        <f t="shared" si="11"/>
        <v>内部装修维护情况</v>
      </c>
      <c r="R44" s="714" t="s">
        <v>17</v>
      </c>
      <c r="S44" s="715">
        <f t="shared" si="12"/>
        <v>100</v>
      </c>
      <c r="T44" s="714" t="s">
        <v>17</v>
      </c>
      <c r="U44" s="715">
        <f t="shared" si="13"/>
        <v>100</v>
      </c>
      <c r="V44" s="714" t="s">
        <v>17</v>
      </c>
      <c r="W44" s="715">
        <f t="shared" si="14"/>
        <v>100</v>
      </c>
      <c r="X44" s="1539"/>
      <c r="Y44" s="3419"/>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417"/>
      <c r="Q45" s="1527">
        <f t="shared" si="11"/>
        <v>111</v>
      </c>
      <c r="R45" s="710" t="s">
        <v>17</v>
      </c>
      <c r="S45" s="711">
        <f t="shared" si="12"/>
        <v>100</v>
      </c>
      <c r="T45" s="710" t="s">
        <v>17</v>
      </c>
      <c r="U45" s="711">
        <f t="shared" si="13"/>
        <v>100</v>
      </c>
      <c r="V45" s="710" t="s">
        <v>17</v>
      </c>
      <c r="W45" s="711">
        <f t="shared" si="14"/>
        <v>100</v>
      </c>
      <c r="X45" s="712"/>
      <c r="Y45" s="3419"/>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417"/>
      <c r="Q46" s="1536">
        <f t="shared" si="11"/>
        <v>111</v>
      </c>
      <c r="R46" s="714" t="s">
        <v>17</v>
      </c>
      <c r="S46" s="715">
        <f t="shared" si="12"/>
        <v>100</v>
      </c>
      <c r="T46" s="714" t="s">
        <v>17</v>
      </c>
      <c r="U46" s="715">
        <f t="shared" si="13"/>
        <v>100</v>
      </c>
      <c r="V46" s="714" t="s">
        <v>17</v>
      </c>
      <c r="W46" s="715">
        <f t="shared" si="14"/>
        <v>100</v>
      </c>
      <c r="X46" s="1539"/>
      <c r="Y46" s="3419"/>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418"/>
      <c r="Q47" s="1536">
        <f t="shared" si="11"/>
        <v>111</v>
      </c>
      <c r="R47" s="714" t="s">
        <v>17</v>
      </c>
      <c r="S47" s="715">
        <f t="shared" si="12"/>
        <v>100</v>
      </c>
      <c r="T47" s="714" t="s">
        <v>17</v>
      </c>
      <c r="U47" s="715">
        <f t="shared" si="13"/>
        <v>100</v>
      </c>
      <c r="V47" s="714" t="s">
        <v>17</v>
      </c>
      <c r="W47" s="715">
        <f t="shared" si="14"/>
        <v>100</v>
      </c>
      <c r="X47" s="1539"/>
      <c r="Y47" s="3420"/>
      <c r="Z47" s="1540">
        <f t="shared" si="15"/>
        <v>111</v>
      </c>
      <c r="AA47" s="1537">
        <f t="shared" si="3"/>
        <v>1</v>
      </c>
      <c r="AB47" s="1537">
        <f t="shared" si="4"/>
        <v>1</v>
      </c>
      <c r="AC47" s="2148">
        <f t="shared" si="5"/>
        <v>1</v>
      </c>
    </row>
    <row r="48" spans="1:29" ht="15">
      <c r="A48" s="438" t="s">
        <v>2398</v>
      </c>
      <c r="B48" s="439"/>
      <c r="C48" s="1316" t="s">
        <v>1</v>
      </c>
      <c r="D48" s="1317"/>
      <c r="E48" s="1318">
        <f>E51*D51</f>
        <v>78750</v>
      </c>
      <c r="F48" s="1319"/>
      <c r="G48" s="1318">
        <f>ROUND(G51*D51,0)</f>
        <v>78273</v>
      </c>
      <c r="H48" s="1321"/>
      <c r="I48" s="1318">
        <f>ROUND(I51*D51,0)</f>
        <v>65700</v>
      </c>
      <c r="J48" s="444"/>
      <c r="K48" s="723"/>
      <c r="L48" s="2952"/>
      <c r="M48" s="2944"/>
      <c r="N48" s="2944"/>
      <c r="O48" s="2944"/>
      <c r="P48" s="3392" t="str">
        <f>A48</f>
        <v>成交单价（元/平方米）</v>
      </c>
      <c r="Q48" s="3421"/>
      <c r="R48" s="3422">
        <f>E48</f>
        <v>78750</v>
      </c>
      <c r="S48" s="3422"/>
      <c r="T48" s="3422">
        <f>G48</f>
        <v>78273</v>
      </c>
      <c r="U48" s="3422"/>
      <c r="V48" s="3422">
        <f>I48</f>
        <v>65700</v>
      </c>
      <c r="W48" s="3422"/>
      <c r="X48" s="405"/>
      <c r="Y48" s="721"/>
      <c r="Z48" s="405"/>
      <c r="AA48" s="405"/>
      <c r="AB48" s="405"/>
      <c r="AC48" s="586"/>
    </row>
    <row r="49" spans="1:29" ht="15.75" thickBot="1">
      <c r="A49" s="445" t="s">
        <v>2490</v>
      </c>
      <c r="B49" s="446"/>
      <c r="C49" s="1322">
        <f>R50</f>
        <v>71822</v>
      </c>
      <c r="D49" s="2538" t="s">
        <v>2879</v>
      </c>
      <c r="E49" s="1323">
        <f>R49</f>
        <v>74215</v>
      </c>
      <c r="F49" s="2539"/>
      <c r="G49" s="1322">
        <f>T49</f>
        <v>76806</v>
      </c>
      <c r="H49" s="2539"/>
      <c r="I49" s="1323">
        <f>V49</f>
        <v>64444</v>
      </c>
      <c r="J49" s="2539"/>
      <c r="K49" s="2541">
        <f>F49+H49+J49</f>
        <v>0</v>
      </c>
      <c r="L49" s="2952"/>
      <c r="M49" s="2944"/>
      <c r="N49" s="2944"/>
      <c r="O49" s="2944"/>
      <c r="P49" s="3392" t="str">
        <f>A49</f>
        <v>比较价值（元/平方米）</v>
      </c>
      <c r="Q49" s="3421"/>
      <c r="R49" s="3422">
        <f>IF(F1="售价",ROUND(PRODUCT(R48,AA7:AA47),0),ROUND(PRODUCT(R48,AA7:AA47),1))</f>
        <v>74215</v>
      </c>
      <c r="S49" s="3422"/>
      <c r="T49" s="3422">
        <f>IF(F1="售价",ROUND(PRODUCT(T48,AB7:AB47),0),ROUND(PRODUCT(T48,AB7:AB47),1))</f>
        <v>76806</v>
      </c>
      <c r="U49" s="3422"/>
      <c r="V49" s="3422">
        <f>IF(F1="售价",ROUND(PRODUCT(V48,AC7:AC47),0),ROUND(PRODUCT(V48,AC7:AC47),1))</f>
        <v>64444</v>
      </c>
      <c r="W49" s="3422"/>
      <c r="X49" s="405"/>
      <c r="Y49" s="405"/>
      <c r="Z49" s="405"/>
      <c r="AA49" s="405"/>
      <c r="AB49" s="405"/>
      <c r="AC49" s="586"/>
    </row>
    <row r="50" spans="1:29" ht="15.75" thickBot="1">
      <c r="A50" s="449" t="s">
        <v>2491</v>
      </c>
      <c r="B50" s="450"/>
      <c r="C50" s="1325">
        <f>R50</f>
        <v>71822</v>
      </c>
      <c r="D50" s="1325"/>
      <c r="E50" s="1325"/>
      <c r="F50" s="1325"/>
      <c r="G50" s="1325"/>
      <c r="H50" s="1325"/>
      <c r="I50" s="1325"/>
      <c r="J50" s="451"/>
      <c r="K50" s="724"/>
      <c r="L50" s="2952"/>
      <c r="M50" s="2944"/>
      <c r="N50" s="2944"/>
      <c r="O50" s="2944"/>
      <c r="P50" s="3423" t="str">
        <f>A50</f>
        <v>估价对象XX用房的比较价值（楼面单价，元/平方米）</v>
      </c>
      <c r="Q50" s="3424"/>
      <c r="R50" s="3425">
        <f>IF(F1="售价",ROUND(IF(D49="简单平均",AVERAGE(R49:V49),R49*F49+T49*H49+V49*J49),0),ROUND(IF(D49="简单平均",AVERAGE(R49:V49),R49*F49+T49*H49+V49*J49),1))</f>
        <v>71822</v>
      </c>
      <c r="S50" s="3425"/>
      <c r="T50" s="3425"/>
      <c r="U50" s="3425"/>
      <c r="V50" s="3425"/>
      <c r="W50" s="3425"/>
      <c r="X50" s="2132"/>
      <c r="Y50" s="2132"/>
      <c r="Z50" s="2132"/>
      <c r="AA50" s="2132"/>
      <c r="AB50" s="2132"/>
      <c r="AC50" s="2133"/>
    </row>
    <row r="51" spans="1:29">
      <c r="A51" s="2953"/>
      <c r="B51" s="2953"/>
      <c r="C51" s="2953"/>
      <c r="D51" s="2953">
        <v>0.9</v>
      </c>
      <c r="E51" s="2953">
        <v>87500</v>
      </c>
      <c r="F51" s="2953"/>
      <c r="G51" s="2960" t="s">
        <v>3315</v>
      </c>
      <c r="H51" s="2953"/>
      <c r="I51" s="2953">
        <v>73000</v>
      </c>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f>E37*60</f>
        <v>51</v>
      </c>
      <c r="F52" s="2953">
        <f>60-E52+2</f>
        <v>11</v>
      </c>
      <c r="G52" s="2953">
        <f>G37*60</f>
        <v>45</v>
      </c>
      <c r="H52" s="2953">
        <f>60-G52+2</f>
        <v>17</v>
      </c>
      <c r="I52" s="2953">
        <f>I37*60</f>
        <v>45</v>
      </c>
      <c r="J52" s="2953">
        <f>60-I52+2</f>
        <v>17</v>
      </c>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f>IF(E48&lt;E49,E49/E48-1,E48/E49-1)</f>
        <v>6.1106245368186984E-2</v>
      </c>
      <c r="F53" s="457" t="str">
        <f>IF(OR(E53&gt;=0.3,E53&lt;=-0.3),"超过30%","")</f>
        <v/>
      </c>
      <c r="G53" s="456">
        <f>IF(G48&lt;G49,G49/G48-1,G48/G49-1)</f>
        <v>1.9100070307007222E-2</v>
      </c>
      <c r="H53" s="457" t="str">
        <f>IF(OR(G53&gt;=0.3,G53&lt;=-0.3),"超过30%","")</f>
        <v/>
      </c>
      <c r="I53" s="456">
        <f>IF(I48&lt;I49,I49/I48-1,I48/I49-1)</f>
        <v>1.9489789584755668E-2</v>
      </c>
      <c r="J53" s="457" t="str">
        <f>IF(OR(I53&gt;=0.3,I53&lt;=-0.3),"超过30%","")</f>
        <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f>IF(E49&lt;G49,G49/E49-1,E49/G49-1)</f>
        <v>3.4912079768240956E-2</v>
      </c>
      <c r="F54" s="457" t="str">
        <f>IF(OR(E54&gt;=0.2,E54&lt;=-0.2),"超过20%","")</f>
        <v/>
      </c>
      <c r="G54" s="456">
        <f>IF(G49&lt;I49,I49/G49-1,G49/I49-1)</f>
        <v>0.19182546086524743</v>
      </c>
      <c r="H54" s="457" t="str">
        <f>IF(OR(G54&gt;=0.2,G54&lt;=-0.2),"超过20%","")</f>
        <v/>
      </c>
      <c r="I54" s="456">
        <f>IF(I49&lt;E49,E49/I49-1,I49/E49-1)</f>
        <v>0.1516200111724908</v>
      </c>
      <c r="J54" s="457" t="str">
        <f>IF(OR(I54&gt;=0.2,I54&lt;=-0.2),"超过20%","")</f>
        <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f>IF(E48&lt;G48,G48/E48-1,E48/G48-1)</f>
        <v>6.0940554214097276E-3</v>
      </c>
      <c r="F55" s="457" t="str">
        <f>IF(OR(E55&gt;=0.3,E55&lt;=-0.3),"超过30%","")</f>
        <v/>
      </c>
      <c r="G55" s="456">
        <f>IF(G48&lt;I48,I48/G48-1,G48/I48-1)</f>
        <v>0.19136986301369863</v>
      </c>
      <c r="H55" s="457" t="str">
        <f>IF(OR(G55&gt;=0.3,G55&lt;=-0.3),"超过30%","")</f>
        <v/>
      </c>
      <c r="I55" s="456">
        <f>IF(I48&lt;E48,E48/I48-1,I48/E48-1)</f>
        <v>0.19863013698630128</v>
      </c>
      <c r="J55" s="457" t="str">
        <f>IF(OR(I55&gt;=0.3,I55&lt;=-0.3),"超过30%","")</f>
        <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6" t="str">
        <f>YEAR(C7)&amp;"-"&amp;MONTH(C7)</f>
        <v>2021-7</v>
      </c>
      <c r="D59" s="1347">
        <f>EDATE(C59,-1)</f>
        <v>44348</v>
      </c>
      <c r="E59" s="1347">
        <f>EDATE(D59,-1)</f>
        <v>44317</v>
      </c>
      <c r="F59" s="1347">
        <f t="shared" ref="F59:O59" si="16">EDATE(E59,-1)</f>
        <v>44287</v>
      </c>
      <c r="G59" s="1347">
        <f t="shared" si="16"/>
        <v>44256</v>
      </c>
      <c r="H59" s="1347">
        <f t="shared" si="16"/>
        <v>44228</v>
      </c>
      <c r="I59" s="1347">
        <f t="shared" si="16"/>
        <v>44197</v>
      </c>
      <c r="J59" s="1347">
        <f t="shared" si="16"/>
        <v>44166</v>
      </c>
      <c r="K59" s="1347">
        <f t="shared" si="16"/>
        <v>44136</v>
      </c>
      <c r="L59" s="1347">
        <f t="shared" si="16"/>
        <v>44105</v>
      </c>
      <c r="M59" s="1347">
        <f t="shared" si="16"/>
        <v>44075</v>
      </c>
      <c r="N59" s="1347">
        <f t="shared" si="16"/>
        <v>44044</v>
      </c>
      <c r="O59" s="1347">
        <f t="shared" si="16"/>
        <v>44013</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f>C60-$C$61</f>
        <v>100</v>
      </c>
      <c r="E60" s="469">
        <f t="shared" ref="E60:M60" si="17">D60-$C$61</f>
        <v>100</v>
      </c>
      <c r="F60" s="469">
        <f t="shared" si="17"/>
        <v>100</v>
      </c>
      <c r="G60" s="469">
        <f t="shared" si="17"/>
        <v>100</v>
      </c>
      <c r="H60" s="469">
        <f t="shared" si="17"/>
        <v>100</v>
      </c>
      <c r="I60" s="469">
        <f t="shared" si="17"/>
        <v>100</v>
      </c>
      <c r="J60" s="469">
        <f t="shared" si="17"/>
        <v>100</v>
      </c>
      <c r="K60" s="469">
        <f t="shared" si="17"/>
        <v>100</v>
      </c>
      <c r="L60" s="469">
        <f t="shared" si="17"/>
        <v>100</v>
      </c>
      <c r="M60" s="469">
        <f t="shared" si="17"/>
        <v>100</v>
      </c>
      <c r="N60" s="469"/>
      <c r="O60" s="470"/>
      <c r="P60" s="2988"/>
      <c r="Q60" s="2888"/>
      <c r="R60" s="2888"/>
      <c r="S60" s="2888"/>
      <c r="T60" s="2888"/>
      <c r="U60" s="2888"/>
      <c r="V60" s="2888"/>
      <c r="W60" s="2888"/>
      <c r="X60" s="2888"/>
      <c r="Y60" s="2888"/>
      <c r="Z60" s="2888"/>
      <c r="AA60" s="2888"/>
      <c r="AB60" s="2888"/>
      <c r="AC60" s="2888"/>
    </row>
    <row r="61" spans="1:29" s="113" customFormat="1" ht="15.75" thickBot="1">
      <c r="A61" s="472" t="s">
        <v>2406</v>
      </c>
      <c r="B61" s="473"/>
      <c r="C61" s="474">
        <v>0</v>
      </c>
      <c r="D61" s="475"/>
      <c r="E61" s="475"/>
      <c r="F61" s="475"/>
      <c r="G61" s="475"/>
      <c r="H61" s="475"/>
      <c r="I61" s="475"/>
      <c r="J61" s="475"/>
      <c r="K61" s="475"/>
      <c r="L61" s="475"/>
      <c r="M61" s="476"/>
      <c r="N61" s="475"/>
      <c r="O61" s="476"/>
      <c r="P61" s="2988"/>
      <c r="Q61" s="2967"/>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8"/>
      <c r="S63" s="2888"/>
      <c r="T63" s="2888"/>
      <c r="U63" s="2888"/>
      <c r="V63" s="2888"/>
      <c r="W63" s="2888"/>
      <c r="X63" s="2888"/>
      <c r="Y63" s="2888"/>
      <c r="Z63" s="2888"/>
      <c r="AA63" s="2888"/>
      <c r="AB63" s="2888"/>
      <c r="AC63" s="2888"/>
    </row>
    <row r="64" spans="1:29">
      <c r="A64" s="484" t="s">
        <v>2409</v>
      </c>
      <c r="B64" s="485" t="s">
        <v>2375</v>
      </c>
      <c r="C64" s="486" t="str">
        <f>C9</f>
        <v>办公</v>
      </c>
      <c r="D64" s="3174" t="s">
        <v>3326</v>
      </c>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v>105</v>
      </c>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0（含）-</v>
      </c>
      <c r="D68" s="504" t="str">
        <f t="shared" ref="D68:L68" si="18">D69&amp;"（含）"&amp;"-"&amp;E69</f>
        <v>（含）-</v>
      </c>
      <c r="E68" s="504" t="str">
        <f t="shared" si="18"/>
        <v>（含）-</v>
      </c>
      <c r="F68" s="504" t="str">
        <f t="shared" si="18"/>
        <v>（含）-</v>
      </c>
      <c r="G68" s="504" t="str">
        <f t="shared" si="18"/>
        <v>（含）-</v>
      </c>
      <c r="H68" s="504" t="str">
        <f t="shared" si="18"/>
        <v>（含）-</v>
      </c>
      <c r="I68" s="504" t="str">
        <f t="shared" si="18"/>
        <v>（含）-</v>
      </c>
      <c r="J68" s="504" t="str">
        <f t="shared" si="18"/>
        <v>（含）-</v>
      </c>
      <c r="K68" s="504" t="str">
        <f t="shared" si="18"/>
        <v>（含）-</v>
      </c>
      <c r="L68" s="504" t="str">
        <f t="shared" si="18"/>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v>0</v>
      </c>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9">C70-$K11</f>
        <v>100</v>
      </c>
      <c r="E70" s="501">
        <f t="shared" si="19"/>
        <v>100</v>
      </c>
      <c r="F70" s="501">
        <f t="shared" si="19"/>
        <v>100</v>
      </c>
      <c r="G70" s="501">
        <f t="shared" si="19"/>
        <v>100</v>
      </c>
      <c r="H70" s="501">
        <f t="shared" si="19"/>
        <v>100</v>
      </c>
      <c r="I70" s="501">
        <f t="shared" si="19"/>
        <v>100</v>
      </c>
      <c r="J70" s="501">
        <f t="shared" si="19"/>
        <v>100</v>
      </c>
      <c r="K70" s="501">
        <f t="shared" si="19"/>
        <v>100</v>
      </c>
      <c r="L70" s="501">
        <f t="shared" si="19"/>
        <v>100</v>
      </c>
      <c r="M70" s="502">
        <f t="shared" si="19"/>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98</v>
      </c>
      <c r="E78" s="501">
        <f>D78-$K15</f>
        <v>96</v>
      </c>
      <c r="F78" s="501">
        <f>E78-$K15</f>
        <v>94</v>
      </c>
      <c r="G78" s="501">
        <f>F78-$K15</f>
        <v>92</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97</v>
      </c>
      <c r="E80" s="501">
        <f>D80-$K17</f>
        <v>94</v>
      </c>
      <c r="F80" s="501">
        <f>E80-$K17</f>
        <v>91</v>
      </c>
      <c r="G80" s="501">
        <f>F80-$K17</f>
        <v>88</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97</v>
      </c>
      <c r="E82" s="501">
        <f>D82-$K19</f>
        <v>94</v>
      </c>
      <c r="F82" s="501">
        <f>E82-$K19</f>
        <v>91</v>
      </c>
      <c r="G82" s="501">
        <f>F82-$K19</f>
        <v>88</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99</v>
      </c>
      <c r="E84" s="501">
        <f>D84-$K21</f>
        <v>98</v>
      </c>
      <c r="F84" s="501">
        <f>E84-$K21</f>
        <v>97</v>
      </c>
      <c r="G84" s="501">
        <f>F84-$K21</f>
        <v>96</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99</v>
      </c>
      <c r="E86" s="501">
        <f>D86-$K23</f>
        <v>98</v>
      </c>
      <c r="F86" s="501">
        <f>E86-$K23</f>
        <v>97</v>
      </c>
      <c r="G86" s="501">
        <f>F86-$K23</f>
        <v>96</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3172" t="s">
        <v>3329</v>
      </c>
      <c r="D87" s="3172" t="s">
        <v>3330</v>
      </c>
      <c r="E87" s="3172" t="s">
        <v>3332</v>
      </c>
      <c r="F87" s="3172" t="s">
        <v>3334</v>
      </c>
      <c r="G87" s="3172" t="s">
        <v>3336</v>
      </c>
      <c r="H87" s="511"/>
      <c r="I87" s="511"/>
      <c r="J87" s="511"/>
      <c r="K87" s="511"/>
      <c r="L87" s="537"/>
      <c r="M87" s="538"/>
      <c r="N87" s="2980"/>
      <c r="O87" s="2980"/>
      <c r="P87" s="2990"/>
      <c r="Q87" s="2967"/>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20">C88-$K25</f>
        <v>98</v>
      </c>
      <c r="E88" s="501">
        <f t="shared" si="20"/>
        <v>96</v>
      </c>
      <c r="F88" s="501">
        <f t="shared" si="20"/>
        <v>94</v>
      </c>
      <c r="G88" s="501">
        <f t="shared" si="20"/>
        <v>92</v>
      </c>
      <c r="H88" s="501">
        <f t="shared" si="20"/>
        <v>90</v>
      </c>
      <c r="I88" s="501">
        <f t="shared" si="20"/>
        <v>88</v>
      </c>
      <c r="J88" s="501">
        <f t="shared" si="20"/>
        <v>86</v>
      </c>
      <c r="K88" s="501">
        <f t="shared" si="20"/>
        <v>84</v>
      </c>
      <c r="L88" s="501">
        <f t="shared" si="20"/>
        <v>82</v>
      </c>
      <c r="M88" s="501">
        <f t="shared" si="20"/>
        <v>80</v>
      </c>
      <c r="N88" s="2982"/>
      <c r="O88" s="2982"/>
      <c r="P88" s="2990"/>
      <c r="Q88" s="2967"/>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0"/>
      <c r="O89" s="2980"/>
      <c r="P89" s="2990"/>
      <c r="Q89" s="2967"/>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1">D90-$K27</f>
        <v>100</v>
      </c>
      <c r="F90" s="501">
        <f t="shared" si="21"/>
        <v>100</v>
      </c>
      <c r="G90" s="501">
        <f t="shared" si="21"/>
        <v>100</v>
      </c>
      <c r="H90" s="501">
        <f t="shared" si="21"/>
        <v>100</v>
      </c>
      <c r="I90" s="501">
        <f t="shared" si="21"/>
        <v>100</v>
      </c>
      <c r="J90" s="501">
        <f t="shared" si="21"/>
        <v>100</v>
      </c>
      <c r="K90" s="501">
        <f t="shared" si="21"/>
        <v>100</v>
      </c>
      <c r="L90" s="501">
        <f t="shared" si="21"/>
        <v>100</v>
      </c>
      <c r="M90" s="501">
        <f t="shared" si="21"/>
        <v>100</v>
      </c>
      <c r="N90" s="2982"/>
      <c r="O90" s="2982"/>
      <c r="P90" s="2990"/>
      <c r="Q90" s="2967"/>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2">C92-$K28</f>
        <v>100</v>
      </c>
      <c r="E92" s="501">
        <f t="shared" si="22"/>
        <v>100</v>
      </c>
      <c r="F92" s="501">
        <f t="shared" si="22"/>
        <v>100</v>
      </c>
      <c r="G92" s="501">
        <f t="shared" si="22"/>
        <v>100</v>
      </c>
      <c r="H92" s="501">
        <f t="shared" si="22"/>
        <v>100</v>
      </c>
      <c r="I92" s="501">
        <f t="shared" si="22"/>
        <v>100</v>
      </c>
      <c r="J92" s="501">
        <f t="shared" si="22"/>
        <v>100</v>
      </c>
      <c r="K92" s="501">
        <f t="shared" si="22"/>
        <v>100</v>
      </c>
      <c r="L92" s="501">
        <f t="shared" si="22"/>
        <v>100</v>
      </c>
      <c r="M92" s="501">
        <f t="shared" si="22"/>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4"/>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3174" t="s">
        <v>3339</v>
      </c>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3">C102-$K33</f>
        <v>98</v>
      </c>
      <c r="E102" s="501">
        <f t="shared" si="23"/>
        <v>96</v>
      </c>
      <c r="F102" s="501">
        <f t="shared" si="23"/>
        <v>94</v>
      </c>
      <c r="G102" s="501">
        <f t="shared" si="23"/>
        <v>92</v>
      </c>
      <c r="H102" s="501">
        <f t="shared" si="23"/>
        <v>90</v>
      </c>
      <c r="I102" s="501">
        <f t="shared" si="23"/>
        <v>88</v>
      </c>
      <c r="J102" s="501">
        <f t="shared" si="23"/>
        <v>86</v>
      </c>
      <c r="K102" s="501">
        <f t="shared" si="23"/>
        <v>84</v>
      </c>
      <c r="L102" s="501">
        <f t="shared" si="23"/>
        <v>82</v>
      </c>
      <c r="M102" s="502">
        <f t="shared" si="23"/>
        <v>80</v>
      </c>
      <c r="N102" s="2982"/>
      <c r="O102" s="2982"/>
      <c r="P102" s="2990"/>
      <c r="Q102" s="2967"/>
      <c r="R102" s="2953"/>
      <c r="S102" s="2953"/>
      <c r="T102" s="2953"/>
      <c r="U102" s="2953"/>
      <c r="V102" s="2953"/>
      <c r="W102" s="2953"/>
      <c r="X102" s="2953"/>
      <c r="Y102" s="2953"/>
      <c r="Z102" s="2953"/>
      <c r="AA102" s="2953"/>
      <c r="AB102" s="2953"/>
      <c r="AC102" s="2953"/>
    </row>
    <row r="103" spans="1:29" ht="29.25" thickTop="1">
      <c r="A103" s="491"/>
      <c r="B103" s="495" t="s">
        <v>2434</v>
      </c>
      <c r="C103" s="535" t="str">
        <f>C104&amp;"(含)"&amp;"-"&amp;D104</f>
        <v>0(含)-5001</v>
      </c>
      <c r="D103" s="535" t="str">
        <f t="shared" ref="D103:L103" si="24">D104&amp;"(含)"&amp;"-"&amp;E104</f>
        <v>5001(含)-10000</v>
      </c>
      <c r="E103" s="535" t="str">
        <f t="shared" si="24"/>
        <v>10000(含)-150000</v>
      </c>
      <c r="F103" s="535" t="str">
        <f t="shared" si="24"/>
        <v>150000(含)-</v>
      </c>
      <c r="G103" s="535" t="str">
        <f t="shared" si="24"/>
        <v>(含)-</v>
      </c>
      <c r="H103" s="535" t="str">
        <f t="shared" si="24"/>
        <v>(含)-</v>
      </c>
      <c r="I103" s="535" t="str">
        <f t="shared" si="24"/>
        <v>(含)-</v>
      </c>
      <c r="J103" s="535" t="str">
        <f t="shared" si="24"/>
        <v>(含)-</v>
      </c>
      <c r="K103" s="535" t="str">
        <f t="shared" si="24"/>
        <v>(含)-</v>
      </c>
      <c r="L103" s="535" t="str">
        <f t="shared" si="24"/>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v>0</v>
      </c>
      <c r="D104" s="552">
        <v>5001</v>
      </c>
      <c r="E104" s="552">
        <v>10000</v>
      </c>
      <c r="F104" s="552">
        <v>150000</v>
      </c>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v>100</v>
      </c>
      <c r="D105" s="493">
        <v>99</v>
      </c>
      <c r="E105" s="493">
        <v>98</v>
      </c>
      <c r="F105" s="493">
        <v>97</v>
      </c>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3172" t="s">
        <v>3303</v>
      </c>
      <c r="D106" s="3172" t="s">
        <v>3304</v>
      </c>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3172" t="s">
        <v>3306</v>
      </c>
      <c r="D108" s="3172" t="s">
        <v>3307</v>
      </c>
      <c r="E108" s="3172" t="s">
        <v>3308</v>
      </c>
      <c r="F108" s="3173" t="s">
        <v>3309</v>
      </c>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6">C109-$K36</f>
        <v>100</v>
      </c>
      <c r="E109" s="501">
        <f t="shared" si="26"/>
        <v>100</v>
      </c>
      <c r="F109" s="501">
        <f t="shared" si="26"/>
        <v>100</v>
      </c>
      <c r="G109" s="501">
        <f t="shared" si="26"/>
        <v>100</v>
      </c>
      <c r="H109" s="501">
        <f t="shared" si="26"/>
        <v>100</v>
      </c>
      <c r="I109" s="501">
        <f t="shared" si="26"/>
        <v>100</v>
      </c>
      <c r="J109" s="501">
        <f t="shared" si="26"/>
        <v>100</v>
      </c>
      <c r="K109" s="501">
        <f t="shared" si="26"/>
        <v>100</v>
      </c>
      <c r="L109" s="501">
        <f t="shared" si="26"/>
        <v>100</v>
      </c>
      <c r="M109" s="502">
        <f t="shared" si="26"/>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102</v>
      </c>
      <c r="E112" s="501">
        <f t="shared" ref="E112:M112" si="27">D112+$K37</f>
        <v>104</v>
      </c>
      <c r="F112" s="501">
        <f t="shared" si="27"/>
        <v>106</v>
      </c>
      <c r="G112" s="501">
        <f t="shared" si="27"/>
        <v>108</v>
      </c>
      <c r="H112" s="501">
        <f t="shared" si="27"/>
        <v>110</v>
      </c>
      <c r="I112" s="501">
        <f t="shared" si="27"/>
        <v>112</v>
      </c>
      <c r="J112" s="501">
        <f t="shared" si="27"/>
        <v>114</v>
      </c>
      <c r="K112" s="501">
        <f t="shared" si="27"/>
        <v>116</v>
      </c>
      <c r="L112" s="501">
        <f t="shared" si="27"/>
        <v>118</v>
      </c>
      <c r="M112" s="501">
        <f t="shared" si="27"/>
        <v>120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9">C116-$K39</f>
        <v>100</v>
      </c>
      <c r="E116" s="501">
        <f t="shared" si="29"/>
        <v>100</v>
      </c>
      <c r="F116" s="501">
        <f t="shared" si="29"/>
        <v>100</v>
      </c>
      <c r="G116" s="501">
        <f t="shared" si="29"/>
        <v>100</v>
      </c>
      <c r="H116" s="501">
        <f t="shared" si="29"/>
        <v>100</v>
      </c>
      <c r="I116" s="501">
        <f t="shared" si="29"/>
        <v>100</v>
      </c>
      <c r="J116" s="501">
        <f t="shared" si="29"/>
        <v>100</v>
      </c>
      <c r="K116" s="501">
        <f t="shared" si="29"/>
        <v>100</v>
      </c>
      <c r="L116" s="501">
        <f t="shared" si="29"/>
        <v>100</v>
      </c>
      <c r="M116" s="502">
        <f t="shared" si="29"/>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3172" t="s">
        <v>3310</v>
      </c>
      <c r="D117" s="3172" t="s">
        <v>3311</v>
      </c>
      <c r="E117" s="3172" t="s">
        <v>3312</v>
      </c>
      <c r="F117" s="3172" t="s">
        <v>3313</v>
      </c>
      <c r="G117" s="3172" t="s">
        <v>3314</v>
      </c>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4"/>
      <c r="M119" s="2155"/>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30">D120-$K41</f>
        <v>100</v>
      </c>
      <c r="F120" s="501">
        <f t="shared" si="30"/>
        <v>100</v>
      </c>
      <c r="G120" s="501">
        <f t="shared" si="30"/>
        <v>100</v>
      </c>
      <c r="H120" s="501">
        <f t="shared" si="30"/>
        <v>100</v>
      </c>
      <c r="I120" s="501">
        <f t="shared" si="30"/>
        <v>100</v>
      </c>
      <c r="J120" s="501">
        <f t="shared" si="30"/>
        <v>100</v>
      </c>
      <c r="K120" s="501">
        <f t="shared" si="30"/>
        <v>100</v>
      </c>
      <c r="L120" s="501">
        <f t="shared" si="30"/>
        <v>100</v>
      </c>
      <c r="M120" s="501">
        <f t="shared" si="30"/>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3172" t="s">
        <v>3306</v>
      </c>
      <c r="D123" s="3172" t="s">
        <v>3307</v>
      </c>
      <c r="E123" s="3172" t="s">
        <v>3308</v>
      </c>
      <c r="F123" s="3173" t="s">
        <v>3309</v>
      </c>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4"/>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29" t="s">
        <v>2824</v>
      </c>
      <c r="D1" s="3430"/>
      <c r="E1" s="3430"/>
      <c r="F1" s="3430"/>
      <c r="G1" s="3430"/>
      <c r="H1" s="3430"/>
      <c r="I1" s="3430"/>
      <c r="J1" s="3430"/>
      <c r="K1" s="3430"/>
      <c r="L1" s="3430"/>
      <c r="M1" s="3430"/>
      <c r="N1" s="3430"/>
      <c r="O1" s="3430"/>
      <c r="P1" s="3430"/>
      <c r="Q1" s="3430"/>
      <c r="R1" s="3430"/>
      <c r="S1" s="3431"/>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2833</v>
      </c>
      <c r="B17" s="2365"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#REF!</v>
      </c>
      <c r="C20" s="164"/>
      <c r="D20" s="2367"/>
      <c r="E20" s="1525"/>
      <c r="F20" s="1114" t="e">
        <f ca="1">SUMIF(INDIRECT("'"&amp;H20&amp;"'"&amp;"!A:A"),"承租人权益价值",INDIRECT("'"&amp;H20&amp;"'"&amp;"!c:c"))</f>
        <v>#REF!</v>
      </c>
      <c r="G20" s="1114" t="s">
        <v>2837</v>
      </c>
      <c r="H20" s="2368"/>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26" t="s">
        <v>33</v>
      </c>
      <c r="D22" s="3427"/>
      <c r="E22" s="3427"/>
      <c r="F22" s="3427"/>
      <c r="G22" s="3427"/>
      <c r="H22" s="3427"/>
      <c r="I22" s="3427"/>
      <c r="J22" s="3427"/>
      <c r="K22" s="3427"/>
      <c r="L22" s="3427"/>
      <c r="M22" s="3427"/>
      <c r="N22" s="3427"/>
      <c r="O22" s="3427"/>
      <c r="P22" s="3427"/>
      <c r="Q22" s="3428"/>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168"/>
  <sheetViews>
    <sheetView topLeftCell="A4" workbookViewId="0">
      <selection activeCell="G307" sqref="G307"/>
    </sheetView>
  </sheetViews>
  <sheetFormatPr defaultRowHeight="13.5"/>
  <sheetData>
    <row r="168" spans="18:18">
      <c r="R168">
        <f>25000/3707</f>
        <v>6.7439978419206907</v>
      </c>
    </row>
  </sheetData>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topLeftCell="A10" zoomScale="80" zoomScaleNormal="70" zoomScaleSheetLayoutView="80" workbookViewId="0">
      <selection activeCell="C57" sqref="C5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0" s="206" customFormat="1" ht="20.25">
      <c r="A1" s="202" t="s">
        <v>2147</v>
      </c>
      <c r="B1" s="1654" t="s">
        <v>27</v>
      </c>
      <c r="C1" s="204"/>
      <c r="D1" s="204"/>
      <c r="E1" s="204"/>
      <c r="F1" s="204"/>
      <c r="G1" s="1288">
        <f>MATCH(B1,'数据-取费表'!A6:A16,0)+5</f>
        <v>6</v>
      </c>
    </row>
    <row r="2" spans="1:10" s="206" customFormat="1" ht="18" customHeight="1">
      <c r="A2" s="207" t="s">
        <v>2148</v>
      </c>
      <c r="B2" s="208">
        <f ca="1">IF(D2="——",C52,C52-E2)</f>
        <v>42216</v>
      </c>
      <c r="C2" s="205" t="s">
        <v>2149</v>
      </c>
      <c r="D2" s="2039" t="s">
        <v>70</v>
      </c>
      <c r="E2" s="1331" t="e">
        <f ca="1">SUMIF(INDIRECT("'"&amp;G2&amp;"'"&amp;"!A:A"),"承租人权益价值",INDIRECT("'"&amp;G2&amp;"'"&amp;"!c:c"))</f>
        <v>#REF!</v>
      </c>
      <c r="F2" s="2040" t="s">
        <v>2149</v>
      </c>
      <c r="G2" s="2041"/>
    </row>
    <row r="3" spans="1:10" s="206" customFormat="1" ht="18" customHeight="1" thickBot="1">
      <c r="A3" s="209" t="s">
        <v>2150</v>
      </c>
      <c r="B3" s="210">
        <f ca="1">ROUND(B2*10000/(IF(B1="",'数据-汇总表'!E3,INDIRECT("'数据-取费表'!k"&amp;$G$1))),0)</f>
        <v>52493</v>
      </c>
      <c r="C3" s="205" t="s">
        <v>2151</v>
      </c>
      <c r="D3" s="205"/>
      <c r="E3" s="205"/>
      <c r="F3" s="205"/>
      <c r="G3" s="205"/>
    </row>
    <row r="4" spans="1:10" s="214" customFormat="1" ht="15.75">
      <c r="A4" s="211" t="s">
        <v>2152</v>
      </c>
      <c r="B4" s="212"/>
      <c r="C4" s="212"/>
      <c r="D4" s="212"/>
      <c r="E4" s="212"/>
      <c r="F4" s="212"/>
      <c r="G4" s="213"/>
    </row>
    <row r="5" spans="1:10" s="220" customFormat="1" ht="13.5" customHeight="1">
      <c r="A5" s="261" t="s">
        <v>2153</v>
      </c>
      <c r="B5" s="216" t="s">
        <v>2154</v>
      </c>
      <c r="C5" s="217">
        <f ca="1">C6+C7+C8</f>
        <v>27847</v>
      </c>
      <c r="D5" s="217" t="s">
        <v>2155</v>
      </c>
      <c r="E5" s="218" t="s">
        <v>2156</v>
      </c>
      <c r="F5" s="218" t="s">
        <v>2157</v>
      </c>
      <c r="G5" s="219"/>
    </row>
    <row r="6" spans="1:10" s="220" customFormat="1" ht="13.5" customHeight="1">
      <c r="A6" s="886" t="s">
        <v>2158</v>
      </c>
      <c r="B6" s="221" t="s">
        <v>2159</v>
      </c>
      <c r="C6" s="222">
        <f>基准地价修正!B2+[2]基准地价修正!$B$2</f>
        <v>26867</v>
      </c>
      <c r="D6" s="223"/>
      <c r="E6" s="224"/>
      <c r="F6" s="224"/>
      <c r="G6" s="225"/>
    </row>
    <row r="7" spans="1:10" s="220" customFormat="1" ht="13.5" customHeight="1">
      <c r="A7" s="886" t="s">
        <v>2160</v>
      </c>
      <c r="B7" s="221" t="s">
        <v>2161</v>
      </c>
      <c r="C7" s="226">
        <f>ROUND(C6*F7,0)</f>
        <v>819</v>
      </c>
      <c r="D7" s="226"/>
      <c r="E7" s="224"/>
      <c r="F7" s="227">
        <f>IF(项目基本情况!B8="出让",0,'数据-取费表'!B48+'数据-取费表'!B49)</f>
        <v>3.0499999999999999E-2</v>
      </c>
      <c r="G7" s="225"/>
    </row>
    <row r="8" spans="1:10" s="229" customFormat="1">
      <c r="A8" s="886" t="s">
        <v>2162</v>
      </c>
      <c r="B8" s="221" t="s">
        <v>2163</v>
      </c>
      <c r="C8" s="226">
        <f ca="1">IF(G8="已包含在土地购买价格中","0",IF(B1="",'数据-取费表'!B29,IF(G9="全部缴纳",C9+C10,H9)))</f>
        <v>161</v>
      </c>
      <c r="D8" s="228"/>
      <c r="E8" s="226"/>
      <c r="F8" s="227"/>
      <c r="G8" s="2042" t="s">
        <v>3147</v>
      </c>
      <c r="J8" s="229">
        <f ca="1">C6/D10</f>
        <v>3.3407151445670324</v>
      </c>
    </row>
    <row r="9" spans="1:10"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t="s">
        <v>3148</v>
      </c>
      <c r="H9" s="1299"/>
      <c r="I9" s="2044" t="s">
        <v>2165</v>
      </c>
    </row>
    <row r="10" spans="1:10" s="220" customFormat="1" ht="13.5" customHeight="1">
      <c r="A10" s="887" t="s">
        <v>801</v>
      </c>
      <c r="B10" s="230" t="s">
        <v>2166</v>
      </c>
      <c r="C10" s="231">
        <f ca="1">ROUND(D10*E10/10000,0)</f>
        <v>161</v>
      </c>
      <c r="D10" s="954">
        <f ca="1">IF(B1="",'数据-汇总表'!E6,IF(INDIRECT("'数据-取费表'!c"&amp;$G$1)="住宅",INDIRECT("'数据-取费表'!s"&amp;$G$1),INDIRECT("'数据-取费表'!k"&amp;$G$1)+INDIRECT("'数据-取费表'!s"&amp;$G$1)))</f>
        <v>8042.29</v>
      </c>
      <c r="E10" s="231">
        <f>'数据-取费表'!B28</f>
        <v>200</v>
      </c>
      <c r="F10" s="227"/>
      <c r="G10" s="232"/>
    </row>
    <row r="11" spans="1:10" s="220" customFormat="1" ht="13.5" hidden="1" customHeight="1">
      <c r="A11" s="233" t="s">
        <v>7</v>
      </c>
      <c r="B11" s="221" t="s">
        <v>2167</v>
      </c>
      <c r="C11" s="217"/>
      <c r="D11" s="956"/>
      <c r="E11" s="224"/>
      <c r="F11" s="224"/>
      <c r="G11" s="225"/>
    </row>
    <row r="12" spans="1:10" s="220" customFormat="1" ht="13.5" hidden="1" customHeight="1">
      <c r="A12" s="233" t="s">
        <v>8</v>
      </c>
      <c r="B12" s="221" t="s">
        <v>2168</v>
      </c>
      <c r="C12" s="217">
        <v>0</v>
      </c>
      <c r="D12" s="956"/>
      <c r="E12" s="234"/>
      <c r="F12" s="227">
        <v>3.0499999999999999E-2</v>
      </c>
      <c r="G12" s="225"/>
    </row>
    <row r="13" spans="1:10" s="220" customFormat="1" ht="13.5" hidden="1" customHeight="1">
      <c r="A13" s="233" t="s">
        <v>9</v>
      </c>
      <c r="B13" s="221" t="s">
        <v>2169</v>
      </c>
      <c r="C13" s="217"/>
      <c r="D13" s="956"/>
      <c r="E13" s="224"/>
      <c r="F13" s="224"/>
      <c r="G13" s="225"/>
    </row>
    <row r="14" spans="1:10" s="220" customFormat="1" ht="13.5" hidden="1" customHeight="1">
      <c r="A14" s="233" t="s">
        <v>10</v>
      </c>
      <c r="B14" s="221" t="s">
        <v>2170</v>
      </c>
      <c r="C14" s="217"/>
      <c r="D14" s="956"/>
      <c r="E14" s="224"/>
      <c r="F14" s="224"/>
      <c r="G14" s="225" t="s">
        <v>2171</v>
      </c>
    </row>
    <row r="15" spans="1:10" s="220" customFormat="1" ht="13.5" hidden="1" customHeight="1">
      <c r="A15" s="233" t="s">
        <v>11</v>
      </c>
      <c r="B15" s="221" t="s">
        <v>2172</v>
      </c>
      <c r="C15" s="226"/>
      <c r="D15" s="956"/>
      <c r="E15" s="224"/>
      <c r="F15" s="224"/>
      <c r="G15" s="225" t="s">
        <v>2173</v>
      </c>
    </row>
    <row r="16" spans="1:10"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8042.29</v>
      </c>
      <c r="E19" s="217">
        <f>'数据-取费表'!B31</f>
        <v>200</v>
      </c>
      <c r="F19" s="237"/>
      <c r="G19" s="2042" t="s">
        <v>3149</v>
      </c>
    </row>
    <row r="20" spans="1:7" s="220" customFormat="1" ht="13.5" customHeight="1">
      <c r="A20" s="261" t="s">
        <v>2179</v>
      </c>
      <c r="B20" s="216" t="s">
        <v>2180</v>
      </c>
      <c r="C20" s="238">
        <f ca="1">ROUND((C5+C19)*F20,0)</f>
        <v>557</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2499</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2475</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24</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4261</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4261</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38106</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3943</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3619</v>
      </c>
      <c r="D34" s="223"/>
      <c r="E34" s="226"/>
      <c r="F34" s="263">
        <f ca="1">IF('数据-取费表'!B24=0,1,IF(B1="",'数据-取费表'!N16,INDIRECT("'数据-取费表'!n"&amp;$G$1)))</f>
        <v>1</v>
      </c>
      <c r="G34" s="225" t="s">
        <v>2212</v>
      </c>
    </row>
    <row r="35" spans="1:7" ht="13.5" customHeight="1">
      <c r="A35" s="888" t="s">
        <v>796</v>
      </c>
      <c r="B35" s="221" t="s">
        <v>2213</v>
      </c>
      <c r="C35" s="226">
        <f ca="1">ROUND(C34*F35,0)</f>
        <v>109</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161</v>
      </c>
      <c r="D37" s="223">
        <f ca="1">D19</f>
        <v>8042.29</v>
      </c>
      <c r="E37" s="255">
        <f>'数据-取费表'!B35</f>
        <v>200</v>
      </c>
      <c r="F37" s="265"/>
      <c r="G37" s="267" t="s">
        <v>2218</v>
      </c>
    </row>
    <row r="38" spans="1:7" ht="13.5" customHeight="1">
      <c r="A38" s="888" t="s">
        <v>799</v>
      </c>
      <c r="B38" s="221" t="s">
        <v>2219</v>
      </c>
      <c r="C38" s="226">
        <f ca="1">ROUND(C34*F38,0)</f>
        <v>54</v>
      </c>
      <c r="D38" s="226"/>
      <c r="E38" s="226"/>
      <c r="F38" s="265">
        <f>'数据-取费表'!B36</f>
        <v>1.4999999999999999E-2</v>
      </c>
      <c r="G38" s="225" t="s">
        <v>2214</v>
      </c>
    </row>
    <row r="39" spans="1:7" s="220" customFormat="1" ht="13.5" customHeight="1">
      <c r="A39" s="261" t="s">
        <v>2220</v>
      </c>
      <c r="B39" s="216" t="s">
        <v>2221</v>
      </c>
      <c r="C39" s="238">
        <f ca="1">ROUND(C33*F20,0)</f>
        <v>79</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175</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172</v>
      </c>
      <c r="D42" s="244"/>
      <c r="E42" s="244"/>
      <c r="F42" s="245"/>
      <c r="G42" s="3432" t="s">
        <v>2230</v>
      </c>
    </row>
    <row r="43" spans="1:7" ht="13.5" customHeight="1">
      <c r="A43" s="888" t="s">
        <v>792</v>
      </c>
      <c r="B43" s="221" t="s">
        <v>2231</v>
      </c>
      <c r="C43" s="244">
        <f ca="1">ROUND(IF('数据-取费表'!B22&lt;=1,C39*F22*'数据-取费表'!B21/2,C39*(POWER((1+F22),'数据-取费表'!B21/2)-1)),0)</f>
        <v>3</v>
      </c>
      <c r="D43" s="244"/>
      <c r="E43" s="244"/>
      <c r="F43" s="245"/>
      <c r="G43" s="3433"/>
    </row>
    <row r="44" spans="1:7" ht="13.5" customHeight="1">
      <c r="A44" s="888" t="s">
        <v>793</v>
      </c>
      <c r="B44" s="221" t="s">
        <v>2232</v>
      </c>
      <c r="C44" s="244">
        <f ca="1">ROUND(IF('数据-取费表'!B22&lt;=1,C40*F22*'数据-取费表'!B21/2,C40*(POWER((1+F22),'数据-取费表'!B21/2)-1)),4)</f>
        <v>8.9999999999999998E-4</v>
      </c>
      <c r="D44" s="244"/>
      <c r="E44" s="244"/>
      <c r="F44" s="245"/>
      <c r="G44" s="3434"/>
    </row>
    <row r="45" spans="1:7" s="220" customFormat="1" ht="13.5" customHeight="1">
      <c r="A45" s="261" t="s">
        <v>2233</v>
      </c>
      <c r="B45" s="250" t="s">
        <v>2199</v>
      </c>
      <c r="C45" s="251">
        <f ca="1">C46</f>
        <v>603</v>
      </c>
      <c r="D45" s="241">
        <f ca="1">C47</f>
        <v>3.0000000000000001E-3</v>
      </c>
      <c r="E45" s="242" t="s">
        <v>2225</v>
      </c>
      <c r="F45" s="2537">
        <f ca="1">F27</f>
        <v>0.15</v>
      </c>
      <c r="G45" s="253" t="s">
        <v>2234</v>
      </c>
    </row>
    <row r="46" spans="1:7" s="220" customFormat="1" ht="13.5" customHeight="1">
      <c r="A46" s="888" t="s">
        <v>791</v>
      </c>
      <c r="B46" s="254" t="s">
        <v>2235</v>
      </c>
      <c r="C46" s="255">
        <f ca="1">ROUND((C33+C39)*F27,0)</f>
        <v>603</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5202</v>
      </c>
      <c r="D49" s="238"/>
      <c r="E49" s="238"/>
      <c r="F49" s="270"/>
      <c r="G49" s="240" t="s">
        <v>2240</v>
      </c>
    </row>
    <row r="50" spans="1:7" s="264" customFormat="1" ht="24">
      <c r="A50" s="261" t="s">
        <v>2241</v>
      </c>
      <c r="B50" s="216" t="s">
        <v>2242</v>
      </c>
      <c r="C50" s="238"/>
      <c r="D50" s="238"/>
      <c r="E50" s="238"/>
      <c r="F50" s="270">
        <f>IF('数据-取费表'!B24=0,'数据-取费表'!N16,1)</f>
        <v>0.79</v>
      </c>
      <c r="G50" s="253" t="s">
        <v>2243</v>
      </c>
    </row>
    <row r="51" spans="1:7" ht="16.5" customHeight="1">
      <c r="A51" s="261" t="s">
        <v>2244</v>
      </c>
      <c r="B51" s="216" t="s">
        <v>2245</v>
      </c>
      <c r="C51" s="238">
        <f ca="1">ROUND(C49*F50,0)</f>
        <v>4110</v>
      </c>
      <c r="D51" s="238"/>
      <c r="E51" s="238"/>
      <c r="F51" s="270"/>
      <c r="G51" s="240" t="s">
        <v>2246</v>
      </c>
    </row>
    <row r="52" spans="1:7" s="214" customFormat="1" ht="16.5" thickBot="1">
      <c r="A52" s="271" t="s">
        <v>2247</v>
      </c>
      <c r="B52" s="272"/>
      <c r="C52" s="273">
        <f ca="1">C31+C51</f>
        <v>42216</v>
      </c>
      <c r="D52" s="272"/>
      <c r="E52" s="272"/>
      <c r="F52" s="272"/>
      <c r="G52" s="274"/>
    </row>
    <row r="55" spans="1:7" ht="15">
      <c r="B55" s="276" t="s">
        <v>2248</v>
      </c>
      <c r="C55" s="277"/>
    </row>
    <row r="56" spans="1:7">
      <c r="B56" s="279" t="s">
        <v>1478</v>
      </c>
      <c r="C56" s="281">
        <f ca="1">1-C57</f>
        <v>0.90300000000000002</v>
      </c>
    </row>
    <row r="57" spans="1:7">
      <c r="B57" s="279" t="s">
        <v>1479</v>
      </c>
      <c r="C57" s="280">
        <f ca="1">ROUND(C51/C52,3)</f>
        <v>9.7000000000000003E-2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4549</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5656</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1608458</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1608458</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1608458</v>
      </c>
      <c r="D10" s="954">
        <f ca="1">IF(B1="",'数据-汇总表'!E6,IF(INDIRECT("'数据-取费表'!c"&amp;$G$1)="住宅",INDIRECT("'数据-取费表'!s"&amp;$G$1),INDIRECT("'数据-取费表'!k"&amp;$G$1)+INDIRECT("'数据-取费表'!s"&amp;$G$1)))</f>
        <v>8042.29</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1608458</v>
      </c>
      <c r="D19" s="958">
        <f ca="1">D9+D10</f>
        <v>8042.29</v>
      </c>
      <c r="E19" s="217">
        <f>'数据-取费表'!B31</f>
        <v>200</v>
      </c>
      <c r="F19" s="237"/>
      <c r="G19" s="2042"/>
    </row>
    <row r="20" spans="1:7" s="220" customFormat="1" ht="13.5" customHeight="1">
      <c r="A20" s="261" t="s">
        <v>2260</v>
      </c>
      <c r="B20" s="216" t="s">
        <v>2261</v>
      </c>
      <c r="C20" s="238">
        <f ca="1">ROUND((C5+C19)*F20,0)</f>
        <v>64338</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288757</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142979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142979</v>
      </c>
      <c r="D24" s="244"/>
      <c r="E24" s="244"/>
      <c r="F24" s="245"/>
      <c r="G24" s="246" t="s">
        <v>2272</v>
      </c>
    </row>
    <row r="25" spans="1:7" s="220" customFormat="1" ht="24">
      <c r="A25" s="888" t="s">
        <v>2162</v>
      </c>
      <c r="B25" s="221" t="s">
        <v>2273</v>
      </c>
      <c r="C25" s="1290">
        <f ca="1">ROUND(IF('数据-取费表'!B22&lt;=1,C20*F22*'数据-取费表'!B22/2,C20*(POWER((1+F22),'数据-取费表'!B22/2)-1)),0)</f>
        <v>2799</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492188</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ROUND((C5+C19+C20)*F27,0)</f>
        <v>492188</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4402036</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39427327</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36190305</v>
      </c>
      <c r="D34" s="223"/>
      <c r="E34" s="226"/>
      <c r="F34" s="263"/>
      <c r="G34" s="225"/>
    </row>
    <row r="35" spans="1:7" ht="13.5" customHeight="1">
      <c r="A35" s="888" t="s">
        <v>796</v>
      </c>
      <c r="B35" s="221" t="s">
        <v>2213</v>
      </c>
      <c r="C35" s="226">
        <f ca="1">ROUND(C34*F35,0)</f>
        <v>1085709</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1608458</v>
      </c>
      <c r="D37" s="223">
        <f ca="1">D19</f>
        <v>8042.29</v>
      </c>
      <c r="E37" s="255">
        <f>'数据-取费表'!B35</f>
        <v>200</v>
      </c>
      <c r="F37" s="265"/>
      <c r="G37" s="267"/>
    </row>
    <row r="38" spans="1:7" ht="13.5" customHeight="1">
      <c r="A38" s="888" t="s">
        <v>799</v>
      </c>
      <c r="B38" s="221" t="s">
        <v>2219</v>
      </c>
      <c r="C38" s="226">
        <f ca="1">ROUND(C34*F38,0)</f>
        <v>542855</v>
      </c>
      <c r="D38" s="226"/>
      <c r="E38" s="226"/>
      <c r="F38" s="265">
        <f>'数据-取费表'!B36</f>
        <v>1.4999999999999999E-2</v>
      </c>
      <c r="G38" s="225" t="s">
        <v>2214</v>
      </c>
    </row>
    <row r="39" spans="1:7" s="220" customFormat="1" ht="13.5" customHeight="1">
      <c r="A39" s="261" t="s">
        <v>2220</v>
      </c>
      <c r="B39" s="216" t="s">
        <v>2221</v>
      </c>
      <c r="C39" s="238">
        <f ca="1">ROUND(C33*F20,0)</f>
        <v>788547</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1749391</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1715089</v>
      </c>
      <c r="D42" s="244"/>
      <c r="E42" s="244"/>
      <c r="F42" s="245"/>
      <c r="G42" s="3432" t="s">
        <v>2277</v>
      </c>
    </row>
    <row r="43" spans="1:7" ht="13.5" customHeight="1">
      <c r="A43" s="888" t="s">
        <v>792</v>
      </c>
      <c r="B43" s="221" t="s">
        <v>2231</v>
      </c>
      <c r="C43" s="244">
        <f ca="1">ROUND(IF('数据-取费表'!B22&lt;=1,C39*F22*'数据-取费表'!B20/2,C39*(POWER((1+F22),'数据-取费表'!B20/2)-1)),0)</f>
        <v>34302</v>
      </c>
      <c r="D43" s="244"/>
      <c r="E43" s="244"/>
      <c r="F43" s="245"/>
      <c r="G43" s="3433"/>
    </row>
    <row r="44" spans="1:7" ht="13.5" customHeight="1">
      <c r="A44" s="888" t="s">
        <v>793</v>
      </c>
      <c r="B44" s="221" t="s">
        <v>2232</v>
      </c>
      <c r="C44" s="244">
        <f ca="1">ROUND(IF('数据-取费表'!B22&lt;=1,C40*F22*'数据-取费表'!B20/2,C40*(POWER((1+F22),'数据-取费表'!B20/2)-1)),4)</f>
        <v>8.9999999999999998E-4</v>
      </c>
      <c r="D44" s="244"/>
      <c r="E44" s="244"/>
      <c r="F44" s="245"/>
      <c r="G44" s="3434"/>
    </row>
    <row r="45" spans="1:7" s="220" customFormat="1" ht="13.5" customHeight="1">
      <c r="A45" s="261" t="s">
        <v>2233</v>
      </c>
      <c r="B45" s="250" t="s">
        <v>2199</v>
      </c>
      <c r="C45" s="251">
        <f ca="1">C46</f>
        <v>6032381</v>
      </c>
      <c r="D45" s="241">
        <f ca="1">C47</f>
        <v>3.0000000000000001E-3</v>
      </c>
      <c r="E45" s="242" t="s">
        <v>2225</v>
      </c>
      <c r="F45" s="2537">
        <f ca="1">F27</f>
        <v>0.15</v>
      </c>
      <c r="G45" s="253" t="s">
        <v>2234</v>
      </c>
    </row>
    <row r="46" spans="1:7" s="220" customFormat="1" ht="13.5" customHeight="1">
      <c r="A46" s="888" t="s">
        <v>791</v>
      </c>
      <c r="B46" s="254" t="s">
        <v>2235</v>
      </c>
      <c r="C46" s="255">
        <f ca="1">ROUND((C33+C39)*F27,0)</f>
        <v>6032381</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52013054</v>
      </c>
      <c r="D49" s="238"/>
      <c r="E49" s="238"/>
      <c r="F49" s="270"/>
      <c r="G49" s="240" t="s">
        <v>2240</v>
      </c>
    </row>
    <row r="50" spans="1:7" s="264" customFormat="1">
      <c r="A50" s="261" t="s">
        <v>2241</v>
      </c>
      <c r="B50" s="216" t="s">
        <v>2242</v>
      </c>
      <c r="C50" s="238"/>
      <c r="D50" s="238"/>
      <c r="E50" s="238"/>
      <c r="F50" s="270">
        <f>IF('数据-取费表'!B24=0,'数据-取费表'!N16,1)</f>
        <v>0.79</v>
      </c>
      <c r="G50" s="253"/>
    </row>
    <row r="51" spans="1:7" ht="16.5" customHeight="1">
      <c r="A51" s="261" t="s">
        <v>2244</v>
      </c>
      <c r="B51" s="216" t="s">
        <v>2279</v>
      </c>
      <c r="C51" s="238">
        <f ca="1">ROUND(C49*F50,0)</f>
        <v>41090313</v>
      </c>
      <c r="D51" s="238"/>
      <c r="E51" s="238"/>
      <c r="F51" s="270"/>
      <c r="G51" s="240" t="s">
        <v>2246</v>
      </c>
    </row>
    <row r="52" spans="1:7" s="214" customFormat="1" ht="16.5" thickBot="1">
      <c r="A52" s="271" t="s">
        <v>2247</v>
      </c>
      <c r="B52" s="272"/>
      <c r="C52" s="273">
        <f ca="1">C31+C51</f>
        <v>45492349</v>
      </c>
      <c r="D52" s="272"/>
      <c r="E52" s="272"/>
      <c r="F52" s="272"/>
      <c r="G52" s="274"/>
    </row>
    <row r="55" spans="1:7" ht="15">
      <c r="B55" s="276" t="s">
        <v>2248</v>
      </c>
      <c r="C55" s="277"/>
    </row>
    <row r="56" spans="1:7">
      <c r="B56" s="279" t="s">
        <v>1478</v>
      </c>
      <c r="C56" s="281">
        <f ca="1">1-C57</f>
        <v>9.6999999999999975E-2</v>
      </c>
    </row>
    <row r="57" spans="1:7">
      <c r="B57" s="279" t="s">
        <v>1479</v>
      </c>
      <c r="C57" s="280">
        <f ca="1">ROUND(C51/C52,3)</f>
        <v>0.90300000000000002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6"/>
      <c r="F1" s="3036"/>
      <c r="G1" s="2900"/>
      <c r="H1" s="3036"/>
      <c r="I1" s="3036"/>
      <c r="J1" s="3036"/>
      <c r="K1" s="3037">
        <f>MATCH(C1,'数据-取费表'!A6:A16,0)+5</f>
        <v>7</v>
      </c>
    </row>
    <row r="2" spans="1:33" ht="18" customHeight="1">
      <c r="A2" s="207" t="s">
        <v>2148</v>
      </c>
      <c r="B2" s="210">
        <f ca="1">C32</f>
        <v>0</v>
      </c>
      <c r="C2" s="282" t="s">
        <v>2281</v>
      </c>
      <c r="D2" s="282"/>
      <c r="E2" s="3036"/>
      <c r="F2" s="3036"/>
      <c r="G2" s="3036"/>
      <c r="H2" s="3036"/>
      <c r="I2" s="3036"/>
      <c r="J2" s="3036"/>
      <c r="K2" s="3036"/>
    </row>
    <row r="3" spans="1:33" ht="18" customHeight="1" thickBot="1">
      <c r="A3" s="209" t="s">
        <v>2150</v>
      </c>
      <c r="B3" s="210">
        <f ca="1">ROUND(B2*10000/IF(C1="",'数据-汇总表'!E3,INDIRECT("'数据-取费表'!K"&amp;$K$1)),0)</f>
        <v>0</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8042.29</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8042.29</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161</v>
      </c>
      <c r="D20" s="955">
        <f ca="1">IF(C1="",'数据-汇总表'!E6,IF(INDIRECT("'数据-取费表'!c"&amp;$K$1)="住宅",INDIRECT("'数据-取费表'!s"&amp;$K$1),INDIRECT("'数据-取费表'!k"&amp;$K$1)+INDIRECT("'数据-取费表'!s"&amp;$K$1)))</f>
        <v>8042.29</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view="pageBreakPreview" topLeftCell="A46" zoomScale="80" zoomScaleNormal="80" zoomScaleSheetLayoutView="80" workbookViewId="0">
      <selection activeCell="E60" sqref="E60"/>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6572.3</v>
      </c>
      <c r="E1" s="2181"/>
      <c r="F1" s="2181"/>
      <c r="G1" s="2181"/>
      <c r="H1" s="2181"/>
      <c r="I1" s="2181"/>
      <c r="J1" s="2181"/>
      <c r="K1" s="1280"/>
      <c r="L1" s="2182" t="s">
        <v>2627</v>
      </c>
      <c r="M1" s="994">
        <f>SUMPRODUCT((区片价!B5:B9=I2)*(区片价!C3:F3=E2)*(区片价!C5:F9))</f>
        <v>28130</v>
      </c>
      <c r="N1" s="997">
        <f>SUMPRODUCT((因素修正幅度!B5:B9=I2)*(因素修正幅度!C3:F3=E2)*(因素修正幅度!C5:F9))</f>
        <v>7.3999999999999996E-2</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23082</v>
      </c>
      <c r="C2" s="2185" t="s">
        <v>2634</v>
      </c>
      <c r="D2" s="2186" t="s">
        <v>2635</v>
      </c>
      <c r="E2" s="2187" t="s">
        <v>27</v>
      </c>
      <c r="F2" s="2186" t="s">
        <v>2636</v>
      </c>
      <c r="G2" s="2188" t="str">
        <f>IF(E2="商业",项目基本情况!B37,IF(E2="办公",项目基本情况!C37,IF(E2="住宅",项目基本情况!D37,项目基本情况!E37)))</f>
        <v>一级</v>
      </c>
      <c r="H2" s="2186" t="s">
        <v>2637</v>
      </c>
      <c r="I2" s="2188" t="str">
        <f>IF(E2="商业",项目基本情况!B38,IF(E2="办公",项目基本情况!C38,IF(E2="住宅",项目基本情况!D38,项目基本情况!E38)))</f>
        <v>Ⅰ—01</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1.9361999999999999</v>
      </c>
      <c r="T2" s="1374">
        <f>ROUND($C$5*$C$18*$C$19*$C$20*S2*$C$24,0)</f>
        <v>69223</v>
      </c>
      <c r="U2" s="1375"/>
      <c r="V2" s="1374">
        <f>ROUND(T2*U2/10000,0)</f>
        <v>0</v>
      </c>
      <c r="W2" s="1378"/>
      <c r="X2" s="1378"/>
      <c r="Y2" s="1378"/>
      <c r="Z2" s="1378"/>
      <c r="AA2" s="1378"/>
      <c r="AB2" s="1378"/>
      <c r="AC2" s="1379"/>
      <c r="AD2" s="1380"/>
      <c r="AE2" s="1380"/>
      <c r="AF2" s="1380"/>
      <c r="AG2" s="1380"/>
      <c r="AH2" s="1380"/>
      <c r="AI2" s="1380"/>
      <c r="AJ2" s="1381"/>
    </row>
    <row r="3" spans="1:36" ht="25.5">
      <c r="A3" s="209" t="s">
        <v>2639</v>
      </c>
      <c r="B3" s="210">
        <f>ROUND(B2*10000/D1,0)</f>
        <v>35120</v>
      </c>
      <c r="C3" s="2185" t="s">
        <v>2640</v>
      </c>
      <c r="D3" s="2186" t="s">
        <v>2641</v>
      </c>
      <c r="E3" s="2191" t="s">
        <v>3075</v>
      </c>
      <c r="F3" s="2192" t="s">
        <v>3088</v>
      </c>
      <c r="G3" s="855">
        <f>IF(F3="宗地容积率",'数据-汇总表'!I4,IF(F3="估价对象容积率",'数据-汇总表'!I6,'数据-汇总表'!I7))</f>
        <v>2.11</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si="0">ROUND($C$5*$C$18*$C$19*$C$20*S3*$C$24,0)</f>
        <v>50761</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454"/>
      <c r="B4" s="3455"/>
      <c r="C4" s="3455"/>
      <c r="D4" s="3456"/>
      <c r="E4" s="3456"/>
      <c r="F4" s="3456"/>
      <c r="G4" s="3456"/>
      <c r="H4" s="3456"/>
      <c r="I4" s="3456"/>
      <c r="J4" s="3457"/>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si="0"/>
        <v>41451</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f>ROUND(IF(E2="商业",C6*C7+C16,(IF(E2="住宅",C6*C12+C16,C6+C16))),0)</f>
        <v>28130</v>
      </c>
      <c r="D5" s="1523">
        <f>ROUND(C6+C16,0)</f>
        <v>28130</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si="0"/>
        <v>34401</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28130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si="0"/>
        <v>30092</v>
      </c>
      <c r="U6" s="1375"/>
      <c r="V6" s="1374">
        <f t="shared" si="1"/>
        <v>0</v>
      </c>
      <c r="W6" s="1378"/>
      <c r="X6" s="1378"/>
      <c r="Y6" s="1378"/>
      <c r="Z6" s="1378"/>
      <c r="AA6" s="1378"/>
      <c r="AB6" s="1378"/>
      <c r="AC6" s="2199"/>
      <c r="AD6" s="2200"/>
      <c r="AE6" s="2200"/>
      <c r="AF6" s="2200"/>
      <c r="AG6" s="2200"/>
      <c r="AH6" s="2200"/>
      <c r="AI6" s="2200"/>
      <c r="AJ6" s="2201"/>
    </row>
    <row r="7" spans="1:36" ht="24">
      <c r="A7" s="3435" t="str">
        <f>IF(E2="商业",IF(C8="不临58条商业街","",2),"")</f>
        <v/>
      </c>
      <c r="B7" s="2209" t="s">
        <v>2652</v>
      </c>
      <c r="C7" s="858">
        <f>IF(C8="不临58条商业街",1,ROUND(1+(1.6*E8+1.2*E9+0.8*E10+0.4*E11)*C9,4))</f>
        <v>1</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si="0"/>
        <v>27200</v>
      </c>
      <c r="U7" s="1375"/>
      <c r="V7" s="1374">
        <f t="shared" si="1"/>
        <v>0</v>
      </c>
      <c r="W7" s="1542" t="s">
        <v>2655</v>
      </c>
      <c r="X7" s="1376" t="str">
        <f>G2</f>
        <v>一级</v>
      </c>
      <c r="Y7" s="1376" t="s">
        <v>2656</v>
      </c>
      <c r="Z7" s="1377">
        <f>G3</f>
        <v>2.11</v>
      </c>
      <c r="AA7" s="1378"/>
      <c r="AB7" s="1378"/>
      <c r="AC7" s="1379"/>
      <c r="AD7" s="1380"/>
      <c r="AE7" s="1380"/>
      <c r="AF7" s="1380"/>
      <c r="AG7" s="1380"/>
      <c r="AH7" s="1380"/>
      <c r="AI7" s="1380"/>
      <c r="AJ7" s="1381"/>
    </row>
    <row r="8" spans="1:36" ht="25.5">
      <c r="A8" s="3458"/>
      <c r="B8" s="175" t="s">
        <v>2657</v>
      </c>
      <c r="C8" s="2214" t="s">
        <v>3076</v>
      </c>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451" t="s">
        <v>2660</v>
      </c>
      <c r="X8" s="3452"/>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458"/>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453"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58"/>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45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58"/>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453" t="s">
        <v>2684</v>
      </c>
      <c r="X11" s="1386" t="s">
        <v>2685</v>
      </c>
      <c r="Y11" s="1387">
        <f>$G$3</f>
        <v>2.11</v>
      </c>
      <c r="Z11" s="1387">
        <f t="shared" ref="Z11:AJ11" si="3">$G$3</f>
        <v>2.11</v>
      </c>
      <c r="AA11" s="1387">
        <f t="shared" si="3"/>
        <v>2.11</v>
      </c>
      <c r="AB11" s="1387">
        <f t="shared" si="3"/>
        <v>2.11</v>
      </c>
      <c r="AC11" s="1387">
        <f t="shared" si="3"/>
        <v>2.11</v>
      </c>
      <c r="AD11" s="1387">
        <f t="shared" si="3"/>
        <v>2.11</v>
      </c>
      <c r="AE11" s="1387">
        <f t="shared" si="3"/>
        <v>2.11</v>
      </c>
      <c r="AF11" s="1387">
        <f t="shared" si="3"/>
        <v>2.11</v>
      </c>
      <c r="AG11" s="1387">
        <f t="shared" si="3"/>
        <v>2.11</v>
      </c>
      <c r="AH11" s="1387">
        <f t="shared" si="3"/>
        <v>2.11</v>
      </c>
      <c r="AI11" s="1387">
        <f t="shared" si="3"/>
        <v>2.11</v>
      </c>
      <c r="AJ11" s="1387">
        <f t="shared" si="3"/>
        <v>2.11</v>
      </c>
    </row>
    <row r="12" spans="1:36" ht="25.5" thickBot="1">
      <c r="A12" s="3435"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453"/>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59"/>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si="0"/>
        <v>0</v>
      </c>
      <c r="U13" s="1375"/>
      <c r="V13" s="1374">
        <f t="shared" si="1"/>
        <v>0</v>
      </c>
      <c r="W13" s="3453"/>
      <c r="X13" s="1388"/>
      <c r="Y13" s="1385">
        <f>(-0.163*(Y12^2)-0.59*Y12+7617)*(10^(-4))/Y11</f>
        <v>0.36099526066350718</v>
      </c>
      <c r="Z13" s="1385">
        <f t="shared" ref="Z13:AJ13" si="5">(-0.163*(Z12^2)-0.59*Z12+7617)*(10^(-4))/Z11</f>
        <v>0.36099526066350718</v>
      </c>
      <c r="AA13" s="1385">
        <f t="shared" si="5"/>
        <v>0.36099526066350718</v>
      </c>
      <c r="AB13" s="1385">
        <f t="shared" si="5"/>
        <v>0.36099526066350718</v>
      </c>
      <c r="AC13" s="1385">
        <f t="shared" si="5"/>
        <v>0.36099526066350718</v>
      </c>
      <c r="AD13" s="1385">
        <f t="shared" si="5"/>
        <v>0.36099526066350718</v>
      </c>
      <c r="AE13" s="1385">
        <f t="shared" si="5"/>
        <v>0.36099526066350718</v>
      </c>
      <c r="AF13" s="1385">
        <f t="shared" si="5"/>
        <v>0.36099526066350718</v>
      </c>
      <c r="AG13" s="1385">
        <f t="shared" si="5"/>
        <v>0.36099526066350718</v>
      </c>
      <c r="AH13" s="1385">
        <f t="shared" si="5"/>
        <v>0.36099526066350718</v>
      </c>
      <c r="AI13" s="1385">
        <f t="shared" si="5"/>
        <v>0.36099526066350718</v>
      </c>
      <c r="AJ13" s="1385">
        <f t="shared" si="5"/>
        <v>0.36099526066350718</v>
      </c>
    </row>
    <row r="14" spans="1:36" ht="15">
      <c r="A14" s="3459"/>
      <c r="B14" s="2232"/>
      <c r="C14" s="2233"/>
      <c r="D14" s="2234"/>
      <c r="E14" s="2234"/>
      <c r="F14" s="2235"/>
      <c r="G14" s="2236" t="s">
        <v>2697</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9"/>
      <c r="AE14" s="3019"/>
      <c r="AF14" s="3019"/>
      <c r="AG14" s="3019"/>
      <c r="AH14" s="3019"/>
      <c r="AI14" s="3019"/>
      <c r="AJ14" s="3020"/>
    </row>
    <row r="15" spans="1:36" ht="15.75" thickBot="1">
      <c r="A15" s="3460"/>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9"/>
      <c r="AE15" s="3019"/>
      <c r="AF15" s="3019"/>
      <c r="AG15" s="3019"/>
      <c r="AH15" s="3019"/>
      <c r="AI15" s="3019"/>
      <c r="AJ15" s="3020"/>
    </row>
    <row r="16" spans="1:36" ht="24.6" customHeight="1">
      <c r="A16" s="3435" t="s">
        <v>2703</v>
      </c>
      <c r="B16" s="2209" t="s">
        <v>2704</v>
      </c>
      <c r="C16" s="2371">
        <f>ROUND(IF(F17="与级别开发程度一致",0,(G17-E17)/C17),0)</f>
        <v>0</v>
      </c>
      <c r="D16" s="3448" t="s">
        <v>2708</v>
      </c>
      <c r="E16" s="3449"/>
      <c r="F16" s="3448" t="s">
        <v>2705</v>
      </c>
      <c r="G16" s="3449"/>
      <c r="H16" s="2241" t="s">
        <v>3077</v>
      </c>
      <c r="I16" s="2241" t="s">
        <v>3079</v>
      </c>
      <c r="J16" s="2375" t="s">
        <v>3078</v>
      </c>
      <c r="K16" s="2241" t="s">
        <v>3080</v>
      </c>
      <c r="L16" s="2241" t="s">
        <v>3081</v>
      </c>
      <c r="M16" s="2241" t="s">
        <v>3082</v>
      </c>
      <c r="N16" s="2241" t="s">
        <v>3083</v>
      </c>
      <c r="O16" s="2242" t="s">
        <v>3084</v>
      </c>
      <c r="P16" s="2183"/>
      <c r="Q16" s="1280"/>
      <c r="R16" s="1374">
        <v>15</v>
      </c>
      <c r="S16" s="1375"/>
      <c r="T16" s="1374">
        <f t="shared" si="0"/>
        <v>0</v>
      </c>
      <c r="U16" s="1375"/>
      <c r="V16" s="1374">
        <f t="shared" si="1"/>
        <v>0</v>
      </c>
      <c r="W16" s="1378"/>
      <c r="X16" s="1378"/>
      <c r="Y16" s="1378"/>
      <c r="Z16" s="1378"/>
      <c r="AA16" s="1378"/>
      <c r="AB16" s="1378"/>
      <c r="AC16" s="1379"/>
      <c r="AD16" s="3019"/>
      <c r="AE16" s="3019"/>
      <c r="AF16" s="3019"/>
      <c r="AG16" s="3019"/>
      <c r="AH16" s="3019"/>
      <c r="AI16" s="3019"/>
      <c r="AJ16" s="3020"/>
    </row>
    <row r="17" spans="1:37" ht="26.25" thickBot="1">
      <c r="A17" s="3436"/>
      <c r="B17" s="2382" t="s">
        <v>2707</v>
      </c>
      <c r="C17" s="2383">
        <f>SUMPRODUCT((修正!A2:A5=E2)*(修正!B1:M1=G2)*(修正!B2:M5))</f>
        <v>3.5</v>
      </c>
      <c r="D17" s="193" t="str">
        <f>IF(OR(G2="八级",G2="九级",G2="十级",G2="十一级",G2="十二级"),"五通一平","七通一平")</f>
        <v>七通一平</v>
      </c>
      <c r="E17" s="2372">
        <f>SUMPRODUCT((修正!B1:M1=G2)*(修正!B15:M15))</f>
        <v>375</v>
      </c>
      <c r="F17" s="2373" t="s">
        <v>3085</v>
      </c>
      <c r="G17" s="2374">
        <f>SUM(H17:O17)</f>
        <v>375</v>
      </c>
      <c r="H17" s="2383">
        <f>SUMPRODUCT((七通一平=H16)*(修正!B1:M1=G2)*(修正!B6:M14))</f>
        <v>80</v>
      </c>
      <c r="I17" s="2383">
        <f>SUMPRODUCT((七通一平=I16)*(修正!B1:M1=G2)*(修正!B6:M14))</f>
        <v>70</v>
      </c>
      <c r="J17" s="2384">
        <f>SUMPRODUCT((七通一平=J16)*(修正!B1:M1=G2)*(修正!B6:M14))</f>
        <v>20</v>
      </c>
      <c r="K17" s="2383">
        <f>SUMPRODUCT((七通一平=K16)*(修正!B1:M1=G2)*(修正!B6:M14))</f>
        <v>30</v>
      </c>
      <c r="L17" s="2383">
        <f>SUMPRODUCT((七通一平=L16)*(修正!B1:M1=G2)*(修正!B6:M14))</f>
        <v>45</v>
      </c>
      <c r="M17" s="2383">
        <f>SUMPRODUCT((七通一平=M16)*(修正!B1:M1=G2)*(修正!B6:M14))</f>
        <v>50</v>
      </c>
      <c r="N17" s="2383">
        <f>SUMPRODUCT((七通一平=N16)*(修正!B1:M1=G2)*(修正!B6:M14))</f>
        <v>20</v>
      </c>
      <c r="O17" s="2385">
        <f>SUMPRODUCT((七通一平=O16)*(修正!B1:M1=G2)*(修正!B6:M14))</f>
        <v>60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1</v>
      </c>
      <c r="D18" s="2379"/>
      <c r="E18" s="2380"/>
      <c r="F18" s="2380"/>
      <c r="G18" s="2380"/>
      <c r="H18" s="2380"/>
      <c r="I18" s="2380"/>
      <c r="J18" s="2381"/>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8"/>
    </row>
    <row r="19" spans="1:37" s="2202" customFormat="1" ht="29.25" thickBot="1">
      <c r="A19" s="2246" t="s">
        <v>809</v>
      </c>
      <c r="B19" s="2247" t="s">
        <v>2711</v>
      </c>
      <c r="C19" s="863">
        <f>ROUND(IF(H19="按公示增长率计算",SUMPRODUCT((地价!A3:A35=YEAR(G19)&amp;"-"&amp;ROUNDUP(MONTH(G19)/3,0))*(地价!X2:AB2=E2)*(地价!X3:AB35)),IF(H19="地价指数",M20/M19,(1+I19)^O19)),4)</f>
        <v>1.3588</v>
      </c>
      <c r="D19" s="2251" t="s">
        <v>2712</v>
      </c>
      <c r="E19" s="864">
        <v>41640</v>
      </c>
      <c r="F19" s="2251" t="s">
        <v>2713</v>
      </c>
      <c r="G19" s="865">
        <f>'数据-取费表'!B2</f>
        <v>44396</v>
      </c>
      <c r="H19" s="2252" t="s">
        <v>3086</v>
      </c>
      <c r="I19" s="866" t="str">
        <f>IF(H19="季度增幅（自定义）",SUMIF(N21:N24,E2,O21:O24),"")</f>
        <v/>
      </c>
      <c r="J19" s="2249"/>
      <c r="K19" s="1287"/>
      <c r="L19" s="2253" t="s">
        <v>2714</v>
      </c>
      <c r="M19" s="1496">
        <f>ROUND(SUMIF(地价!B2:F2,E2,地价!B35:F35),0)</f>
        <v>258</v>
      </c>
      <c r="N19" s="2254" t="s">
        <v>2715</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1"/>
      <c r="AH19" s="2340"/>
      <c r="AI19" s="3022"/>
      <c r="AJ19" s="3022"/>
      <c r="AK19" s="2255"/>
    </row>
    <row r="20" spans="1:37" s="2202" customFormat="1" ht="27.75" thickBot="1">
      <c r="A20" s="2256" t="s">
        <v>810</v>
      </c>
      <c r="B20" s="2257" t="s">
        <v>2716</v>
      </c>
      <c r="C20" s="868">
        <f>ROUND(POWER(1+G20,J20-I20)*(POWER(1+G20,I20)-1)/(POWER(1+G20,J20)-1),4)</f>
        <v>0.90249999999999997</v>
      </c>
      <c r="D20" s="2258" t="s">
        <v>2717</v>
      </c>
      <c r="E20" s="1505">
        <f>存贷款利率!E18/100</f>
        <v>4.3499999999999997E-2</v>
      </c>
      <c r="F20" s="2258" t="s">
        <v>2709</v>
      </c>
      <c r="G20" s="873">
        <f>SUMIF(M26:P26,E2,M28:P28)</f>
        <v>5.1999999999999998E-2</v>
      </c>
      <c r="H20" s="2258" t="s">
        <v>2718</v>
      </c>
      <c r="I20" s="874">
        <f>SUMIF('数据-取费表'!C6:C15,E2,'数据-取费表'!F6:F15)/COUNTIF('数据-取费表'!C6:C15,E2)</f>
        <v>35.06</v>
      </c>
      <c r="J20" s="875">
        <f>IF(E2="住宅",70,IF(E2="商业",40,50))</f>
        <v>50</v>
      </c>
      <c r="K20" s="1287"/>
      <c r="L20" s="2259" t="s">
        <v>2719</v>
      </c>
      <c r="M20" s="1497">
        <f>ROUND(SUMPRODUCT((地价!A4:A35=YEAR(G19)&amp;"-"&amp;ROUNDUP(MONTH(G19)/3,0))*(地价!B2:F2=E2)*(地价!B4:F35)),0)</f>
        <v>350</v>
      </c>
      <c r="N20" s="2260" t="s">
        <v>2720</v>
      </c>
      <c r="O20" s="2261" t="s">
        <v>2721</v>
      </c>
      <c r="P20" s="2262" t="s">
        <v>2722</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2" customFormat="1" ht="15">
      <c r="A21" s="2263" t="s">
        <v>811</v>
      </c>
      <c r="B21" s="2264" t="s">
        <v>3087</v>
      </c>
      <c r="C21" s="876">
        <f>IF(B21="容积率修正",IF(G3&lt;=10,D22,J22),C23)</f>
        <v>1.1558999999999999</v>
      </c>
      <c r="D21" s="2265"/>
      <c r="E21" s="2265"/>
      <c r="F21" s="2265"/>
      <c r="G21" s="2265"/>
      <c r="H21" s="2265"/>
      <c r="I21" s="2265"/>
      <c r="J21" s="2266"/>
      <c r="K21" s="1287"/>
      <c r="L21" s="3018"/>
      <c r="M21" s="3018"/>
      <c r="N21" s="2267" t="s">
        <v>2723</v>
      </c>
      <c r="O21" s="1335"/>
      <c r="P21" s="1336">
        <f>SUMPRODUCT((地价!A3:A35=YEAR(G19)&amp;"-"&amp;ROUNDUP(MONTH(G19)/3,0))*(地价!AD2:AH2=N21)*(地价!AD3:AH35))</f>
        <v>1.0699999999999999E-2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2" customFormat="1" ht="14.25">
      <c r="A22" s="2141" t="s">
        <v>2724</v>
      </c>
      <c r="B22" s="2268" t="s">
        <v>2725</v>
      </c>
      <c r="C22" s="1536" t="s">
        <v>2726</v>
      </c>
      <c r="D22" s="1536">
        <f>IF(E22=G22,F22,IF(G3&lt;=10,ROUND(F22+(H22-F22)*(G3-E22)/(G22-E22),4),"——"))</f>
        <v>1.1558999999999999</v>
      </c>
      <c r="E22" s="855">
        <f>ROUNDDOWN(G3,1)</f>
        <v>2.1</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1.1574</v>
      </c>
      <c r="G22" s="855">
        <f>ROUNDUP(G3,1)</f>
        <v>2.2000000000000002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1.1426000000000001</v>
      </c>
      <c r="I22" s="1536" t="s">
        <v>155</v>
      </c>
      <c r="J22" s="877" t="str">
        <f>IF(G3&gt;10,D113,"——")</f>
        <v>——</v>
      </c>
      <c r="K22" s="1287"/>
      <c r="L22" s="3018"/>
      <c r="M22" s="3018"/>
      <c r="N22" s="2267" t="s">
        <v>2727</v>
      </c>
      <c r="O22" s="1335"/>
      <c r="P22" s="1336">
        <f>SUMPRODUCT((地价!A3:A35=YEAR(G19)&amp;"-"&amp;ROUNDUP(MONTH(G19)/3,0))*(地价!AD2:AH2=N22)*(地价!AD3:AH35))</f>
        <v>1.0699999999999999E-2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1" t="s">
        <v>2728</v>
      </c>
      <c r="B23" s="2269" t="s">
        <v>2729</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2730</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2731</v>
      </c>
      <c r="C24" s="863">
        <f>SUMIF(A45:A88,E2,B45:B88)</f>
        <v>1.0364</v>
      </c>
      <c r="D24" s="2248"/>
      <c r="E24" s="2275"/>
      <c r="F24" s="2275"/>
      <c r="G24" s="2275"/>
      <c r="H24" s="2275"/>
      <c r="I24" s="2275"/>
      <c r="J24" s="2276"/>
      <c r="K24" s="1287"/>
      <c r="L24" s="3018"/>
      <c r="M24" s="3018"/>
      <c r="N24" s="2277" t="s">
        <v>2732</v>
      </c>
      <c r="O24" s="1337"/>
      <c r="P24" s="1338">
        <f>SUMPRODUCT((地价!A3:A35=YEAR(G19)&amp;"-"&amp;ROUNDUP(MONTH(G19)/3,0))*(地价!AD2:AH2=N24)*(地价!AD3:AH35))</f>
        <v>1.24E-2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6" t="s">
        <v>813</v>
      </c>
      <c r="B25" s="2278" t="s">
        <v>2733</v>
      </c>
      <c r="C25" s="869"/>
      <c r="D25" s="2212"/>
      <c r="E25" s="2212"/>
      <c r="F25" s="2279"/>
      <c r="G25" s="2212"/>
      <c r="H25" s="2212"/>
      <c r="I25" s="2212"/>
      <c r="J25" s="2213"/>
      <c r="K25" s="1280"/>
      <c r="L25" s="2183"/>
      <c r="M25" s="2183"/>
      <c r="N25" s="3013" t="s">
        <v>2734</v>
      </c>
      <c r="O25" s="3014"/>
      <c r="P25" s="3015">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2735</v>
      </c>
      <c r="C26" s="2542">
        <f>IF(B21="容积率修正",E29+SUM(E33:E39),SUM(V2:V16)+SUM(E33:E39))</f>
        <v>23082</v>
      </c>
      <c r="D26" s="2281"/>
      <c r="E26" s="2237"/>
      <c r="F26" s="2282"/>
      <c r="G26" s="2237"/>
      <c r="H26" s="2237"/>
      <c r="I26" s="2237"/>
      <c r="J26" s="2283"/>
      <c r="K26" s="1280"/>
      <c r="L26" s="3016" t="s">
        <v>2635</v>
      </c>
      <c r="M26" s="2210" t="s">
        <v>2699</v>
      </c>
      <c r="N26" s="2210" t="s">
        <v>2700</v>
      </c>
      <c r="O26" s="2210" t="s">
        <v>2701</v>
      </c>
      <c r="P26" s="3017"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2736</v>
      </c>
      <c r="C27" s="870">
        <f>E30+SUM(I33:I39)</f>
        <v>358</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2741</v>
      </c>
      <c r="C29" s="180">
        <f>ROUND(C5*C18*C19*C20*C21*C24,0)</f>
        <v>41326</v>
      </c>
      <c r="D29" s="2296">
        <v>5239.26</v>
      </c>
      <c r="E29" s="879">
        <f>ROUND(C29*D29/10000,0)</f>
        <v>21652</v>
      </c>
      <c r="F29" s="2297" t="s">
        <v>2742</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2743</v>
      </c>
      <c r="C30" s="193">
        <f>ROUND(IF(E2="工业",C29*M39,C29*M38),0)</f>
        <v>10332</v>
      </c>
      <c r="D30" s="2302"/>
      <c r="E30" s="879">
        <f>ROUND(C30*D30/10000,0)</f>
        <v>0</v>
      </c>
      <c r="F30" s="2303" t="s">
        <v>2744</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2745</v>
      </c>
      <c r="C31" s="2308" t="s">
        <v>2746</v>
      </c>
      <c r="D31" s="2225"/>
      <c r="E31" s="2308"/>
      <c r="F31" s="2308"/>
      <c r="G31" s="2223" t="s">
        <v>2747</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2738</v>
      </c>
      <c r="D32" s="455" t="s">
        <v>2739</v>
      </c>
      <c r="E32" s="455" t="s">
        <v>2740</v>
      </c>
      <c r="F32" s="348" t="s">
        <v>2748</v>
      </c>
      <c r="G32" s="2311" t="s">
        <v>2738</v>
      </c>
      <c r="H32" s="2311" t="s">
        <v>2739</v>
      </c>
      <c r="I32" s="2311"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45"/>
      <c r="B33" s="2312" t="s">
        <v>2749</v>
      </c>
      <c r="C33" s="180">
        <f>ROUND(D5*C19*C20*C24*F33,0)</f>
        <v>28602</v>
      </c>
      <c r="D33" s="2296"/>
      <c r="E33" s="176">
        <f>ROUND(C33*D33/10000,0)</f>
        <v>0</v>
      </c>
      <c r="F33" s="176">
        <f>SUMIF(修正!A45:A56,G2,修正!B45:B56)</f>
        <v>0.8</v>
      </c>
      <c r="G33" s="176">
        <f t="shared" ref="G33" si="6">ROUND(IF(E2="工业",C33*$M$39,C33*$M$38),0)</f>
        <v>7151</v>
      </c>
      <c r="H33" s="176">
        <f>D33</f>
        <v>0</v>
      </c>
      <c r="I33" s="176">
        <f>ROUND(G33*H33/10000,0)</f>
        <v>0</v>
      </c>
      <c r="J33" s="3450"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446"/>
      <c r="B34" s="2229" t="s">
        <v>2750</v>
      </c>
      <c r="C34" s="180">
        <f>ROUND(D5*C19*C20*C24*F34,0)</f>
        <v>17876</v>
      </c>
      <c r="D34" s="2296"/>
      <c r="E34" s="176">
        <f t="shared" ref="E34:E39" si="7">ROUND(C34*D34/10000,0)</f>
        <v>0</v>
      </c>
      <c r="F34" s="176">
        <f>SUMIF(修正!A45:A56,G2,修正!C45:C56)</f>
        <v>0.5</v>
      </c>
      <c r="G34" s="176">
        <f>ROUND(IF(E2="工业",C34*$M$39,C34*$M$38),0)</f>
        <v>4469</v>
      </c>
      <c r="H34" s="176">
        <f t="shared" ref="H34:H39" si="8">D34</f>
        <v>0</v>
      </c>
      <c r="I34" s="176">
        <f t="shared" ref="I34:I39" si="9">ROUND(G34*H34/10000,0)</f>
        <v>0</v>
      </c>
      <c r="J34" s="344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46"/>
      <c r="B35" s="2229" t="s">
        <v>2751</v>
      </c>
      <c r="C35" s="180">
        <f>ROUND(D5*C19*C20*C24*F35,0)</f>
        <v>12871</v>
      </c>
      <c r="D35" s="2296"/>
      <c r="E35" s="176">
        <f t="shared" si="7"/>
        <v>0</v>
      </c>
      <c r="F35" s="176">
        <f>SUMIF(修正!A45:A56,G2,修正!D45:D56)</f>
        <v>0.36</v>
      </c>
      <c r="G35" s="176">
        <f>ROUND(IF(E2="工业",C35*$M$39,C35*$M$38),0)</f>
        <v>3218</v>
      </c>
      <c r="H35" s="176">
        <f t="shared" si="8"/>
        <v>0</v>
      </c>
      <c r="I35" s="176">
        <f t="shared" si="9"/>
        <v>0</v>
      </c>
      <c r="J35" s="344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447"/>
      <c r="B36" s="2229" t="s">
        <v>2752</v>
      </c>
      <c r="C36" s="180">
        <f>ROUND(D5*C19*C20*C24*F36,0)</f>
        <v>10726</v>
      </c>
      <c r="D36" s="2296"/>
      <c r="E36" s="176">
        <f t="shared" si="7"/>
        <v>0</v>
      </c>
      <c r="F36" s="176">
        <f>SUMIF(修正!A45:A56,G2,修正!E45:E56)</f>
        <v>0.3</v>
      </c>
      <c r="G36" s="176">
        <f>ROUND(IF(E2="工业",C36*$M$39,C36*$M$38),0)</f>
        <v>2682</v>
      </c>
      <c r="H36" s="176">
        <f t="shared" si="8"/>
        <v>0</v>
      </c>
      <c r="I36" s="176">
        <f t="shared" si="9"/>
        <v>0</v>
      </c>
      <c r="J36" s="3447"/>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2753</v>
      </c>
      <c r="C37" s="176">
        <f>ROUND(D5*C19*C20*C24*F37,0)</f>
        <v>10726</v>
      </c>
      <c r="D37" s="2296">
        <v>1333.04</v>
      </c>
      <c r="E37" s="176">
        <f t="shared" si="7"/>
        <v>1430</v>
      </c>
      <c r="F37" s="180">
        <f>SUMIF(修正!A45:A56,G2,修正!F45:F56)</f>
        <v>0.3</v>
      </c>
      <c r="G37" s="176">
        <f>ROUND(IF(E2="工业",C37*$M$39,C37*$M$38),0)</f>
        <v>2682</v>
      </c>
      <c r="H37" s="176">
        <f t="shared" si="8"/>
        <v>1333.04</v>
      </c>
      <c r="I37" s="176">
        <f t="shared" si="9"/>
        <v>358</v>
      </c>
      <c r="J37" s="2313"/>
      <c r="K37" s="1280"/>
      <c r="L37" s="2315" t="s">
        <v>2754</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2755</v>
      </c>
      <c r="C38" s="176">
        <f>ROUND(D5*C19*C41*C24*F38,0)</f>
        <v>10726</v>
      </c>
      <c r="D38" s="2296"/>
      <c r="E38" s="176">
        <f t="shared" si="7"/>
        <v>0</v>
      </c>
      <c r="F38" s="180">
        <f>SUMIF(修正!A45:A56,G2,修正!G45:G56)</f>
        <v>0.3</v>
      </c>
      <c r="G38" s="176">
        <f>ROUND(IF(E2="工业",C38*$M$39,C38*$M$38),0)</f>
        <v>2682</v>
      </c>
      <c r="H38" s="176">
        <f t="shared" si="8"/>
        <v>0</v>
      </c>
      <c r="I38" s="176">
        <f t="shared" si="9"/>
        <v>0</v>
      </c>
      <c r="J38" s="2313"/>
      <c r="K38" s="1280"/>
      <c r="L38" s="1605" t="s">
        <v>2756</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2757</v>
      </c>
      <c r="C39" s="193">
        <f>ROUND(D5*C19*C41*C24*F39,0)</f>
        <v>8938</v>
      </c>
      <c r="D39" s="2302"/>
      <c r="E39" s="193">
        <f t="shared" si="7"/>
        <v>0</v>
      </c>
      <c r="F39" s="871">
        <f>SUMIF(修正!A45:A56,G2,修正!H45:H56)</f>
        <v>0.25</v>
      </c>
      <c r="G39" s="193">
        <f>ROUND(IF(E2="工业",C39*$M$39,C39*$M$38),0)</f>
        <v>2235</v>
      </c>
      <c r="H39" s="193">
        <f t="shared" si="8"/>
        <v>0</v>
      </c>
      <c r="I39" s="193">
        <f t="shared" si="9"/>
        <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2862</v>
      </c>
      <c r="C41" s="348">
        <f>ROUND(POWER(1+E41,H41-G41)*(POWER(1+E41,G41)-1)/(POWER(1+E41,H41)-1),4)</f>
        <v>0.90249999999999997</v>
      </c>
      <c r="D41" s="176" t="s">
        <v>2709</v>
      </c>
      <c r="E41" s="2369">
        <f>G20</f>
        <v>5.1999999999999998E-2</v>
      </c>
      <c r="F41" s="176" t="s">
        <v>2718</v>
      </c>
      <c r="G41" s="189">
        <f>项目基本情况!F15</f>
        <v>35.06</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2758</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2759</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2760</v>
      </c>
      <c r="B47" s="1535" t="s">
        <v>2761</v>
      </c>
      <c r="C47" s="1535" t="s">
        <v>2762</v>
      </c>
      <c r="D47" s="1535" t="s">
        <v>2763</v>
      </c>
      <c r="E47" s="758" t="s">
        <v>2764</v>
      </c>
      <c r="F47" s="2330" t="s">
        <v>2765</v>
      </c>
      <c r="G47" s="1535" t="s">
        <v>754</v>
      </c>
      <c r="H47" s="2331" t="s">
        <v>2766</v>
      </c>
      <c r="I47" s="1535"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2768</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2769</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2770</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2771</v>
      </c>
      <c r="B51" s="2334" t="s">
        <v>2772</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2773</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2774</v>
      </c>
      <c r="B53" s="2335" t="s">
        <v>2775</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2776</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2777</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2778</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2779</v>
      </c>
      <c r="B57" s="2326">
        <f>1+E59</f>
        <v>1.0364</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2760</v>
      </c>
      <c r="B58" s="1535"/>
      <c r="C58" s="1535" t="s">
        <v>2762</v>
      </c>
      <c r="D58" s="1535" t="s">
        <v>2763</v>
      </c>
      <c r="E58" s="758" t="s">
        <v>2764</v>
      </c>
      <c r="F58" s="2330" t="s">
        <v>2780</v>
      </c>
      <c r="G58" s="1535" t="s">
        <v>754</v>
      </c>
      <c r="H58" s="2331" t="s">
        <v>2766</v>
      </c>
      <c r="I58" s="1535"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2781</v>
      </c>
      <c r="B59" s="2332" t="str">
        <f>估价对象房地状况!C17</f>
        <v>估价对象位于XX商圈，周边办公楼项目较多，入驻率高，办公集聚程度较好</v>
      </c>
      <c r="C59" s="2234" t="s">
        <v>3139</v>
      </c>
      <c r="D59" s="1196">
        <f t="shared" ref="D59:D67" si="15">SUMIF($J$58:$N$58,C59,J59:N59)</f>
        <v>8.8000000000000005E-3</v>
      </c>
      <c r="E59" s="760">
        <f>ROUND(SUM(D59:D67),4)</f>
        <v>3.6400000000000002E-2</v>
      </c>
      <c r="F59" s="2000">
        <f>IF(E2="办公",SUMIF(L1:L12,G2,N1:N12),"——")</f>
        <v>7.3999999999999996E-2</v>
      </c>
      <c r="G59" s="1194">
        <f>H59</f>
        <v>8.8000000000000005E-3</v>
      </c>
      <c r="H59" s="1198">
        <f t="shared" ref="H59:H67" si="16">IFERROR(ROUNDDOWN($F$59*I59/2,4),"——")</f>
        <v>8.8000000000000005E-3</v>
      </c>
      <c r="I59" s="759">
        <v>0.24</v>
      </c>
      <c r="J59" s="1195">
        <f t="shared" ref="J59:J67" si="17">K59+$G59</f>
        <v>1.7600000000000001E-2</v>
      </c>
      <c r="K59" s="1195">
        <f t="shared" ref="K59:K67" si="18">$L59+$G59</f>
        <v>8.8000000000000005E-3</v>
      </c>
      <c r="L59" s="1195">
        <v>0</v>
      </c>
      <c r="M59" s="1195">
        <f t="shared" ref="M59:N67" si="19">L59-$G59</f>
        <v>-8.8000000000000005E-3</v>
      </c>
      <c r="N59" s="1195">
        <f t="shared" si="19"/>
        <v>-1.7600000000000001E-2</v>
      </c>
      <c r="AA59" s="1281"/>
      <c r="AB59" s="1281"/>
      <c r="AC59" s="1281"/>
      <c r="AD59" s="1281"/>
      <c r="AE59" s="1281"/>
      <c r="AF59" s="1281"/>
      <c r="AG59" s="1281"/>
      <c r="AH59" s="1281"/>
      <c r="AI59" s="1281"/>
      <c r="AJ59" s="1281"/>
      <c r="AK59" s="1281"/>
    </row>
    <row r="60" spans="1:37" s="1280" customFormat="1" ht="51">
      <c r="A60" s="2329" t="s">
        <v>2769</v>
      </c>
      <c r="B60" s="2333" t="str">
        <f>估价对象房地状况!C18</f>
        <v>估价对象周边道路状况、公共交通通达情况、停车便捷程度，综合评价交通便捷度较好</v>
      </c>
      <c r="C60" s="2234" t="s">
        <v>3139</v>
      </c>
      <c r="D60" s="1196">
        <f t="shared" si="15"/>
        <v>1.11E-2</v>
      </c>
      <c r="E60" s="761"/>
      <c r="F60" s="2000"/>
      <c r="G60" s="1194">
        <f t="shared" ref="G60:G67" si="20">H60</f>
        <v>1.11E-2</v>
      </c>
      <c r="H60" s="1198">
        <f t="shared" si="16"/>
        <v>1.11E-2</v>
      </c>
      <c r="I60" s="759">
        <v>0.3</v>
      </c>
      <c r="J60" s="1195">
        <f t="shared" si="17"/>
        <v>2.2200000000000001E-2</v>
      </c>
      <c r="K60" s="1195">
        <f t="shared" si="18"/>
        <v>1.11E-2</v>
      </c>
      <c r="L60" s="1195">
        <v>0</v>
      </c>
      <c r="M60" s="1195">
        <f t="shared" si="19"/>
        <v>-1.11E-2</v>
      </c>
      <c r="N60" s="1195">
        <f t="shared" si="19"/>
        <v>-2.2200000000000001E-2</v>
      </c>
      <c r="AA60" s="1281"/>
      <c r="AB60" s="1281"/>
      <c r="AC60" s="1281"/>
      <c r="AD60" s="1281"/>
      <c r="AE60" s="1281"/>
      <c r="AF60" s="1281"/>
      <c r="AG60" s="1281"/>
      <c r="AH60" s="1281"/>
      <c r="AI60" s="1281"/>
      <c r="AJ60" s="1281"/>
      <c r="AK60" s="1281"/>
    </row>
    <row r="61" spans="1:37" s="1280" customFormat="1" ht="24">
      <c r="A61" s="2329" t="s">
        <v>2770</v>
      </c>
      <c r="B61" s="2333">
        <f>估价对象房地状况!C19</f>
        <v>0</v>
      </c>
      <c r="C61" s="2234" t="s">
        <v>3139</v>
      </c>
      <c r="D61" s="1196">
        <f t="shared" si="15"/>
        <v>2.8999999999999998E-3</v>
      </c>
      <c r="E61" s="761"/>
      <c r="F61" s="2000"/>
      <c r="G61" s="1194">
        <f t="shared" si="20"/>
        <v>2.8999999999999998E-3</v>
      </c>
      <c r="H61" s="1198">
        <f t="shared" si="16"/>
        <v>2.8999999999999998E-3</v>
      </c>
      <c r="I61" s="759">
        <v>0.08</v>
      </c>
      <c r="J61" s="1195">
        <f t="shared" si="17"/>
        <v>5.7999999999999996E-3</v>
      </c>
      <c r="K61" s="1195">
        <f t="shared" si="18"/>
        <v>2.8999999999999998E-3</v>
      </c>
      <c r="L61" s="1195">
        <v>0</v>
      </c>
      <c r="M61" s="1195">
        <f t="shared" si="19"/>
        <v>-2.8999999999999998E-3</v>
      </c>
      <c r="N61" s="1195">
        <f t="shared" si="19"/>
        <v>-5.7999999999999996E-3</v>
      </c>
      <c r="AA61" s="1281"/>
      <c r="AB61" s="1281"/>
      <c r="AC61" s="1281"/>
      <c r="AD61" s="1281"/>
      <c r="AE61" s="1281"/>
      <c r="AF61" s="1281"/>
      <c r="AG61" s="1281"/>
      <c r="AH61" s="1281"/>
      <c r="AI61" s="1281"/>
      <c r="AJ61" s="1281"/>
      <c r="AK61" s="1281"/>
    </row>
    <row r="62" spans="1:37" s="1280" customFormat="1" ht="36.75">
      <c r="A62" s="2329" t="s">
        <v>2771</v>
      </c>
      <c r="B62" s="2334" t="s">
        <v>2772</v>
      </c>
      <c r="C62" s="2234" t="s">
        <v>3138</v>
      </c>
      <c r="D62" s="1196">
        <f t="shared" si="15"/>
        <v>0</v>
      </c>
      <c r="E62" s="761"/>
      <c r="F62" s="2000"/>
      <c r="G62" s="1194">
        <f t="shared" si="20"/>
        <v>1.4E-3</v>
      </c>
      <c r="H62" s="1198">
        <f t="shared" si="16"/>
        <v>1.4E-3</v>
      </c>
      <c r="I62" s="759">
        <v>0.04</v>
      </c>
      <c r="J62" s="1195">
        <f t="shared" si="17"/>
        <v>2.8E-3</v>
      </c>
      <c r="K62" s="1195">
        <f t="shared" si="18"/>
        <v>1.4E-3</v>
      </c>
      <c r="L62" s="1195">
        <v>0</v>
      </c>
      <c r="M62" s="1195">
        <f t="shared" si="19"/>
        <v>-1.4E-3</v>
      </c>
      <c r="N62" s="1195">
        <f t="shared" si="19"/>
        <v>-2.8E-3</v>
      </c>
      <c r="AA62" s="1281"/>
      <c r="AB62" s="1281"/>
      <c r="AC62" s="1281"/>
      <c r="AD62" s="1281"/>
      <c r="AE62" s="1281"/>
      <c r="AF62" s="1281"/>
      <c r="AG62" s="1281"/>
      <c r="AH62" s="1281"/>
      <c r="AI62" s="1281"/>
      <c r="AJ62" s="1281"/>
      <c r="AK62" s="1281"/>
    </row>
    <row r="63" spans="1:37" s="1280" customFormat="1" ht="24">
      <c r="A63" s="2329" t="s">
        <v>2773</v>
      </c>
      <c r="B63" s="2333">
        <f>估价对象房地状况!C24</f>
        <v>0</v>
      </c>
      <c r="C63" s="2234" t="s">
        <v>3340</v>
      </c>
      <c r="D63" s="1196">
        <f t="shared" si="15"/>
        <v>-3.5999999999999999E-3</v>
      </c>
      <c r="E63" s="761"/>
      <c r="F63" s="2000"/>
      <c r="G63" s="1194">
        <f t="shared" si="20"/>
        <v>1.8E-3</v>
      </c>
      <c r="H63" s="1198">
        <f t="shared" si="16"/>
        <v>1.8E-3</v>
      </c>
      <c r="I63" s="759">
        <v>0.05</v>
      </c>
      <c r="J63" s="1195">
        <f t="shared" si="17"/>
        <v>3.5999999999999999E-3</v>
      </c>
      <c r="K63" s="1195">
        <f t="shared" si="18"/>
        <v>1.8E-3</v>
      </c>
      <c r="L63" s="1195">
        <v>0</v>
      </c>
      <c r="M63" s="1195">
        <f t="shared" si="19"/>
        <v>-1.8E-3</v>
      </c>
      <c r="N63" s="1195">
        <f t="shared" si="19"/>
        <v>-3.5999999999999999E-3</v>
      </c>
      <c r="AA63" s="1281"/>
      <c r="AB63" s="1281"/>
      <c r="AC63" s="1281"/>
      <c r="AD63" s="1281"/>
      <c r="AE63" s="1281"/>
      <c r="AF63" s="1281"/>
      <c r="AG63" s="1281"/>
      <c r="AH63" s="1281"/>
      <c r="AI63" s="1281"/>
      <c r="AJ63" s="1281"/>
      <c r="AK63" s="1281"/>
    </row>
    <row r="64" spans="1:37" s="1280" customFormat="1" ht="24">
      <c r="A64" s="2329" t="s">
        <v>2774</v>
      </c>
      <c r="B64" s="2335" t="s">
        <v>2775</v>
      </c>
      <c r="C64" s="2234" t="s">
        <v>3139</v>
      </c>
      <c r="D64" s="1196">
        <f t="shared" si="15"/>
        <v>1.8E-3</v>
      </c>
      <c r="E64" s="761"/>
      <c r="F64" s="2000"/>
      <c r="G64" s="1194">
        <f t="shared" si="20"/>
        <v>1.8E-3</v>
      </c>
      <c r="H64" s="1198">
        <f t="shared" si="16"/>
        <v>1.8E-3</v>
      </c>
      <c r="I64" s="759">
        <v>0.05</v>
      </c>
      <c r="J64" s="1195">
        <f t="shared" si="17"/>
        <v>3.5999999999999999E-3</v>
      </c>
      <c r="K64" s="1195">
        <f t="shared" si="18"/>
        <v>1.8E-3</v>
      </c>
      <c r="L64" s="1195">
        <v>0</v>
      </c>
      <c r="M64" s="1195">
        <f t="shared" si="19"/>
        <v>-1.8E-3</v>
      </c>
      <c r="N64" s="1195">
        <f t="shared" si="19"/>
        <v>-3.5999999999999999E-3</v>
      </c>
      <c r="AA64" s="1281"/>
      <c r="AB64" s="1281"/>
      <c r="AC64" s="1281"/>
      <c r="AD64" s="1281"/>
      <c r="AE64" s="1281"/>
      <c r="AF64" s="1281"/>
      <c r="AG64" s="1281"/>
      <c r="AH64" s="1281"/>
      <c r="AI64" s="1281"/>
      <c r="AJ64" s="1281"/>
      <c r="AK64" s="1281"/>
    </row>
    <row r="65" spans="1:37" s="1280" customFormat="1" ht="25.5">
      <c r="A65" s="2329" t="s">
        <v>2776</v>
      </c>
      <c r="B65" s="1494" t="str">
        <f>估价对象房地状况!C21</f>
        <v>估价对象所在区域公共配套设施齐备情况</v>
      </c>
      <c r="C65" s="2234" t="s">
        <v>3139</v>
      </c>
      <c r="D65" s="1196">
        <f t="shared" si="15"/>
        <v>2.2000000000000001E-3</v>
      </c>
      <c r="E65" s="761"/>
      <c r="F65" s="2000"/>
      <c r="G65" s="1194">
        <f t="shared" si="20"/>
        <v>2.2000000000000001E-3</v>
      </c>
      <c r="H65" s="1198">
        <f t="shared" si="16"/>
        <v>2.2000000000000001E-3</v>
      </c>
      <c r="I65" s="759">
        <v>0.06</v>
      </c>
      <c r="J65" s="1195">
        <f t="shared" si="17"/>
        <v>4.4000000000000003E-3</v>
      </c>
      <c r="K65" s="1195">
        <f t="shared" si="18"/>
        <v>2.2000000000000001E-3</v>
      </c>
      <c r="L65" s="1195">
        <v>0</v>
      </c>
      <c r="M65" s="1195">
        <f t="shared" si="19"/>
        <v>-2.2000000000000001E-3</v>
      </c>
      <c r="N65" s="1195">
        <f t="shared" si="19"/>
        <v>-4.4000000000000003E-3</v>
      </c>
      <c r="AA65" s="1281"/>
      <c r="AB65" s="1281"/>
      <c r="AC65" s="1281"/>
      <c r="AD65" s="1281"/>
      <c r="AE65" s="1281"/>
      <c r="AF65" s="1281"/>
      <c r="AG65" s="1281"/>
      <c r="AH65" s="1281"/>
      <c r="AI65" s="1281"/>
      <c r="AJ65" s="1281"/>
      <c r="AK65" s="1281"/>
    </row>
    <row r="66" spans="1:37" s="1280" customFormat="1" ht="25.5">
      <c r="A66" s="2329" t="s">
        <v>2777</v>
      </c>
      <c r="B66" s="1494" t="str">
        <f>估价对象房地状况!C22</f>
        <v>估价对象所在区域基础设施水平</v>
      </c>
      <c r="C66" s="2234" t="s">
        <v>3140</v>
      </c>
      <c r="D66" s="1196">
        <f t="shared" si="15"/>
        <v>8.8000000000000005E-3</v>
      </c>
      <c r="E66" s="761"/>
      <c r="F66" s="2000"/>
      <c r="G66" s="1194">
        <f t="shared" si="20"/>
        <v>4.4000000000000003E-3</v>
      </c>
      <c r="H66" s="1198">
        <f t="shared" si="16"/>
        <v>4.4000000000000003E-3</v>
      </c>
      <c r="I66" s="759">
        <v>0.12</v>
      </c>
      <c r="J66" s="1195">
        <f t="shared" si="17"/>
        <v>8.8000000000000005E-3</v>
      </c>
      <c r="K66" s="1195">
        <f t="shared" si="18"/>
        <v>4.4000000000000003E-3</v>
      </c>
      <c r="L66" s="1195">
        <v>0</v>
      </c>
      <c r="M66" s="1195">
        <f t="shared" si="19"/>
        <v>-4.4000000000000003E-3</v>
      </c>
      <c r="N66" s="1195">
        <f t="shared" si="19"/>
        <v>-8.8000000000000005E-3</v>
      </c>
      <c r="AA66" s="1281"/>
      <c r="AB66" s="1281"/>
      <c r="AC66" s="1281"/>
      <c r="AD66" s="1281"/>
      <c r="AE66" s="1281"/>
      <c r="AF66" s="1281"/>
      <c r="AG66" s="1281"/>
      <c r="AH66" s="1281"/>
      <c r="AI66" s="1281"/>
      <c r="AJ66" s="1281"/>
      <c r="AK66" s="1281"/>
    </row>
    <row r="67" spans="1:37" s="1280" customFormat="1" ht="39" thickBot="1">
      <c r="A67" s="2337" t="s">
        <v>2778</v>
      </c>
      <c r="B67" s="2339" t="str">
        <f>估价对象房地状况!C20</f>
        <v>区域自然环境：；人文环境；综合评价环境状况一般</v>
      </c>
      <c r="C67" s="2234" t="s">
        <v>3140</v>
      </c>
      <c r="D67" s="1196">
        <f t="shared" si="15"/>
        <v>4.4000000000000003E-3</v>
      </c>
      <c r="E67" s="764"/>
      <c r="F67" s="2000"/>
      <c r="G67" s="1194">
        <f t="shared" si="20"/>
        <v>2.2000000000000001E-3</v>
      </c>
      <c r="H67" s="1198">
        <f t="shared" si="16"/>
        <v>2.2000000000000001E-3</v>
      </c>
      <c r="I67" s="763">
        <v>0.06</v>
      </c>
      <c r="J67" s="1195">
        <f t="shared" si="17"/>
        <v>4.4000000000000003E-3</v>
      </c>
      <c r="K67" s="1195">
        <f t="shared" si="18"/>
        <v>2.2000000000000001E-3</v>
      </c>
      <c r="L67" s="1195">
        <v>0</v>
      </c>
      <c r="M67" s="1195">
        <f t="shared" si="19"/>
        <v>-2.2000000000000001E-3</v>
      </c>
      <c r="N67" s="1195">
        <f t="shared" si="19"/>
        <v>-4.4000000000000003E-3</v>
      </c>
      <c r="AA67" s="1281"/>
      <c r="AB67" s="1281"/>
      <c r="AC67" s="1281"/>
      <c r="AD67" s="1281"/>
      <c r="AE67" s="1281"/>
      <c r="AF67" s="1281"/>
      <c r="AG67" s="1281"/>
      <c r="AH67" s="1281"/>
      <c r="AI67" s="1281"/>
      <c r="AJ67" s="1281"/>
      <c r="AK67" s="1281"/>
    </row>
    <row r="68" spans="1:37" s="1280" customFormat="1" ht="15">
      <c r="A68" s="2325" t="s">
        <v>2782</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2760</v>
      </c>
      <c r="B69" s="1535"/>
      <c r="C69" s="1535" t="s">
        <v>2762</v>
      </c>
      <c r="D69" s="1535" t="s">
        <v>2763</v>
      </c>
      <c r="E69" s="758" t="s">
        <v>2764</v>
      </c>
      <c r="F69" s="2330" t="s">
        <v>2780</v>
      </c>
      <c r="G69" s="1535" t="s">
        <v>754</v>
      </c>
      <c r="H69" s="2331" t="s">
        <v>2766</v>
      </c>
      <c r="I69" s="1535"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2783</v>
      </c>
      <c r="B70" s="2332" t="str">
        <f>估价对象房地状况!C15</f>
        <v>估价对象周边居住用地比例、居住小区规模和社区发展完善程度，综合评价居住社区成熟度一般</v>
      </c>
      <c r="C70" s="2234"/>
      <c r="D70" s="1196">
        <f t="shared" ref="D70:D78" si="21">SUMIF($J$69:$N$69,C70,J70:N70)</f>
        <v>0</v>
      </c>
      <c r="E70" s="760">
        <f>ROUND(SUM(D70:D78),4)</f>
        <v>0</v>
      </c>
      <c r="F70" s="200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29" t="s">
        <v>2769</v>
      </c>
      <c r="B71" s="2333" t="str">
        <f>估价对象房地状况!C18</f>
        <v>估价对象周边道路状况、公共交通通达情况、停车便捷程度，综合评价交通便捷度较好</v>
      </c>
      <c r="C71" s="2234"/>
      <c r="D71" s="1196">
        <f t="shared" si="21"/>
        <v>0</v>
      </c>
      <c r="E71" s="765"/>
      <c r="F71" s="2000"/>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9" t="s">
        <v>2770</v>
      </c>
      <c r="B72" s="2333">
        <f>估价对象房地状况!C19</f>
        <v>0</v>
      </c>
      <c r="C72" s="2234"/>
      <c r="D72" s="1196">
        <f t="shared" si="21"/>
        <v>0</v>
      </c>
      <c r="E72" s="765"/>
      <c r="F72" s="2000"/>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9" t="s">
        <v>2784</v>
      </c>
      <c r="B73" s="2333">
        <f>估价对象房地状况!C24</f>
        <v>0</v>
      </c>
      <c r="C73" s="2234"/>
      <c r="D73" s="1196">
        <f t="shared" si="21"/>
        <v>0</v>
      </c>
      <c r="E73" s="765"/>
      <c r="F73" s="2000"/>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29" t="s">
        <v>2776</v>
      </c>
      <c r="B74" s="1494" t="str">
        <f>估价对象房地状况!C21</f>
        <v>估价对象所在区域公共配套设施齐备情况</v>
      </c>
      <c r="C74" s="2234"/>
      <c r="D74" s="1196">
        <f t="shared" si="21"/>
        <v>0</v>
      </c>
      <c r="E74" s="765"/>
      <c r="F74" s="2000"/>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29" t="s">
        <v>2777</v>
      </c>
      <c r="B75" s="1494" t="str">
        <f>估价对象房地状况!C22</f>
        <v>估价对象所在区域基础设施水平</v>
      </c>
      <c r="C75" s="2234"/>
      <c r="D75" s="1196">
        <f t="shared" si="21"/>
        <v>0</v>
      </c>
      <c r="E75" s="765"/>
      <c r="F75" s="2000"/>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3" customFormat="1" ht="24">
      <c r="A76" s="2329" t="s">
        <v>2774</v>
      </c>
      <c r="B76" s="2335" t="s">
        <v>2775</v>
      </c>
      <c r="C76" s="2234"/>
      <c r="D76" s="1196">
        <f t="shared" si="21"/>
        <v>0</v>
      </c>
      <c r="E76" s="765"/>
      <c r="F76" s="2000"/>
      <c r="G76" s="1194"/>
      <c r="H76" s="1198" t="str">
        <f t="shared" si="22"/>
        <v>——</v>
      </c>
      <c r="I76" s="759">
        <v>0.05</v>
      </c>
      <c r="J76" s="1195">
        <f t="shared" si="23"/>
        <v>0</v>
      </c>
      <c r="K76" s="1195">
        <f t="shared" si="24"/>
        <v>0</v>
      </c>
      <c r="L76" s="1195">
        <v>0</v>
      </c>
      <c r="M76" s="1195">
        <f t="shared" si="25"/>
        <v>0</v>
      </c>
      <c r="N76" s="1195">
        <f t="shared" si="25"/>
        <v>0</v>
      </c>
      <c r="AA76" s="2340"/>
      <c r="AB76" s="1281"/>
      <c r="AC76" s="1281"/>
      <c r="AD76" s="1281"/>
      <c r="AE76" s="1281"/>
      <c r="AF76" s="1281"/>
      <c r="AG76" s="1281"/>
      <c r="AH76" s="2340"/>
      <c r="AI76" s="2340"/>
      <c r="AJ76" s="2340"/>
      <c r="AK76" s="2340"/>
    </row>
    <row r="77" spans="1:37" ht="38.25">
      <c r="A77" s="2329" t="s">
        <v>2778</v>
      </c>
      <c r="B77" s="2332" t="str">
        <f>估价对象房地状况!C20</f>
        <v>区域自然环境：；人文环境；综合评价环境状况一般</v>
      </c>
      <c r="C77" s="2234"/>
      <c r="D77" s="1196">
        <f t="shared" si="21"/>
        <v>0</v>
      </c>
      <c r="E77" s="765"/>
      <c r="F77" s="2000"/>
      <c r="G77" s="1194"/>
      <c r="H77" s="1198" t="str">
        <f t="shared" si="22"/>
        <v>——</v>
      </c>
      <c r="I77" s="759">
        <v>0.15</v>
      </c>
      <c r="J77" s="1195">
        <f t="shared" si="23"/>
        <v>0</v>
      </c>
      <c r="K77" s="1195">
        <f t="shared" si="24"/>
        <v>0</v>
      </c>
      <c r="L77" s="1195">
        <v>0</v>
      </c>
      <c r="M77" s="1195">
        <f t="shared" si="25"/>
        <v>0</v>
      </c>
      <c r="N77" s="1195">
        <f t="shared" si="25"/>
        <v>0</v>
      </c>
      <c r="Z77" s="2184"/>
      <c r="AA77" s="2250"/>
      <c r="AG77" s="1282"/>
      <c r="AK77" s="2250"/>
    </row>
    <row r="78" spans="1:37" ht="24.75" thickBot="1">
      <c r="A78" s="2337" t="s">
        <v>2785</v>
      </c>
      <c r="B78" s="2341"/>
      <c r="C78" s="2234"/>
      <c r="D78" s="1196">
        <f t="shared" si="21"/>
        <v>0</v>
      </c>
      <c r="E78" s="766"/>
      <c r="F78" s="2000"/>
      <c r="G78" s="1194"/>
      <c r="H78" s="1198" t="str">
        <f t="shared" si="22"/>
        <v>——</v>
      </c>
      <c r="I78" s="763">
        <v>0.04</v>
      </c>
      <c r="J78" s="1195">
        <f t="shared" si="23"/>
        <v>0</v>
      </c>
      <c r="K78" s="1195">
        <f t="shared" si="24"/>
        <v>0</v>
      </c>
      <c r="L78" s="1195">
        <v>0</v>
      </c>
      <c r="M78" s="1195">
        <f t="shared" si="25"/>
        <v>0</v>
      </c>
      <c r="N78" s="1195">
        <f t="shared" si="25"/>
        <v>0</v>
      </c>
      <c r="Z78" s="2184"/>
      <c r="AA78" s="2250"/>
      <c r="AG78" s="1282"/>
      <c r="AK78" s="2250"/>
    </row>
    <row r="79" spans="1:37" ht="15">
      <c r="A79" s="2325" t="s">
        <v>2786</v>
      </c>
      <c r="B79" s="2326">
        <f>1+E81</f>
        <v>1</v>
      </c>
      <c r="C79" s="753"/>
      <c r="D79" s="753"/>
      <c r="E79" s="754"/>
      <c r="F79" s="2328"/>
      <c r="G79" s="6"/>
      <c r="H79" s="6"/>
      <c r="I79" s="6"/>
      <c r="J79" s="7"/>
      <c r="K79" s="7"/>
      <c r="L79" s="7"/>
      <c r="M79" s="7"/>
      <c r="N79" s="7"/>
      <c r="Z79" s="2184"/>
      <c r="AA79" s="2250"/>
      <c r="AG79" s="1282"/>
      <c r="AK79" s="2250"/>
    </row>
    <row r="80" spans="1:37" ht="24.75">
      <c r="A80" s="2329" t="s">
        <v>2760</v>
      </c>
      <c r="B80" s="1535"/>
      <c r="C80" s="1535" t="s">
        <v>2762</v>
      </c>
      <c r="D80" s="1535" t="s">
        <v>2763</v>
      </c>
      <c r="E80" s="758" t="s">
        <v>2764</v>
      </c>
      <c r="F80" s="2330" t="s">
        <v>2780</v>
      </c>
      <c r="G80" s="1535" t="s">
        <v>754</v>
      </c>
      <c r="H80" s="2331" t="s">
        <v>2766</v>
      </c>
      <c r="I80" s="1535" t="s">
        <v>2767</v>
      </c>
      <c r="J80" s="560" t="s">
        <v>2418</v>
      </c>
      <c r="K80" s="560" t="s">
        <v>2419</v>
      </c>
      <c r="L80" s="560" t="s">
        <v>2420</v>
      </c>
      <c r="M80" s="560" t="s">
        <v>2421</v>
      </c>
      <c r="N80" s="560" t="s">
        <v>2422</v>
      </c>
      <c r="Z80" s="2184"/>
      <c r="AA80" s="2250"/>
      <c r="AG80" s="1282"/>
      <c r="AK80" s="2250"/>
    </row>
    <row r="81" spans="1:37" ht="38.25">
      <c r="A81" s="2329" t="s">
        <v>2787</v>
      </c>
      <c r="B81" s="2333" t="str">
        <f>估价对象房地状况!G15</f>
        <v>估价对象位于XX开发区，园区建设成熟度XX，产业集聚程度XX</v>
      </c>
      <c r="C81" s="2234"/>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50"/>
      <c r="AG81" s="1282"/>
      <c r="AK81" s="2250"/>
    </row>
    <row r="82" spans="1:37" ht="51">
      <c r="A82" s="2329" t="s">
        <v>2769</v>
      </c>
      <c r="B82" s="2333" t="str">
        <f>估价对象房地状况!G16</f>
        <v>估价对象周边道路状况、公共交通通达情况、停车便捷程度，综合评价交通便捷度较好</v>
      </c>
      <c r="C82" s="2234"/>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50"/>
      <c r="AG82" s="1282"/>
      <c r="AK82" s="2250"/>
    </row>
    <row r="83" spans="1:37" ht="24">
      <c r="A83" s="2329" t="s">
        <v>2770</v>
      </c>
      <c r="B83" s="2333">
        <f>估价对象房地状况!G17</f>
        <v>0</v>
      </c>
      <c r="C83" s="2234"/>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50"/>
      <c r="AG83" s="1282"/>
      <c r="AK83" s="2250"/>
    </row>
    <row r="84" spans="1:37" ht="14.25">
      <c r="A84" s="2329" t="s">
        <v>2784</v>
      </c>
      <c r="B84" s="2333">
        <f>估价对象房地状况!G22</f>
        <v>0</v>
      </c>
      <c r="C84" s="2234"/>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50"/>
      <c r="AG84" s="1282"/>
      <c r="AK84" s="2250"/>
    </row>
    <row r="85" spans="1:37" ht="25.5">
      <c r="A85" s="2329" t="s">
        <v>2776</v>
      </c>
      <c r="B85" s="1494" t="str">
        <f>估价对象房地状况!G19</f>
        <v>估价对象所在区域公共配套设施齐备情况</v>
      </c>
      <c r="C85" s="2234"/>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50"/>
      <c r="AG85" s="1282"/>
      <c r="AK85" s="2250"/>
    </row>
    <row r="86" spans="1:37" ht="25.5">
      <c r="A86" s="2329" t="s">
        <v>2777</v>
      </c>
      <c r="B86" s="1494" t="str">
        <f>估价对象房地状况!G20</f>
        <v>估价对象所在区域基础设施水平</v>
      </c>
      <c r="C86" s="2234"/>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50"/>
      <c r="AG86" s="1282"/>
      <c r="AK86" s="2250"/>
    </row>
    <row r="87" spans="1:37" ht="24">
      <c r="A87" s="2329" t="s">
        <v>2774</v>
      </c>
      <c r="B87" s="2335" t="s">
        <v>2788</v>
      </c>
      <c r="C87" s="2234"/>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50"/>
      <c r="AG87" s="1282"/>
      <c r="AK87" s="2250"/>
    </row>
    <row r="88" spans="1:37" ht="39" thickBot="1">
      <c r="A88" s="2337" t="s">
        <v>2789</v>
      </c>
      <c r="B88" s="2342" t="str">
        <f>估价对象房地状况!G18</f>
        <v>该园区内是否有污染型企业，绿化情况，卫生条件，整体环境状况判断</v>
      </c>
      <c r="C88" s="2234"/>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50"/>
      <c r="AG88" s="1282"/>
      <c r="AK88" s="2250"/>
    </row>
    <row r="90" spans="1:37">
      <c r="A90" s="3437" t="s">
        <v>2790</v>
      </c>
      <c r="B90" s="3437"/>
      <c r="C90" s="3437"/>
      <c r="D90" s="3437"/>
      <c r="E90" s="3437"/>
      <c r="F90" s="3437"/>
      <c r="G90" s="3437"/>
      <c r="H90" s="3437"/>
      <c r="I90" s="3437"/>
      <c r="J90" s="3437"/>
      <c r="K90" s="2343"/>
      <c r="L90" s="2343"/>
      <c r="M90" s="2343"/>
      <c r="N90" s="2343"/>
    </row>
    <row r="91" spans="1:37">
      <c r="A91" s="3439" t="s">
        <v>2791</v>
      </c>
      <c r="B91" s="3439" t="s">
        <v>2792</v>
      </c>
      <c r="C91" s="2297" t="s">
        <v>2793</v>
      </c>
      <c r="D91" s="2298"/>
      <c r="E91" s="2298"/>
      <c r="F91" s="2298"/>
      <c r="G91" s="2298"/>
      <c r="H91" s="2298"/>
      <c r="I91" s="2298"/>
      <c r="J91" s="2344"/>
      <c r="K91" s="2345"/>
      <c r="L91" s="2345"/>
      <c r="M91" s="2345"/>
      <c r="N91" s="2345"/>
    </row>
    <row r="92" spans="1:37">
      <c r="A92" s="3439"/>
      <c r="B92" s="3439"/>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440"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41"/>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41"/>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41"/>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41"/>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41"/>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41"/>
      <c r="B99" s="2346" t="s">
        <v>2677</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442"/>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40" t="s">
        <v>2795</v>
      </c>
      <c r="B101" s="2350" t="s">
        <v>2796</v>
      </c>
      <c r="C101" s="2351">
        <f>$G$3</f>
        <v>2.11</v>
      </c>
      <c r="D101" s="2351">
        <f t="shared" ref="D101:N101" si="32">$G$3</f>
        <v>2.11</v>
      </c>
      <c r="E101" s="2351">
        <f t="shared" si="32"/>
        <v>2.11</v>
      </c>
      <c r="F101" s="2351">
        <f t="shared" si="32"/>
        <v>2.11</v>
      </c>
      <c r="G101" s="2351">
        <f t="shared" si="32"/>
        <v>2.11</v>
      </c>
      <c r="H101" s="2351">
        <f t="shared" si="32"/>
        <v>2.11</v>
      </c>
      <c r="I101" s="2351">
        <f t="shared" si="32"/>
        <v>2.11</v>
      </c>
      <c r="J101" s="2351">
        <f t="shared" si="32"/>
        <v>2.11</v>
      </c>
      <c r="K101" s="2351">
        <f t="shared" si="32"/>
        <v>2.11</v>
      </c>
      <c r="L101" s="2351">
        <f t="shared" si="32"/>
        <v>2.11</v>
      </c>
      <c r="M101" s="2351">
        <f t="shared" si="32"/>
        <v>2.11</v>
      </c>
      <c r="N101" s="2351">
        <f t="shared" si="32"/>
        <v>2.11</v>
      </c>
    </row>
    <row r="102" spans="1:14">
      <c r="A102" s="3441"/>
      <c r="B102" s="2346">
        <v>1</v>
      </c>
      <c r="C102" s="2347">
        <f>1.9362/C101</f>
        <v>0.91763033175355457</v>
      </c>
      <c r="D102" s="2347">
        <f>1.9362/D101</f>
        <v>0.91763033175355457</v>
      </c>
      <c r="E102" s="2347">
        <f>1.8629/E101</f>
        <v>0.88289099526066361</v>
      </c>
      <c r="F102" s="2347">
        <f>1.8629/F101</f>
        <v>0.88289099526066361</v>
      </c>
      <c r="G102" s="2347">
        <f>1.8629/G101</f>
        <v>0.88289099526066361</v>
      </c>
      <c r="H102" s="2347">
        <f>1.8629/H101</f>
        <v>0.88289099526066361</v>
      </c>
      <c r="I102" s="2347">
        <f>1.8629/I101</f>
        <v>0.88289099526066361</v>
      </c>
      <c r="J102" s="2347">
        <f>1.942/J101</f>
        <v>0.92037914691943135</v>
      </c>
      <c r="K102" s="2347">
        <f>1.942/K101</f>
        <v>0.92037914691943135</v>
      </c>
      <c r="L102" s="2347">
        <f>1.942/L101</f>
        <v>0.92037914691943135</v>
      </c>
      <c r="M102" s="2347">
        <f>1.942/M101</f>
        <v>0.92037914691943135</v>
      </c>
      <c r="N102" s="2347">
        <f>1.942/N101</f>
        <v>0.92037914691943135</v>
      </c>
    </row>
    <row r="103" spans="1:14">
      <c r="A103" s="3441"/>
      <c r="B103" s="2346">
        <v>2</v>
      </c>
      <c r="C103" s="2347">
        <f>1.4198/C101</f>
        <v>0.67289099526066354</v>
      </c>
      <c r="D103" s="2347">
        <f>1.4198/D101</f>
        <v>0.67289099526066354</v>
      </c>
      <c r="E103" s="2347">
        <f>1.3372/E101</f>
        <v>0.63374407582938386</v>
      </c>
      <c r="F103" s="2347">
        <f>1.3372/F101</f>
        <v>0.63374407582938386</v>
      </c>
      <c r="G103" s="2347">
        <f>1.3372/G101</f>
        <v>0.63374407582938386</v>
      </c>
      <c r="H103" s="2347">
        <f>1.3372/H101</f>
        <v>0.63374407582938386</v>
      </c>
      <c r="I103" s="2347">
        <f>1.3372/I101</f>
        <v>0.63374407582938386</v>
      </c>
      <c r="J103" s="2347">
        <f>1.2799/J101</f>
        <v>0.60658767772511857</v>
      </c>
      <c r="K103" s="2347">
        <f>1.2799/K101</f>
        <v>0.60658767772511857</v>
      </c>
      <c r="L103" s="2347">
        <f>1.2799/L101</f>
        <v>0.60658767772511857</v>
      </c>
      <c r="M103" s="2347">
        <f>1.2799/M101</f>
        <v>0.60658767772511857</v>
      </c>
      <c r="N103" s="2347">
        <f>1.2799/N101</f>
        <v>0.60658767772511857</v>
      </c>
    </row>
    <row r="104" spans="1:14">
      <c r="A104" s="3441"/>
      <c r="B104" s="2346">
        <v>3</v>
      </c>
      <c r="C104" s="2347">
        <f>1.1594/C101</f>
        <v>0.54947867298578201</v>
      </c>
      <c r="D104" s="2347">
        <f>1.1594/D101</f>
        <v>0.54947867298578201</v>
      </c>
      <c r="E104" s="2347">
        <f>1.0788/E101</f>
        <v>0.51127962085308054</v>
      </c>
      <c r="F104" s="2347">
        <f>1.0788/F101</f>
        <v>0.51127962085308054</v>
      </c>
      <c r="G104" s="2347">
        <f>1.0788/G101</f>
        <v>0.51127962085308054</v>
      </c>
      <c r="H104" s="2347">
        <f>1.0788/H101</f>
        <v>0.51127962085308054</v>
      </c>
      <c r="I104" s="2347">
        <f>1.0788/I101</f>
        <v>0.51127962085308054</v>
      </c>
      <c r="J104" s="2347">
        <f>1.0072/J101</f>
        <v>0.47734597156398112</v>
      </c>
      <c r="K104" s="2347">
        <f>1.0072/K101</f>
        <v>0.47734597156398112</v>
      </c>
      <c r="L104" s="2347">
        <f>1.0072/L101</f>
        <v>0.47734597156398112</v>
      </c>
      <c r="M104" s="2347">
        <f>1.0072/M101</f>
        <v>0.47734597156398112</v>
      </c>
      <c r="N104" s="2347">
        <f>1.0072/N101</f>
        <v>0.47734597156398112</v>
      </c>
    </row>
    <row r="105" spans="1:14">
      <c r="A105" s="3441"/>
      <c r="B105" s="2346">
        <v>4</v>
      </c>
      <c r="C105" s="2347">
        <f>0.9622/C101</f>
        <v>0.45601895734597164</v>
      </c>
      <c r="D105" s="2347">
        <f>0.9622/D101</f>
        <v>0.45601895734597164</v>
      </c>
      <c r="E105" s="2347">
        <f>0.8656/E101</f>
        <v>0.41023696682464461</v>
      </c>
      <c r="F105" s="2347">
        <f>0.8656/F101</f>
        <v>0.41023696682464461</v>
      </c>
      <c r="G105" s="2347">
        <f>0.8656/G101</f>
        <v>0.41023696682464461</v>
      </c>
      <c r="H105" s="2347">
        <f>0.8656/H101</f>
        <v>0.41023696682464461</v>
      </c>
      <c r="I105" s="2347">
        <f>0.8656/I101</f>
        <v>0.41023696682464461</v>
      </c>
      <c r="J105" s="2347">
        <f>0.7525/J101</f>
        <v>0.35663507109004738</v>
      </c>
      <c r="K105" s="2347">
        <f>0.7525/K101</f>
        <v>0.35663507109004738</v>
      </c>
      <c r="L105" s="2347">
        <f>0.7525/L101</f>
        <v>0.35663507109004738</v>
      </c>
      <c r="M105" s="2347">
        <f>0.7525/M101</f>
        <v>0.35663507109004738</v>
      </c>
      <c r="N105" s="2347">
        <f>0.7525/N101</f>
        <v>0.35663507109004738</v>
      </c>
    </row>
    <row r="106" spans="1:14">
      <c r="A106" s="3441"/>
      <c r="B106" s="2346">
        <v>5</v>
      </c>
      <c r="C106" s="2347">
        <f>0.8417/C101</f>
        <v>0.39890995260663509</v>
      </c>
      <c r="D106" s="2347">
        <f>0.8417/D101</f>
        <v>0.39890995260663509</v>
      </c>
      <c r="E106" s="2347">
        <f>0.7371/E101</f>
        <v>0.34933649289099528</v>
      </c>
      <c r="F106" s="2347">
        <f>0.7371/F101</f>
        <v>0.34933649289099528</v>
      </c>
      <c r="G106" s="2347">
        <f>0.7371/G101</f>
        <v>0.34933649289099528</v>
      </c>
      <c r="H106" s="2347">
        <f>0.7371/H101</f>
        <v>0.34933649289099528</v>
      </c>
      <c r="I106" s="2347">
        <f>0.7371/I101</f>
        <v>0.34933649289099528</v>
      </c>
      <c r="J106" s="2347">
        <f>0.5659/J101</f>
        <v>0.2681990521327014</v>
      </c>
      <c r="K106" s="2347">
        <f>0.5659/K101</f>
        <v>0.2681990521327014</v>
      </c>
      <c r="L106" s="2347">
        <f>0.5659/L101</f>
        <v>0.2681990521327014</v>
      </c>
      <c r="M106" s="2347">
        <f>0.5659/M101</f>
        <v>0.2681990521327014</v>
      </c>
      <c r="N106" s="2347">
        <f>0.5659/N101</f>
        <v>0.2681990521327014</v>
      </c>
    </row>
    <row r="107" spans="1:14">
      <c r="A107" s="3441"/>
      <c r="B107" s="2346">
        <v>6</v>
      </c>
      <c r="C107" s="2347">
        <f>0.7608/C101</f>
        <v>0.36056872037914695</v>
      </c>
      <c r="D107" s="2347">
        <f>0.7608/D101</f>
        <v>0.36056872037914695</v>
      </c>
      <c r="E107" s="2347">
        <f>0.6482/E101</f>
        <v>0.30720379146919435</v>
      </c>
      <c r="F107" s="2347">
        <f>0.6482/F101</f>
        <v>0.30720379146919435</v>
      </c>
      <c r="G107" s="2347">
        <f>0.6482/G101</f>
        <v>0.30720379146919435</v>
      </c>
      <c r="H107" s="2347">
        <f>0.6482/H101</f>
        <v>0.30720379146919435</v>
      </c>
      <c r="I107" s="2347">
        <f>0.6482/I101</f>
        <v>0.30720379146919435</v>
      </c>
      <c r="J107" s="2347">
        <f>0.4525/J101</f>
        <v>0.21445497630331756</v>
      </c>
      <c r="K107" s="2347">
        <f>0.4525/K101</f>
        <v>0.21445497630331756</v>
      </c>
      <c r="L107" s="2347">
        <f>0.4525/L101</f>
        <v>0.21445497630331756</v>
      </c>
      <c r="M107" s="2347">
        <f>0.4525/M101</f>
        <v>0.21445497630331756</v>
      </c>
      <c r="N107" s="2347">
        <f>0.4525/N101</f>
        <v>0.21445497630331756</v>
      </c>
    </row>
    <row r="108" spans="1:14">
      <c r="A108" s="3441"/>
      <c r="B108" s="3443" t="s">
        <v>2797</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442"/>
      <c r="B109" s="3444"/>
      <c r="C109" s="2349">
        <f>(-0.163*(C108^2)-0.59*C108+7617)*(10^(-4))/C101</f>
        <v>0.36099526066350718</v>
      </c>
      <c r="D109" s="2349">
        <f>(-0.163*(D108^2)-0.59*D108+7617)*(10^(-4))/D101</f>
        <v>0.36099526066350718</v>
      </c>
      <c r="E109" s="2349">
        <f>(-0.161*(E108^2)-7.509*E108+6533)*(10^(-4))/E101</f>
        <v>0.30962085308056875</v>
      </c>
      <c r="F109" s="2349">
        <f>(-0.161*(F108^2)-7.509*F108+6533)*(10^(-4))/F101</f>
        <v>0.30962085308056875</v>
      </c>
      <c r="G109" s="2349">
        <f>(-0.161*(G108^2)-7.509*G108+6533)*(10^(-4))/G101</f>
        <v>0.30962085308056875</v>
      </c>
      <c r="H109" s="2349">
        <f>(-0.161*(H108^2)-7.509*H108+6533)*(10^(-4))/H101</f>
        <v>0.30962085308056875</v>
      </c>
      <c r="I109" s="2349">
        <f>(-0.161*(I108^2)-7.509*I108+6533)*(10^(-4))/I101</f>
        <v>0.30962085308056875</v>
      </c>
      <c r="J109" s="2349">
        <f>(-0.214*(J108^2)-21.991*J108+4665)*(10^(-4))/J101</f>
        <v>0.22109004739336496</v>
      </c>
      <c r="K109" s="2349">
        <f>(-0.214*(K108^2)-21.991*K108+4665)*(10^(-4))/K101</f>
        <v>0.22109004739336496</v>
      </c>
      <c r="L109" s="2349">
        <f>(-0.214*(L108^2)-21.991*L108+4665)*(10^(-4))/L101</f>
        <v>0.22109004739336496</v>
      </c>
      <c r="M109" s="2349">
        <f>(-0.214*(M108^2)-21.991*M108+4665)*(10^(-4))/M101</f>
        <v>0.22109004739336496</v>
      </c>
      <c r="N109" s="2349">
        <f>(-0.214*(N108^2)-21.991*N108+4665)*(10^(-4))/N101</f>
        <v>0.22109004739336496</v>
      </c>
    </row>
    <row r="110" spans="1:14">
      <c r="A110" s="3438" t="s">
        <v>2798</v>
      </c>
      <c r="B110" s="3438"/>
      <c r="C110" s="3438"/>
      <c r="D110" s="3438"/>
      <c r="E110" s="3438"/>
      <c r="F110" s="3438"/>
      <c r="G110" s="3438"/>
      <c r="H110" s="3438"/>
      <c r="I110" s="3438"/>
      <c r="J110" s="3438"/>
      <c r="K110" s="2352"/>
      <c r="L110" s="2352"/>
      <c r="M110" s="2352"/>
      <c r="N110" s="2352"/>
    </row>
    <row r="112" spans="1:14" ht="13.5" thickBot="1"/>
    <row r="113" spans="1:13" ht="25.5" thickBot="1">
      <c r="A113" s="842" t="s">
        <v>2799</v>
      </c>
      <c r="B113" s="1197">
        <f>G3</f>
        <v>2.11</v>
      </c>
      <c r="C113" s="843" t="s">
        <v>2800</v>
      </c>
      <c r="D113" s="844">
        <f>SUMPRODUCT((A115:A118=F113)*(B114:M114=H113)*B115:M118)</f>
        <v>0.92369999999999997</v>
      </c>
      <c r="E113" s="2188" t="s">
        <v>2635</v>
      </c>
      <c r="F113" s="2354" t="str">
        <f>E2</f>
        <v>办公</v>
      </c>
      <c r="G113" s="2188" t="s">
        <v>2636</v>
      </c>
      <c r="H113" s="2354" t="str">
        <f>G2</f>
        <v>一级</v>
      </c>
      <c r="I113" s="2188"/>
      <c r="J113" s="2355"/>
      <c r="K113" s="2355"/>
      <c r="L113" s="2355"/>
      <c r="M113" s="2355"/>
    </row>
    <row r="114" spans="1:13">
      <c r="A114" s="847"/>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8" t="s">
        <v>2699</v>
      </c>
      <c r="B115" s="849">
        <f>ROUND(0.9335-0.0094*B113,4)</f>
        <v>0.91369999999999996</v>
      </c>
      <c r="C115" s="849">
        <f>B115</f>
        <v>0.91369999999999996</v>
      </c>
      <c r="D115" s="849">
        <f>ROUND(0.8331-0.0109*B113,4)</f>
        <v>0.81010000000000004</v>
      </c>
      <c r="E115" s="849">
        <f>D115</f>
        <v>0.81010000000000004</v>
      </c>
      <c r="F115" s="849">
        <f>E115</f>
        <v>0.81010000000000004</v>
      </c>
      <c r="G115" s="849">
        <f>F115</f>
        <v>0.81010000000000004</v>
      </c>
      <c r="H115" s="849">
        <f>G115</f>
        <v>0.81010000000000004</v>
      </c>
      <c r="I115" s="849">
        <f>ROUND(0.689-0.0155*B113,4)</f>
        <v>0.65629999999999999</v>
      </c>
      <c r="J115" s="849">
        <f t="shared" ref="J115:M118" si="34">I115</f>
        <v>0.65629999999999999</v>
      </c>
      <c r="K115" s="849">
        <f t="shared" si="34"/>
        <v>0.65629999999999999</v>
      </c>
      <c r="L115" s="849">
        <f t="shared" si="34"/>
        <v>0.65629999999999999</v>
      </c>
      <c r="M115" s="850">
        <f t="shared" si="34"/>
        <v>0.65629999999999999</v>
      </c>
    </row>
    <row r="116" spans="1:13">
      <c r="A116" s="848" t="s">
        <v>2700</v>
      </c>
      <c r="B116" s="849">
        <f>ROUND(0.949-0.012*B113,4)</f>
        <v>0.92369999999999997</v>
      </c>
      <c r="C116" s="849">
        <f>B116</f>
        <v>0.92369999999999997</v>
      </c>
      <c r="D116" s="849">
        <f>ROUND(0.8567-0.013*B113,4)</f>
        <v>0.82930000000000004</v>
      </c>
      <c r="E116" s="849">
        <f t="shared" ref="E116:H117" si="35">D116</f>
        <v>0.82930000000000004</v>
      </c>
      <c r="F116" s="849">
        <f t="shared" si="35"/>
        <v>0.82930000000000004</v>
      </c>
      <c r="G116" s="849">
        <f t="shared" si="35"/>
        <v>0.82930000000000004</v>
      </c>
      <c r="H116" s="849">
        <f t="shared" si="35"/>
        <v>0.82930000000000004</v>
      </c>
      <c r="I116" s="849">
        <f>ROUND(0.7694-0.014*B113,4)</f>
        <v>0.7399</v>
      </c>
      <c r="J116" s="849">
        <f t="shared" si="34"/>
        <v>0.7399</v>
      </c>
      <c r="K116" s="849">
        <f t="shared" si="34"/>
        <v>0.7399</v>
      </c>
      <c r="L116" s="849">
        <f t="shared" si="34"/>
        <v>0.7399</v>
      </c>
      <c r="M116" s="850">
        <f t="shared" si="34"/>
        <v>0.7399</v>
      </c>
    </row>
    <row r="117" spans="1:13">
      <c r="A117" s="848" t="s">
        <v>2701</v>
      </c>
      <c r="B117" s="849">
        <f>ROUND(0.8808-0.006*B113,4)</f>
        <v>0.86809999999999998</v>
      </c>
      <c r="C117" s="849">
        <f>B117</f>
        <v>0.86809999999999998</v>
      </c>
      <c r="D117" s="849">
        <f>ROUND(0.8748-0.008*B113,4)</f>
        <v>0.8579</v>
      </c>
      <c r="E117" s="849">
        <f t="shared" si="35"/>
        <v>0.8579</v>
      </c>
      <c r="F117" s="849">
        <f t="shared" si="35"/>
        <v>0.8579</v>
      </c>
      <c r="G117" s="849">
        <f t="shared" si="35"/>
        <v>0.8579</v>
      </c>
      <c r="H117" s="849">
        <f t="shared" si="35"/>
        <v>0.8579</v>
      </c>
      <c r="I117" s="849">
        <f>ROUND(0.7412-0.0095*B113,4)</f>
        <v>0.72119999999999995</v>
      </c>
      <c r="J117" s="849">
        <f t="shared" si="34"/>
        <v>0.72119999999999995</v>
      </c>
      <c r="K117" s="849">
        <f t="shared" si="34"/>
        <v>0.72119999999999995</v>
      </c>
      <c r="L117" s="849">
        <f t="shared" si="34"/>
        <v>0.72119999999999995</v>
      </c>
      <c r="M117" s="850">
        <f t="shared" si="34"/>
        <v>0.72119999999999995</v>
      </c>
    </row>
    <row r="118" spans="1:13" ht="13.5" thickBot="1">
      <c r="A118" s="670" t="s">
        <v>2702</v>
      </c>
      <c r="B118" s="851">
        <f>ROUND(0.7275-0.01*B113,4)</f>
        <v>0.70640000000000003</v>
      </c>
      <c r="C118" s="851">
        <f>B118</f>
        <v>0.70640000000000003</v>
      </c>
      <c r="D118" s="851">
        <f>ROUND(0.7043-0.012*B113,4)</f>
        <v>0.67900000000000005</v>
      </c>
      <c r="E118" s="851">
        <f>D118</f>
        <v>0.67900000000000005</v>
      </c>
      <c r="F118" s="851">
        <f>E118</f>
        <v>0.67900000000000005</v>
      </c>
      <c r="G118" s="851">
        <f>ROUND(0.6299-0.0122*B113,4)</f>
        <v>0.60419999999999996</v>
      </c>
      <c r="H118" s="851">
        <f>G118</f>
        <v>0.60419999999999996</v>
      </c>
      <c r="I118" s="851">
        <f>ROUND(0.5667-0.0136*B113,4)</f>
        <v>0.53800000000000003</v>
      </c>
      <c r="J118" s="851">
        <f t="shared" si="34"/>
        <v>0.53800000000000003</v>
      </c>
      <c r="K118" s="851">
        <f t="shared" si="34"/>
        <v>0.53800000000000003</v>
      </c>
      <c r="L118" s="851">
        <f t="shared" si="34"/>
        <v>0.53800000000000003</v>
      </c>
      <c r="M118" s="852">
        <f t="shared" si="34"/>
        <v>0.53800000000000003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44" priority="5" stopIfTrue="1" operator="notEqual">
      <formula>"——"</formula>
    </cfRule>
  </conditionalFormatting>
  <conditionalFormatting sqref="F59">
    <cfRule type="cellIs" dxfId="143" priority="4" stopIfTrue="1" operator="notEqual">
      <formula>"——"</formula>
    </cfRule>
  </conditionalFormatting>
  <conditionalFormatting sqref="F70">
    <cfRule type="cellIs" dxfId="142" priority="3" stopIfTrue="1" operator="notEqual">
      <formula>"——"</formula>
    </cfRule>
  </conditionalFormatting>
  <conditionalFormatting sqref="F81">
    <cfRule type="cellIs" dxfId="141" priority="2" stopIfTrue="1" operator="notEqual">
      <formula>"——"</formula>
    </cfRule>
  </conditionalFormatting>
  <conditionalFormatting sqref="H48:H56 H59:H67 H70:H78 H81:H88">
    <cfRule type="cellIs" dxfId="14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t="s">
        <v>70</v>
      </c>
      <c r="E1" s="1547" t="s">
        <v>1352</v>
      </c>
      <c r="F1" s="1193">
        <f ca="1">J53</f>
        <v>35.06</v>
      </c>
      <c r="G1" s="1562">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21435</v>
      </c>
      <c r="C2" s="1571" t="s">
        <v>1481</v>
      </c>
      <c r="D2" s="1571"/>
      <c r="E2" s="1572"/>
      <c r="F2" s="1573"/>
      <c r="G2" s="2934"/>
      <c r="H2" s="2923"/>
      <c r="I2" s="2923"/>
      <c r="J2" s="2923"/>
      <c r="K2" s="2924"/>
      <c r="L2" s="2923"/>
      <c r="M2" s="2923"/>
    </row>
    <row r="3" spans="1:37" ht="18" customHeight="1" thickBot="1">
      <c r="A3" s="1574" t="s">
        <v>1482</v>
      </c>
      <c r="B3" s="1575">
        <f ca="1">IF(ISERROR(B2*10000/F43),0,ROUND(B2*10000/F43,0))</f>
        <v>26653</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1400</v>
      </c>
      <c r="D5" s="1548" t="s">
        <v>1367</v>
      </c>
      <c r="E5" s="1203"/>
      <c r="F5" s="1204"/>
      <c r="G5" s="1568"/>
      <c r="H5" s="305">
        <v>1</v>
      </c>
      <c r="I5" s="306" t="s">
        <v>1366</v>
      </c>
      <c r="J5" s="1202">
        <f ca="1">J6+J10+J12</f>
        <v>0</v>
      </c>
      <c r="K5" s="1548" t="s">
        <v>1367</v>
      </c>
      <c r="L5" s="1203"/>
      <c r="M5" s="1204"/>
    </row>
    <row r="6" spans="1:37" ht="18" customHeight="1">
      <c r="A6" s="1201" t="s">
        <v>1003</v>
      </c>
      <c r="B6" s="3463" t="s">
        <v>1368</v>
      </c>
      <c r="C6" s="1206">
        <f ca="1">ROUND(F6*F8*F7*(1-F9)/10000,0)</f>
        <v>1400</v>
      </c>
      <c r="D6" s="160" t="s">
        <v>2849</v>
      </c>
      <c r="E6" s="308" t="s">
        <v>1370</v>
      </c>
      <c r="F6" s="309">
        <f ca="1">INDIRECT("'数据-取费表'!u"&amp;$G$1)</f>
        <v>14000000</v>
      </c>
      <c r="G6" s="1568"/>
      <c r="H6" s="1201" t="s">
        <v>1003</v>
      </c>
      <c r="I6" s="3463" t="s">
        <v>1368</v>
      </c>
      <c r="J6" s="307">
        <f ca="1">ROUND(M6*M8*M7*(1-M9)/10000,0)</f>
        <v>0</v>
      </c>
      <c r="K6" s="160" t="s">
        <v>2848</v>
      </c>
      <c r="L6" s="308" t="s">
        <v>1370</v>
      </c>
      <c r="M6" s="309">
        <f ca="1">INDIRECT("'数据-取费表'!z"&amp;$G$1)</f>
        <v>0</v>
      </c>
    </row>
    <row r="7" spans="1:37" ht="18" customHeight="1">
      <c r="A7" s="1205"/>
      <c r="B7" s="3464"/>
      <c r="C7" s="1207"/>
      <c r="D7" s="313"/>
      <c r="E7" s="1208" t="s">
        <v>1371</v>
      </c>
      <c r="F7" s="309">
        <f ca="1">IF(INDIRECT("'数据-取费表'!ah"&amp;$G$1)="",INDIRECT("'数据-取费表'!k"&amp;$G$1),INDIRECT("'数据-取费表'!ah"&amp;$G$1))</f>
        <v>1</v>
      </c>
      <c r="G7" s="1568"/>
      <c r="H7" s="310"/>
      <c r="I7" s="3464"/>
      <c r="J7" s="312"/>
      <c r="K7" s="313"/>
      <c r="L7" s="308" t="s">
        <v>1371</v>
      </c>
      <c r="M7" s="309">
        <f ca="1">F7</f>
        <v>1</v>
      </c>
    </row>
    <row r="8" spans="1:37" ht="18" customHeight="1">
      <c r="A8" s="310"/>
      <c r="B8" s="3464"/>
      <c r="C8" s="312"/>
      <c r="D8" s="313"/>
      <c r="E8" s="308" t="s">
        <v>1372</v>
      </c>
      <c r="F8" s="309">
        <f ca="1">INDIRECT("'数据-取费表'!ai"&amp;$G$1)</f>
        <v>1</v>
      </c>
      <c r="G8" s="1568"/>
      <c r="H8" s="310"/>
      <c r="I8" s="3464"/>
      <c r="J8" s="312"/>
      <c r="K8" s="313"/>
      <c r="L8" s="308" t="s">
        <v>1372</v>
      </c>
      <c r="M8" s="309">
        <f ca="1">INDIRECT("'数据-取费表'!ai"&amp;$G$1)</f>
        <v>1</v>
      </c>
    </row>
    <row r="9" spans="1:37" ht="18" customHeight="1">
      <c r="A9" s="310"/>
      <c r="B9" s="3465"/>
      <c r="C9" s="312"/>
      <c r="D9" s="313"/>
      <c r="E9" s="308" t="s">
        <v>1373</v>
      </c>
      <c r="F9" s="318">
        <f ca="1">INDIRECT("'数据-取费表'!w"&amp;$G$1)</f>
        <v>0</v>
      </c>
      <c r="G9" s="1568"/>
      <c r="H9" s="310"/>
      <c r="I9" s="3465"/>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t="s">
        <v>3142</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4110</v>
      </c>
      <c r="D13" s="1241" t="s">
        <v>1380</v>
      </c>
      <c r="E13" s="1241" t="s">
        <v>1381</v>
      </c>
      <c r="F13" s="1242">
        <f ca="1">INDIRECT("'数据-取费表'!y"&amp;$G$1)</f>
        <v>0.79</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3619</v>
      </c>
      <c r="D14" s="1529" t="s">
        <v>1383</v>
      </c>
      <c r="E14" s="1526"/>
      <c r="F14" s="325"/>
      <c r="G14" s="1568"/>
      <c r="H14" s="1113" t="s">
        <v>1003</v>
      </c>
      <c r="I14" s="308" t="s">
        <v>1384</v>
      </c>
      <c r="J14" s="24">
        <f ca="1">C29</f>
        <v>5202</v>
      </c>
      <c r="K14" s="15"/>
      <c r="L14" s="916"/>
      <c r="M14" s="917"/>
    </row>
    <row r="15" spans="1:37" s="1581" customFormat="1" ht="18" customHeight="1" thickBot="1">
      <c r="A15" s="1113" t="s">
        <v>1004</v>
      </c>
      <c r="B15" s="308" t="s">
        <v>1385</v>
      </c>
      <c r="C15" s="24">
        <f ca="1">ROUND(C14*F15,0)</f>
        <v>109</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134</v>
      </c>
      <c r="K16" s="1247" t="s">
        <v>1390</v>
      </c>
      <c r="L16" s="1248"/>
      <c r="M16" s="1204"/>
    </row>
    <row r="17" spans="1:37" s="1581" customFormat="1" ht="18" customHeight="1">
      <c r="A17" s="1113" t="s">
        <v>1355</v>
      </c>
      <c r="B17" s="308" t="s">
        <v>1391</v>
      </c>
      <c r="C17" s="24">
        <f ca="1">ROUND(F17*(F43+INDIRECT("'数据-取费表'!S"&amp;$G$1))/10000,0)</f>
        <v>161</v>
      </c>
      <c r="D17" s="308" t="s">
        <v>1392</v>
      </c>
      <c r="E17" s="308" t="s">
        <v>1393</v>
      </c>
      <c r="F17" s="26">
        <f>'数据-取费表'!B35</f>
        <v>200</v>
      </c>
      <c r="G17" s="1580"/>
      <c r="H17" s="1113" t="s">
        <v>1003</v>
      </c>
      <c r="I17" s="308" t="s">
        <v>1394</v>
      </c>
      <c r="J17" s="2534">
        <f ca="1">ROUND(IF(AND(项目基本情况!B11="自然人",项目基本情况!B10="北京市"),J6*M17/(1+'数据-取费表'!C42),J18+J19+J20),0)</f>
        <v>56</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54</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3943</v>
      </c>
      <c r="D19" s="136" t="s">
        <v>1401</v>
      </c>
      <c r="E19" s="1544"/>
      <c r="F19" s="26"/>
      <c r="G19" s="1568"/>
      <c r="H19" s="1113" t="s">
        <v>1004</v>
      </c>
      <c r="I19" s="308" t="s">
        <v>1402</v>
      </c>
      <c r="J19" s="24">
        <f ca="1">IF(K19="按租金收入计税",ROUND(J6*M19/(1+'数据-取费表'!C42),2),ROUND(C29*M19*0.7,2))</f>
        <v>43.7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79</v>
      </c>
      <c r="D20" s="329" t="s">
        <v>1405</v>
      </c>
      <c r="E20" s="308" t="s">
        <v>1387</v>
      </c>
      <c r="F20" s="328">
        <f>'数据-取费表'!B37</f>
        <v>0.02</v>
      </c>
      <c r="G20" s="1580"/>
      <c r="H20" s="1113" t="s">
        <v>1354</v>
      </c>
      <c r="I20" s="160" t="s">
        <v>1406</v>
      </c>
      <c r="J20" s="25">
        <f ca="1">ROUND(M20*M21/10000,2)</f>
        <v>11.96</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3986.98</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78</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175</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-134</v>
      </c>
      <c r="K25" s="1255" t="s">
        <v>1429</v>
      </c>
      <c r="L25" s="1256"/>
      <c r="M25" s="1257"/>
    </row>
    <row r="26" spans="1:37">
      <c r="A26" s="1113" t="s">
        <v>1002</v>
      </c>
      <c r="B26" s="308" t="s">
        <v>1430</v>
      </c>
      <c r="C26" s="24">
        <f ca="1">ROUND((C19+C20)*F26,0)</f>
        <v>603</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3.0000000000000001E-3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5202</v>
      </c>
      <c r="D29" s="1252"/>
      <c r="E29" s="1250"/>
      <c r="F29" s="1253"/>
      <c r="G29" s="1580"/>
      <c r="H29" s="340" t="s">
        <v>1001</v>
      </c>
      <c r="I29" s="341" t="s">
        <v>1444</v>
      </c>
      <c r="J29" s="342">
        <f ca="1">ROUND(J26/(1+F40)^F41,0)</f>
        <v>0</v>
      </c>
      <c r="K29" s="343" t="s">
        <v>1445</v>
      </c>
      <c r="L29" s="344"/>
      <c r="M29" s="345">
        <f ca="1">INDIRECT("'数据-取费表'!k"&amp;$G$1)</f>
        <v>8042.29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242</v>
      </c>
      <c r="D30" s="1247" t="s">
        <v>1390</v>
      </c>
      <c r="E30" s="1248"/>
      <c r="F30" s="1204"/>
      <c r="G30" s="1568"/>
      <c r="H30" s="2925"/>
      <c r="I30" s="1582"/>
      <c r="J30" s="1583"/>
      <c r="K30" s="2701"/>
      <c r="L30" s="2926"/>
      <c r="M30" s="2927"/>
    </row>
    <row r="31" spans="1:37" ht="18" customHeight="1">
      <c r="A31" s="1113" t="s">
        <v>1003</v>
      </c>
      <c r="B31" s="308" t="s">
        <v>1394</v>
      </c>
      <c r="C31" s="2534">
        <f ca="1">ROUND(IF(AND(项目基本情况!B11="自然人",项目基本情况!B10="北京市"),C6*F31/(1+'数据-取费表'!C42),C32+C33+C34),0)</f>
        <v>130</v>
      </c>
      <c r="D31" s="1529" t="s">
        <v>1395</v>
      </c>
      <c r="E31" s="1528" t="s">
        <v>1446</v>
      </c>
      <c r="F31" s="2533" t="str">
        <f>IF(项目基本情况!B11="企业","——",IF('数据-取费表'!B10="住宅",IF(F6*F7*F8/12/(1+'数据-取费表'!F30)&gt;100000,4%,2.5%),IF(F6*F7*F8/12/(1+'数据-取费表'!F30)&gt;100000,12%,7%)))</f>
        <v>——</v>
      </c>
      <c r="G31" s="1568"/>
      <c r="H31" s="3038" t="s">
        <v>3056</v>
      </c>
      <c r="I31" s="1582"/>
      <c r="J31" s="1583"/>
      <c r="K31" s="2701"/>
      <c r="L31" s="2926"/>
      <c r="M31" s="2927"/>
    </row>
    <row r="32" spans="1:37" ht="18" customHeight="1">
      <c r="A32" s="1113" t="s">
        <v>1002</v>
      </c>
      <c r="B32" s="308" t="s">
        <v>1398</v>
      </c>
      <c r="C32" s="24">
        <f ca="1">IF(项目基本情况!B11="自然人","——",ROUND(C6*F32/(1+'数据-取费表'!C42),2))</f>
        <v>74.67</v>
      </c>
      <c r="D32" s="1528" t="s">
        <v>1399</v>
      </c>
      <c r="E32" s="308" t="s">
        <v>1387</v>
      </c>
      <c r="F32" s="337">
        <f>'数据-取费表'!B41</f>
        <v>5.6000000000000001E-2</v>
      </c>
      <c r="G32" s="1568"/>
      <c r="H32" s="2925"/>
      <c r="I32" s="1582"/>
      <c r="J32" s="1583"/>
      <c r="K32" s="2701"/>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43.7</v>
      </c>
      <c r="D33" s="1554" t="s">
        <v>3143</v>
      </c>
      <c r="E33" s="308" t="s">
        <v>1387</v>
      </c>
      <c r="F33" s="328">
        <f>IF(D33="按票据","——",IF(D33="按租金收入计税",'数据-取费表'!B51,'数据-取费表'!B50))</f>
        <v>1.2E-2</v>
      </c>
      <c r="G33" s="1568"/>
      <c r="H33" s="2928"/>
      <c r="I33" s="1582"/>
      <c r="J33" s="1583"/>
      <c r="K33" s="2929"/>
      <c r="L33" s="2928"/>
      <c r="M33" s="2928"/>
    </row>
    <row r="34" spans="1:18" ht="18" customHeight="1">
      <c r="A34" s="1201" t="s">
        <v>1354</v>
      </c>
      <c r="B34" s="160" t="s">
        <v>1406</v>
      </c>
      <c r="C34" s="25">
        <f ca="1">IF(项目基本情况!B11="自然人","——",ROUND(F34*F35/10000,2))</f>
        <v>11.96</v>
      </c>
      <c r="D34" s="330" t="s">
        <v>1407</v>
      </c>
      <c r="E34" s="308" t="s">
        <v>1408</v>
      </c>
      <c r="F34" s="331">
        <f>'数据-取费表'!B52</f>
        <v>30</v>
      </c>
      <c r="G34" s="1568"/>
      <c r="H34" s="2925"/>
      <c r="I34" s="1582"/>
      <c r="J34" s="1583"/>
      <c r="K34" s="2930"/>
      <c r="L34" s="2931"/>
      <c r="M34" s="2931"/>
    </row>
    <row r="35" spans="1:18" ht="18" customHeight="1">
      <c r="A35" s="1263"/>
      <c r="B35" s="1261"/>
      <c r="C35" s="29"/>
      <c r="D35" s="333"/>
      <c r="E35" s="308" t="s">
        <v>1412</v>
      </c>
      <c r="F35" s="309">
        <f ca="1">INDIRECT("'数据-取费表'!r"&amp;$G$1)</f>
        <v>3986.98</v>
      </c>
      <c r="G35" s="1568"/>
      <c r="H35" s="2925"/>
      <c r="I35" s="1582"/>
      <c r="J35" s="1583"/>
      <c r="K35" s="2929"/>
      <c r="L35" s="2928"/>
      <c r="M35" s="2928"/>
    </row>
    <row r="36" spans="1:18" ht="18" customHeight="1">
      <c r="A36" s="1262" t="s">
        <v>1007</v>
      </c>
      <c r="B36" s="308" t="s">
        <v>1414</v>
      </c>
      <c r="C36" s="24">
        <f ca="1">ROUND(C29*F36,1)</f>
        <v>78</v>
      </c>
      <c r="D36" s="1528" t="s">
        <v>1447</v>
      </c>
      <c r="E36" s="308" t="s">
        <v>1387</v>
      </c>
      <c r="F36" s="334">
        <f ca="1">INDIRECT("'数据-取费表'!Ak"&amp;$G$1)</f>
        <v>1.4999999999999999E-2</v>
      </c>
      <c r="G36" s="1568"/>
      <c r="H36" s="2928"/>
      <c r="I36" s="1582"/>
      <c r="J36" s="1583"/>
      <c r="K36" s="2770"/>
      <c r="L36" s="2928"/>
      <c r="M36" s="2928"/>
    </row>
    <row r="37" spans="1:18" ht="18" customHeight="1">
      <c r="A37" s="1113" t="s">
        <v>1043</v>
      </c>
      <c r="B37" s="308" t="s">
        <v>1418</v>
      </c>
      <c r="C37" s="24">
        <f ca="1">ROUND(C13*F37,1)</f>
        <v>6.2</v>
      </c>
      <c r="D37" s="1528" t="s">
        <v>1419</v>
      </c>
      <c r="E37" s="308" t="s">
        <v>1420</v>
      </c>
      <c r="F37" s="336">
        <f ca="1">INDIRECT("'数据-取费表'!Al"&amp;$G$1)</f>
        <v>1.5E-3</v>
      </c>
      <c r="G37" s="1568"/>
      <c r="H37" s="2928"/>
      <c r="I37" s="1582"/>
      <c r="J37" s="1583"/>
      <c r="K37" s="2770"/>
      <c r="L37" s="2928"/>
      <c r="M37" s="2928"/>
    </row>
    <row r="38" spans="1:18" ht="18" customHeight="1" thickBot="1">
      <c r="A38" s="1249" t="s">
        <v>1358</v>
      </c>
      <c r="B38" s="1250" t="s">
        <v>1404</v>
      </c>
      <c r="C38" s="1251">
        <f ca="1">ROUND(C5*F38,1)</f>
        <v>28</v>
      </c>
      <c r="D38" s="1252" t="s">
        <v>1424</v>
      </c>
      <c r="E38" s="1250" t="s">
        <v>1420</v>
      </c>
      <c r="F38" s="1246">
        <f ca="1">INDIRECT("'数据-取费表'!Am"&amp;$G$1)</f>
        <v>0.02</v>
      </c>
      <c r="G38" s="1568"/>
      <c r="H38" s="2928"/>
      <c r="I38" s="1582"/>
      <c r="J38" s="1583"/>
      <c r="K38" s="2932"/>
      <c r="L38" s="2928"/>
      <c r="M38" s="2928"/>
    </row>
    <row r="39" spans="1:18" ht="24.6" customHeight="1" thickTop="1">
      <c r="A39" s="1239" t="s">
        <v>999</v>
      </c>
      <c r="B39" s="1254" t="s">
        <v>1448</v>
      </c>
      <c r="C39" s="316">
        <f ca="1">C5-C30</f>
        <v>1158</v>
      </c>
      <c r="D39" s="1255" t="s">
        <v>1449</v>
      </c>
      <c r="E39" s="1256"/>
      <c r="F39" s="1257"/>
      <c r="G39" s="1568"/>
      <c r="H39" s="2928"/>
      <c r="I39" s="1582"/>
      <c r="J39" s="1583"/>
      <c r="K39" s="2932"/>
      <c r="L39" s="2928"/>
      <c r="M39" s="2928"/>
    </row>
    <row r="40" spans="1:18" ht="18" customHeight="1">
      <c r="A40" s="305" t="s">
        <v>1000</v>
      </c>
      <c r="B40" s="306" t="s">
        <v>1450</v>
      </c>
      <c r="C40" s="307">
        <f ca="1">ROUND(C39*(1-((1+F42)/(1+F40))^F41)/(F40-F42),0)</f>
        <v>21435</v>
      </c>
      <c r="D40" s="330" t="s">
        <v>1434</v>
      </c>
      <c r="E40" s="308" t="s">
        <v>1435</v>
      </c>
      <c r="F40" s="318">
        <f ca="1">INDIRECT("'数据-取费表'!I"&amp;$G$1)</f>
        <v>0.06</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35.06</v>
      </c>
      <c r="G41" s="1568"/>
      <c r="H41" s="1353"/>
      <c r="I41" s="1582"/>
      <c r="J41" s="1583"/>
      <c r="K41" s="2770"/>
      <c r="L41" s="1353"/>
      <c r="M41" s="1353"/>
    </row>
    <row r="42" spans="1:18" ht="18" customHeight="1">
      <c r="A42" s="314"/>
      <c r="B42" s="315"/>
      <c r="C42" s="316"/>
      <c r="D42" s="333"/>
      <c r="E42" s="308" t="s">
        <v>1442</v>
      </c>
      <c r="F42" s="318">
        <f ca="1">INDIRECT("'数据-取费表'!v"&amp;$G$1)</f>
        <v>0.02</v>
      </c>
      <c r="G42" s="1568"/>
      <c r="H42" s="1353"/>
      <c r="I42" s="1582"/>
      <c r="J42" s="1583"/>
      <c r="K42" s="2770"/>
      <c r="L42" s="1353"/>
      <c r="M42" s="1353"/>
    </row>
    <row r="43" spans="1:18" ht="18" customHeight="1" thickBot="1">
      <c r="A43" s="340" t="s">
        <v>1001</v>
      </c>
      <c r="B43" s="341" t="s">
        <v>1452</v>
      </c>
      <c r="C43" s="342">
        <f ca="1">ROUND(C40*10000/F43,0)</f>
        <v>26653</v>
      </c>
      <c r="D43" s="343" t="s">
        <v>1453</v>
      </c>
      <c r="E43" s="344" t="s">
        <v>1454</v>
      </c>
      <c r="F43" s="345">
        <f ca="1">INDIRECT("'数据-取费表'!k"&amp;$G$1)</f>
        <v>8042.29</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5" thickBot="1">
      <c r="A46" s="1588" t="s">
        <v>1485</v>
      </c>
      <c r="C46" s="1589">
        <f ca="1">C68-C40</f>
        <v>-23466</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3144</v>
      </c>
      <c r="K47" s="1600" t="s">
        <v>1492</v>
      </c>
      <c r="L47" s="1601">
        <f ca="1">INDIRECT("'数据-取费表'!d"&amp;$G$1)</f>
        <v>50</v>
      </c>
      <c r="M47" s="1564" t="str">
        <f>IF(ISNUMBER(FIND("住宅",C1)),"住宅","非住宅")</f>
        <v>非住宅</v>
      </c>
      <c r="O47" s="1602" t="s">
        <v>1008</v>
      </c>
      <c r="P47" s="1603" t="s">
        <v>1493</v>
      </c>
      <c r="Q47" s="1604">
        <f ca="1">C40+J29</f>
        <v>21435</v>
      </c>
      <c r="R47" s="1604" t="s">
        <v>1494</v>
      </c>
    </row>
    <row r="48" spans="1:18" s="1568" customFormat="1" ht="28.5" thickBot="1">
      <c r="A48" s="1270" t="s">
        <v>1103</v>
      </c>
      <c r="B48" s="306" t="s">
        <v>1366</v>
      </c>
      <c r="C48" s="1543">
        <f ca="1">C49+C53+C55</f>
        <v>0</v>
      </c>
      <c r="D48" s="1272"/>
      <c r="E48" s="1273"/>
      <c r="F48" s="1093"/>
      <c r="G48" s="731"/>
      <c r="H48" s="732"/>
      <c r="I48" s="1605" t="s">
        <v>1495</v>
      </c>
      <c r="J48" s="1606" t="s">
        <v>3145</v>
      </c>
      <c r="K48" s="1607" t="s">
        <v>1496</v>
      </c>
      <c r="L48" s="1608">
        <f ca="1">INDIRECT("'数据-取费表'!f"&amp;$G$1)</f>
        <v>35.06</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v>2007</v>
      </c>
      <c r="K49" s="1607" t="s">
        <v>1500</v>
      </c>
      <c r="L49" s="1611"/>
      <c r="O49" s="1612" t="s">
        <v>1010</v>
      </c>
      <c r="P49" s="1603" t="s">
        <v>1501</v>
      </c>
      <c r="Q49" s="1604">
        <f ca="1">C29</f>
        <v>5202</v>
      </c>
      <c r="R49" s="1604" t="s">
        <v>1494</v>
      </c>
    </row>
    <row r="50" spans="1:18" s="1568" customFormat="1" ht="13.5" thickBot="1">
      <c r="A50" s="1107"/>
      <c r="B50" s="1110"/>
      <c r="C50" s="1278"/>
      <c r="D50" s="1084"/>
      <c r="E50" s="1187" t="s">
        <v>1371</v>
      </c>
      <c r="F50" s="1188">
        <f ca="1">F7</f>
        <v>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v>
      </c>
      <c r="I51" s="1616" t="s">
        <v>1505</v>
      </c>
      <c r="J51" s="1617">
        <f>IF(J49="",J50,J49+J50-YEAR('数据-取费表'!B2))</f>
        <v>46</v>
      </c>
      <c r="K51" s="1618" t="s">
        <v>1506</v>
      </c>
      <c r="L51" s="1619">
        <f ca="1">ROUND(-PV(INDIRECT("'数据-取费表'!h"&amp;$G$1),J51,(C39-C13*C76),0),0)</f>
        <v>13450</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35.06</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35.06</v>
      </c>
      <c r="K53" s="3461" t="s">
        <v>1513</v>
      </c>
      <c r="L53" s="3462"/>
      <c r="O53" s="1602" t="s">
        <v>1014</v>
      </c>
      <c r="P53" s="1603" t="s">
        <v>1514</v>
      </c>
      <c r="Q53" s="1604">
        <f ca="1">Q47+Q48</f>
        <v>21435</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4110</v>
      </c>
      <c r="D56" s="1631"/>
      <c r="E56" s="1632"/>
      <c r="F56" s="1624"/>
      <c r="I56" s="1633" t="s">
        <v>1519</v>
      </c>
      <c r="J56" s="1634" t="s">
        <v>3070</v>
      </c>
      <c r="K56" s="1605" t="s">
        <v>1520</v>
      </c>
      <c r="L56" s="1608" t="str">
        <f ca="1">IF(L48&lt;J51,"——",L48-J53)</f>
        <v>——</v>
      </c>
      <c r="O56" s="1602" t="s">
        <v>1008</v>
      </c>
      <c r="P56" s="1603" t="s">
        <v>1493</v>
      </c>
      <c r="Q56" s="1604">
        <f ca="1">C40+J29</f>
        <v>21435</v>
      </c>
      <c r="R56" s="1604" t="s">
        <v>1494</v>
      </c>
    </row>
    <row r="57" spans="1:18" s="1568" customFormat="1" ht="24.75" thickBot="1">
      <c r="A57" s="1635"/>
      <c r="B57" s="1081" t="s">
        <v>1443</v>
      </c>
      <c r="C57" s="244">
        <f ca="1">C29</f>
        <v>5202</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140</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56</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43.7</v>
      </c>
      <c r="D61" s="1554" t="s">
        <v>1403</v>
      </c>
      <c r="E61" s="1081" t="s">
        <v>1459</v>
      </c>
      <c r="F61" s="328">
        <f t="shared" si="0"/>
        <v>1.2E-2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11.96</v>
      </c>
      <c r="D62" s="1096" t="s">
        <v>1462</v>
      </c>
      <c r="E62" s="1081" t="s">
        <v>1463</v>
      </c>
      <c r="F62" s="331">
        <f t="shared" si="0"/>
        <v>30</v>
      </c>
      <c r="I62" s="1646" t="s">
        <v>1535</v>
      </c>
      <c r="J62" s="1647" t="s">
        <v>1536</v>
      </c>
      <c r="K62" s="1647" t="s">
        <v>1537</v>
      </c>
      <c r="L62" s="1647" t="s">
        <v>1538</v>
      </c>
      <c r="M62" s="1648" t="s">
        <v>1539</v>
      </c>
      <c r="O62" s="1602" t="s">
        <v>1014</v>
      </c>
      <c r="P62" s="1603" t="s">
        <v>1540</v>
      </c>
      <c r="Q62" s="1604">
        <f ca="1">Q56+Q57</f>
        <v>21435</v>
      </c>
      <c r="R62" s="1604" t="s">
        <v>1015</v>
      </c>
    </row>
    <row r="63" spans="1:18" s="1568" customFormat="1" ht="13.5" thickBot="1">
      <c r="A63" s="332"/>
      <c r="B63" s="1087"/>
      <c r="C63" s="29"/>
      <c r="D63" s="1097"/>
      <c r="E63" s="1081" t="s">
        <v>1464</v>
      </c>
      <c r="F63" s="309">
        <f t="shared" ca="1" si="0"/>
        <v>3986.98</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78</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6.2</v>
      </c>
      <c r="D65" s="1095" t="s">
        <v>1419</v>
      </c>
      <c r="E65" s="1081" t="s">
        <v>1420</v>
      </c>
      <c r="F65" s="336">
        <f t="shared" ca="1" si="0"/>
        <v>1.5E-3</v>
      </c>
      <c r="I65" s="1646" t="s">
        <v>1544</v>
      </c>
      <c r="J65" s="1647">
        <v>40</v>
      </c>
      <c r="K65" s="1647">
        <v>30</v>
      </c>
      <c r="L65" s="1647">
        <v>50</v>
      </c>
      <c r="M65" s="1649">
        <v>0.02</v>
      </c>
      <c r="O65" s="1602" t="s">
        <v>1008</v>
      </c>
      <c r="P65" s="1603" t="s">
        <v>1545</v>
      </c>
      <c r="Q65" s="1604">
        <f ca="1">C40+J29</f>
        <v>21435</v>
      </c>
      <c r="R65" s="1604" t="s">
        <v>1494</v>
      </c>
    </row>
    <row r="66" spans="1:18" s="1568" customFormat="1" ht="16.5" thickBot="1">
      <c r="A66" s="1113" t="s">
        <v>1469</v>
      </c>
      <c r="B66" s="1081" t="s">
        <v>1404</v>
      </c>
      <c r="C66" s="24">
        <f ca="1">ROUND(C48*F66,1)</f>
        <v>0</v>
      </c>
      <c r="D66" s="1095" t="s">
        <v>1470</v>
      </c>
      <c r="E66" s="1081" t="s">
        <v>1387</v>
      </c>
      <c r="F66" s="318">
        <f t="shared" ca="1" si="0"/>
        <v>0.02</v>
      </c>
      <c r="O66" s="1602" t="s">
        <v>1009</v>
      </c>
      <c r="P66" s="1603" t="s">
        <v>1523</v>
      </c>
      <c r="Q66" s="1604">
        <f ca="1">L60</f>
        <v>0</v>
      </c>
      <c r="R66" s="1604" t="s">
        <v>1546</v>
      </c>
    </row>
    <row r="67" spans="1:18" s="1568" customFormat="1" ht="16.5" thickBot="1">
      <c r="A67" s="1088" t="s">
        <v>999</v>
      </c>
      <c r="B67" s="1098" t="s">
        <v>1428</v>
      </c>
      <c r="C67" s="322">
        <f ca="1">C48-C58</f>
        <v>-140</v>
      </c>
      <c r="D67" s="1094" t="s">
        <v>1429</v>
      </c>
      <c r="E67" s="1099"/>
      <c r="F67" s="1100"/>
      <c r="O67" s="1612" t="s">
        <v>1010</v>
      </c>
      <c r="P67" s="1603" t="s">
        <v>1527</v>
      </c>
      <c r="Q67" s="1650">
        <f ca="1">L51</f>
        <v>13450</v>
      </c>
      <c r="R67" s="1604" t="s">
        <v>1547</v>
      </c>
    </row>
    <row r="68" spans="1:18" s="1568" customFormat="1" ht="16.5" thickBot="1">
      <c r="A68" s="1078" t="s">
        <v>1000</v>
      </c>
      <c r="B68" s="1079" t="s">
        <v>1450</v>
      </c>
      <c r="C68" s="307">
        <f ca="1">ROUND(C67*(1-((1+F70)/(1+F68))^F69)/(F68-F70),0)</f>
        <v>-2031</v>
      </c>
      <c r="D68" s="1096" t="s">
        <v>1434</v>
      </c>
      <c r="E68" s="1081" t="s">
        <v>1435</v>
      </c>
      <c r="F68" s="318">
        <f ca="1">F40</f>
        <v>0.06</v>
      </c>
      <c r="O68" s="1612" t="s">
        <v>1011</v>
      </c>
      <c r="P68" s="1651" t="s">
        <v>1548</v>
      </c>
      <c r="Q68" s="1604">
        <f ca="1">ROUND(Q69-Q70*Q71,0)</f>
        <v>809</v>
      </c>
      <c r="R68" s="1604" t="s">
        <v>1019</v>
      </c>
    </row>
    <row r="69" spans="1:18" s="1568" customFormat="1" ht="13.5" thickBot="1">
      <c r="A69" s="1082"/>
      <c r="B69" s="1083"/>
      <c r="C69" s="312"/>
      <c r="D69" s="1101" t="s">
        <v>1438</v>
      </c>
      <c r="E69" s="1081" t="s">
        <v>1439</v>
      </c>
      <c r="F69" s="339">
        <f ca="1">F41</f>
        <v>35.06</v>
      </c>
      <c r="O69" s="1612" t="s">
        <v>1016</v>
      </c>
      <c r="P69" s="1651" t="s">
        <v>1549</v>
      </c>
      <c r="Q69" s="1604">
        <f ca="1">C39</f>
        <v>1158</v>
      </c>
      <c r="R69" s="1604" t="s">
        <v>1494</v>
      </c>
    </row>
    <row r="70" spans="1:18" s="1568" customFormat="1" ht="13.5" thickBot="1">
      <c r="A70" s="1085"/>
      <c r="B70" s="1086"/>
      <c r="C70" s="316"/>
      <c r="D70" s="1097"/>
      <c r="E70" s="1081" t="s">
        <v>1442</v>
      </c>
      <c r="F70" s="1185"/>
      <c r="O70" s="1612" t="s">
        <v>1017</v>
      </c>
      <c r="P70" s="1651" t="s">
        <v>1550</v>
      </c>
      <c r="Q70" s="1604">
        <f ca="1">C13</f>
        <v>4110</v>
      </c>
      <c r="R70" s="1604" t="s">
        <v>1494</v>
      </c>
    </row>
    <row r="71" spans="1:18" s="1568" customFormat="1" ht="13.5" thickBot="1">
      <c r="A71" s="1102" t="s">
        <v>1001</v>
      </c>
      <c r="B71" s="1103" t="s">
        <v>1452</v>
      </c>
      <c r="C71" s="342">
        <f ca="1">ROUND(C68*10000/F71,0)</f>
        <v>-2525</v>
      </c>
      <c r="D71" s="1104" t="s">
        <v>1453</v>
      </c>
      <c r="E71" s="1105" t="s">
        <v>1454</v>
      </c>
      <c r="F71" s="345">
        <f ca="1">F43</f>
        <v>8042.29</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349</v>
      </c>
      <c r="D75" s="1568"/>
      <c r="E75" s="1568"/>
      <c r="F75" s="1568"/>
      <c r="K75" s="1586"/>
      <c r="L75" s="1568"/>
      <c r="O75" s="1602" t="s">
        <v>1014</v>
      </c>
      <c r="P75" s="1603" t="s">
        <v>1514</v>
      </c>
      <c r="Q75" s="1604">
        <f ca="1">Q65+Q66</f>
        <v>21435</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0.69900000000000007</v>
      </c>
    </row>
    <row r="80" spans="1:18">
      <c r="B80" s="346" t="s">
        <v>1476</v>
      </c>
      <c r="C80" s="280">
        <f ca="1">ROUND(C75/C39,3)</f>
        <v>0.30099999999999999</v>
      </c>
    </row>
    <row r="81" spans="2:3">
      <c r="B81" s="276" t="s">
        <v>1477</v>
      </c>
      <c r="C81" s="244"/>
    </row>
    <row r="82" spans="2:3">
      <c r="B82" s="279" t="s">
        <v>1478</v>
      </c>
      <c r="C82" s="281">
        <f ca="1">1-C83</f>
        <v>0.80800000000000005</v>
      </c>
    </row>
    <row r="83" spans="2:3">
      <c r="B83" s="279" t="s">
        <v>1479</v>
      </c>
      <c r="C83" s="280">
        <f ca="1">ROUND(C13/C40,3)</f>
        <v>0.192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4"/>
      <c r="H2" s="2923"/>
      <c r="I2" s="2923"/>
      <c r="J2" s="2923"/>
      <c r="K2" s="2924"/>
      <c r="L2" s="2923"/>
      <c r="M2" s="2923"/>
    </row>
    <row r="3" spans="1:37" ht="18" customHeight="1" thickBot="1">
      <c r="A3" s="1574" t="s">
        <v>1558</v>
      </c>
      <c r="B3" s="1575">
        <f ca="1">IF(ISERROR(D2/F43),0,ROUND(D2/F43,0))</f>
        <v>0</v>
      </c>
      <c r="C3" s="1571" t="s">
        <v>1559</v>
      </c>
      <c r="D3" s="1571"/>
      <c r="E3" s="1572"/>
      <c r="F3" s="1573"/>
      <c r="G3" s="2934"/>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463" t="s">
        <v>1368</v>
      </c>
      <c r="C6" s="1206">
        <f ca="1">ROUND(F6*F8*F7*(1-F9),0)</f>
        <v>0</v>
      </c>
      <c r="D6" s="160" t="s">
        <v>2846</v>
      </c>
      <c r="E6" s="308" t="s">
        <v>1370</v>
      </c>
      <c r="F6" s="309">
        <f ca="1">INDIRECT("'数据-取费表'!u"&amp;$G$1)</f>
        <v>0</v>
      </c>
      <c r="G6" s="1568"/>
      <c r="H6" s="1201" t="s">
        <v>1003</v>
      </c>
      <c r="I6" s="3463" t="s">
        <v>1368</v>
      </c>
      <c r="J6" s="307">
        <f ca="1">ROUND(M6*M8*M7*(1-M9),0)</f>
        <v>0</v>
      </c>
      <c r="K6" s="1560" t="s">
        <v>2847</v>
      </c>
      <c r="L6" s="308" t="s">
        <v>1370</v>
      </c>
      <c r="M6" s="309">
        <f ca="1">INDIRECT("'数据-取费表'!z"&amp;$G$1)</f>
        <v>0</v>
      </c>
    </row>
    <row r="7" spans="1:37" ht="18" customHeight="1">
      <c r="A7" s="1205"/>
      <c r="B7" s="3464"/>
      <c r="C7" s="1207"/>
      <c r="D7" s="313"/>
      <c r="E7" s="1208" t="s">
        <v>1371</v>
      </c>
      <c r="F7" s="309">
        <f ca="1">IF(INDIRECT("'数据-取费表'!ah"&amp;$G$1)="",INDIRECT("'数据-取费表'!k"&amp;$G$1),INDIRECT("'数据-取费表'!ah"&amp;$G$1))</f>
        <v>0</v>
      </c>
      <c r="G7" s="1568"/>
      <c r="H7" s="310"/>
      <c r="I7" s="3464"/>
      <c r="J7" s="312"/>
      <c r="K7" s="313"/>
      <c r="L7" s="308" t="s">
        <v>1371</v>
      </c>
      <c r="M7" s="309">
        <f ca="1">F7</f>
        <v>0</v>
      </c>
    </row>
    <row r="8" spans="1:37" ht="18" customHeight="1">
      <c r="A8" s="310"/>
      <c r="B8" s="3464"/>
      <c r="C8" s="312"/>
      <c r="D8" s="313"/>
      <c r="E8" s="308" t="s">
        <v>1372</v>
      </c>
      <c r="F8" s="309">
        <f ca="1">INDIRECT("'数据-取费表'!ai"&amp;$G$1)</f>
        <v>0</v>
      </c>
      <c r="G8" s="1568"/>
      <c r="H8" s="310"/>
      <c r="I8" s="3464"/>
      <c r="J8" s="312"/>
      <c r="K8" s="313"/>
      <c r="L8" s="308" t="s">
        <v>1372</v>
      </c>
      <c r="M8" s="309">
        <f ca="1">INDIRECT("'数据-取费表'!ai"&amp;$G$1)</f>
        <v>0</v>
      </c>
    </row>
    <row r="9" spans="1:37" ht="18" customHeight="1">
      <c r="A9" s="310"/>
      <c r="B9" s="3465"/>
      <c r="C9" s="312"/>
      <c r="D9" s="313"/>
      <c r="E9" s="308" t="s">
        <v>1373</v>
      </c>
      <c r="F9" s="318">
        <f ca="1">INDIRECT("'数据-取费表'!w"&amp;$G$1)</f>
        <v>0</v>
      </c>
      <c r="G9" s="1568"/>
      <c r="H9" s="310"/>
      <c r="I9" s="3465"/>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5"/>
      <c r="I30" s="1582"/>
      <c r="J30" s="1583"/>
      <c r="K30" s="2701"/>
      <c r="L30" s="2926"/>
      <c r="M30" s="2927"/>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8" t="s">
        <v>3056</v>
      </c>
      <c r="I31" s="1582"/>
      <c r="J31" s="1583"/>
      <c r="K31" s="2701"/>
      <c r="L31" s="2926"/>
      <c r="M31" s="2927"/>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5"/>
      <c r="I32" s="1582"/>
      <c r="J32" s="1583"/>
      <c r="K32" s="2701"/>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8"/>
      <c r="I33" s="1582"/>
      <c r="J33" s="1583"/>
      <c r="K33" s="2929"/>
      <c r="L33" s="2928"/>
      <c r="M33" s="2928"/>
    </row>
    <row r="34" spans="1:18" ht="18" customHeight="1">
      <c r="A34" s="1201" t="s">
        <v>1354</v>
      </c>
      <c r="B34" s="160" t="s">
        <v>1406</v>
      </c>
      <c r="C34" s="25">
        <f ca="1">IF(项目基本情况!B11="自然人","——",ROUND(F34*F35,))</f>
        <v>0</v>
      </c>
      <c r="D34" s="330" t="s">
        <v>1407</v>
      </c>
      <c r="E34" s="308" t="s">
        <v>1408</v>
      </c>
      <c r="F34" s="331">
        <f>'数据-取费表'!B52</f>
        <v>30</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ROUND(C29*F36,0)</f>
        <v>0</v>
      </c>
      <c r="D36" s="1528" t="s">
        <v>1447</v>
      </c>
      <c r="E36" s="308" t="s">
        <v>1387</v>
      </c>
      <c r="F36" s="334">
        <f ca="1">INDIRECT("'数据-取费表'!Ak"&amp;$G$1)</f>
        <v>0</v>
      </c>
      <c r="G36" s="1568"/>
      <c r="H36" s="2928"/>
      <c r="I36" s="1582"/>
      <c r="J36" s="1583"/>
      <c r="K36" s="2770"/>
      <c r="L36" s="2928"/>
      <c r="M36" s="2928"/>
    </row>
    <row r="37" spans="1:18" ht="18" customHeight="1">
      <c r="A37" s="1113" t="s">
        <v>1043</v>
      </c>
      <c r="B37" s="308" t="s">
        <v>1418</v>
      </c>
      <c r="C37" s="24">
        <f ca="1">ROUND(C13*F37,0)</f>
        <v>0</v>
      </c>
      <c r="D37" s="1528" t="s">
        <v>1419</v>
      </c>
      <c r="E37" s="308" t="s">
        <v>1420</v>
      </c>
      <c r="F37" s="336">
        <f ca="1">INDIRECT("'数据-取费表'!Al"&amp;$G$1)</f>
        <v>0</v>
      </c>
      <c r="G37" s="1568"/>
      <c r="H37" s="2928"/>
      <c r="I37" s="1582"/>
      <c r="J37" s="1583"/>
      <c r="K37" s="2770"/>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8"/>
      <c r="H38" s="2928"/>
      <c r="I38" s="1582"/>
      <c r="J38" s="1583"/>
      <c r="K38" s="2932"/>
      <c r="L38" s="2928"/>
      <c r="M38" s="2928"/>
    </row>
    <row r="39" spans="1:18" ht="24.6" customHeight="1" thickTop="1">
      <c r="A39" s="1239" t="s">
        <v>999</v>
      </c>
      <c r="B39" s="1254" t="s">
        <v>1448</v>
      </c>
      <c r="C39" s="316">
        <f ca="1">C5-C30</f>
        <v>0</v>
      </c>
      <c r="D39" s="1255" t="s">
        <v>1449</v>
      </c>
      <c r="E39" s="1256"/>
      <c r="F39" s="1257"/>
      <c r="G39" s="1568"/>
      <c r="H39" s="2928"/>
      <c r="I39" s="1582"/>
      <c r="J39" s="1583"/>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c r="I53" s="1623" t="s">
        <v>1512</v>
      </c>
      <c r="J53" s="2386">
        <f ca="1">IF(M47="住宅",IF(D1="——",MAX(J51,L48),MAX(J51,L48-'数据-取费表'!B24)),IF(D1="——",MIN(J51,L48),MIN(J51,L48-'数据-取费表'!B24)))</f>
        <v>0</v>
      </c>
      <c r="K53" s="3461" t="s">
        <v>1513</v>
      </c>
      <c r="L53" s="3462"/>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30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5"/>
      <c r="G1" s="1674"/>
      <c r="H1" s="1674"/>
      <c r="I1" s="1674"/>
      <c r="J1" s="1674"/>
      <c r="K1" s="1674"/>
      <c r="L1" s="1674"/>
      <c r="M1" s="1674"/>
      <c r="N1" s="1674"/>
      <c r="O1" s="1674"/>
      <c r="P1" s="1674"/>
      <c r="Q1" s="1674"/>
      <c r="R1" s="1674"/>
      <c r="S1" s="1674"/>
    </row>
    <row r="2" spans="1:22" ht="15.75">
      <c r="A2" s="2056" t="s">
        <v>2148</v>
      </c>
      <c r="B2" s="2057">
        <f ca="1">SUMIF(B6:B13,"&lt;&gt;#ref!",B6:B13)</f>
        <v>21435</v>
      </c>
      <c r="C2" s="2058" t="s">
        <v>2340</v>
      </c>
      <c r="D2" s="2059" t="s">
        <v>2341</v>
      </c>
      <c r="E2" s="2833">
        <f>SUM(E6:E13)</f>
        <v>8042.29</v>
      </c>
      <c r="F2" s="2935"/>
      <c r="G2" s="1674"/>
      <c r="H2" s="1674"/>
      <c r="I2" s="1674"/>
      <c r="J2" s="1674"/>
      <c r="K2" s="1674"/>
      <c r="L2" s="1674"/>
      <c r="M2" s="1674"/>
      <c r="N2" s="1674"/>
      <c r="O2" s="1674"/>
      <c r="P2" s="1674"/>
      <c r="Q2" s="1674"/>
      <c r="R2" s="1674"/>
      <c r="S2" s="1674"/>
    </row>
    <row r="3" spans="1:22" ht="15.75">
      <c r="A3" s="2056" t="s">
        <v>1360</v>
      </c>
      <c r="B3" s="2827">
        <f ca="1">ROUND(B2*10000/E2,0)</f>
        <v>26653</v>
      </c>
      <c r="C3" s="2058" t="s">
        <v>2348</v>
      </c>
      <c r="D3" s="2937"/>
      <c r="E3" s="2939"/>
      <c r="F3" s="2935"/>
      <c r="G3" s="1674"/>
      <c r="H3" s="1674"/>
      <c r="I3" s="1674"/>
      <c r="J3" s="1674"/>
      <c r="K3" s="1674"/>
      <c r="L3" s="1674"/>
      <c r="M3" s="1674"/>
      <c r="N3" s="1674"/>
      <c r="O3" s="1674"/>
      <c r="P3" s="1674"/>
      <c r="Q3" s="1674"/>
      <c r="R3" s="1674"/>
      <c r="S3" s="1674"/>
    </row>
    <row r="4" spans="1:22" ht="15.75">
      <c r="A4" s="2940"/>
      <c r="B4" s="2937"/>
      <c r="C4" s="2937"/>
      <c r="D4" s="2937"/>
      <c r="E4" s="2939"/>
      <c r="F4" s="2935"/>
      <c r="G4" s="1674"/>
      <c r="H4" s="1674"/>
      <c r="I4" s="1674"/>
      <c r="J4" s="1674"/>
      <c r="K4" s="1674"/>
      <c r="L4" s="1674"/>
      <c r="M4" s="1674"/>
      <c r="N4" s="1674"/>
      <c r="O4" s="1674"/>
      <c r="P4" s="1674"/>
      <c r="Q4" s="1674"/>
      <c r="R4" s="1674"/>
      <c r="S4" s="1674"/>
    </row>
    <row r="5" spans="1:22" ht="15">
      <c r="A5" s="2829" t="s">
        <v>2342</v>
      </c>
      <c r="B5" s="3466" t="s">
        <v>2343</v>
      </c>
      <c r="C5" s="3467"/>
      <c r="D5" s="2936"/>
      <c r="E5" s="2060" t="s">
        <v>2344</v>
      </c>
      <c r="F5" s="2061" t="s">
        <v>2345</v>
      </c>
      <c r="G5" s="1674"/>
      <c r="H5" s="1674"/>
      <c r="I5" s="1674"/>
      <c r="J5" s="1674"/>
      <c r="K5" s="1674"/>
      <c r="L5" s="1674"/>
      <c r="M5" s="1674"/>
      <c r="N5" s="1674"/>
      <c r="O5" s="1674"/>
      <c r="P5" s="1674"/>
      <c r="Q5" s="1674"/>
      <c r="R5" s="1674"/>
      <c r="S5" s="1674"/>
    </row>
    <row r="6" spans="1:22">
      <c r="A6" s="2830" t="str">
        <f>'数据-取费表'!AN6</f>
        <v>收益法</v>
      </c>
      <c r="B6" s="2828">
        <f ca="1">IF(F6="是",'数据-取费表'!AO6,0)</f>
        <v>21435</v>
      </c>
      <c r="C6" s="2058" t="s">
        <v>2340</v>
      </c>
      <c r="D6" s="2937"/>
      <c r="E6" s="2832">
        <f>IF(OR(A6=0,F6="否"),0,'数据-取费表'!K6+'数据-取费表'!S6)</f>
        <v>8042.29</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7"/>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7"/>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7"/>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7"/>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7"/>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7"/>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8"/>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估价对象为北京市房地产，为所有。根据《国有土地使用证》[]，估价对象（分摊）出让国有建设用地使用权面积为3986.98平方米，建筑面积为8042.29平方米。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估价对象为北京市房地产,属开发建设的，该项目尚在开发建设中。根据《国有土地使用证》[]，估价对象（分摊）出让国有建设用地使用权面积为3986.98平方米，规划建筑面积为8042.29平方米。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2021年7月19日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19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本次评估采用的主估价方法为成本法和比较法。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43" sqref="L43"/>
    </sheetView>
  </sheetViews>
  <sheetFormatPr defaultRowHeight="13.5"/>
  <cols>
    <col min="1" max="1" width="10.5" customWidth="1"/>
    <col min="2" max="2" width="12.875" customWidth="1"/>
    <col min="3" max="3" width="8.75" customWidth="1"/>
  </cols>
  <sheetData>
    <row r="1" spans="1:9" ht="14.25">
      <c r="A1" s="3468" t="s">
        <v>1044</v>
      </c>
      <c r="B1" s="3469"/>
      <c r="C1" s="3470"/>
      <c r="D1" s="3471">
        <f>SUM(I10,I15,I20,I21,I23)</f>
        <v>0</v>
      </c>
      <c r="E1" s="3471"/>
      <c r="F1" s="3471"/>
      <c r="G1" s="3471"/>
      <c r="H1" s="3471"/>
      <c r="I1" s="3472"/>
    </row>
    <row r="2" spans="1:9">
      <c r="A2" s="3473" t="s">
        <v>1045</v>
      </c>
      <c r="B2" s="3474" t="s">
        <v>1046</v>
      </c>
      <c r="C2" s="3474"/>
      <c r="D2" s="1211" t="s">
        <v>1047</v>
      </c>
      <c r="E2" s="1211" t="s">
        <v>1048</v>
      </c>
      <c r="F2" s="1211" t="s">
        <v>1049</v>
      </c>
      <c r="G2" s="1211" t="s">
        <v>1050</v>
      </c>
      <c r="H2" s="1211" t="s">
        <v>1051</v>
      </c>
      <c r="I2" s="1212" t="s">
        <v>1052</v>
      </c>
    </row>
    <row r="3" spans="1:9">
      <c r="A3" s="3473"/>
      <c r="B3" s="3474" t="s">
        <v>1053</v>
      </c>
      <c r="C3" s="3474"/>
      <c r="D3" s="1213"/>
      <c r="E3" s="1211"/>
      <c r="F3" s="1214"/>
      <c r="G3" s="1214"/>
      <c r="H3" s="1215"/>
      <c r="I3" s="1216">
        <f>ROUND(D3*E3*F3*G3*H3/10000,0)</f>
        <v>0</v>
      </c>
    </row>
    <row r="4" spans="1:9">
      <c r="A4" s="3473"/>
      <c r="B4" s="3474" t="s">
        <v>1054</v>
      </c>
      <c r="C4" s="3474"/>
      <c r="D4" s="1213"/>
      <c r="E4" s="1211"/>
      <c r="F4" s="1214"/>
      <c r="G4" s="1214"/>
      <c r="H4" s="1215"/>
      <c r="I4" s="1216">
        <f t="shared" ref="I4:I9" si="0">ROUND(D4*E4*F4*G4*H4/10000,0)</f>
        <v>0</v>
      </c>
    </row>
    <row r="5" spans="1:9">
      <c r="A5" s="3473"/>
      <c r="B5" s="3474" t="s">
        <v>1055</v>
      </c>
      <c r="C5" s="3474"/>
      <c r="D5" s="1213"/>
      <c r="E5" s="1211"/>
      <c r="F5" s="1214"/>
      <c r="G5" s="1214"/>
      <c r="H5" s="1215"/>
      <c r="I5" s="1216">
        <f t="shared" si="0"/>
        <v>0</v>
      </c>
    </row>
    <row r="6" spans="1:9">
      <c r="A6" s="3473"/>
      <c r="B6" s="3474" t="s">
        <v>1056</v>
      </c>
      <c r="C6" s="3474"/>
      <c r="D6" s="1213"/>
      <c r="E6" s="1211"/>
      <c r="F6" s="1214"/>
      <c r="G6" s="1214"/>
      <c r="H6" s="1215"/>
      <c r="I6" s="1216">
        <f t="shared" si="0"/>
        <v>0</v>
      </c>
    </row>
    <row r="7" spans="1:9">
      <c r="A7" s="3473"/>
      <c r="B7" s="3474" t="s">
        <v>1057</v>
      </c>
      <c r="C7" s="3474"/>
      <c r="D7" s="1213"/>
      <c r="E7" s="1211"/>
      <c r="F7" s="1214"/>
      <c r="G7" s="1214"/>
      <c r="H7" s="1215"/>
      <c r="I7" s="1216">
        <f t="shared" si="0"/>
        <v>0</v>
      </c>
    </row>
    <row r="8" spans="1:9">
      <c r="A8" s="3473"/>
      <c r="B8" s="3474" t="s">
        <v>1058</v>
      </c>
      <c r="C8" s="3474"/>
      <c r="D8" s="1213"/>
      <c r="E8" s="1211"/>
      <c r="F8" s="1214"/>
      <c r="G8" s="1214"/>
      <c r="H8" s="1215"/>
      <c r="I8" s="1216">
        <f t="shared" si="0"/>
        <v>0</v>
      </c>
    </row>
    <row r="9" spans="1:9">
      <c r="A9" s="3473"/>
      <c r="B9" s="3474" t="s">
        <v>1059</v>
      </c>
      <c r="C9" s="3474"/>
      <c r="D9" s="1213"/>
      <c r="E9" s="1211"/>
      <c r="F9" s="1214"/>
      <c r="G9" s="1214"/>
      <c r="H9" s="1215"/>
      <c r="I9" s="1216">
        <f t="shared" si="0"/>
        <v>0</v>
      </c>
    </row>
    <row r="10" spans="1:9">
      <c r="A10" s="3473"/>
      <c r="B10" s="3475" t="s">
        <v>1060</v>
      </c>
      <c r="C10" s="3475"/>
      <c r="D10" s="1217"/>
      <c r="E10" s="1217" t="e">
        <f>ROUND(D1*10000/D10/H9,0)</f>
        <v>#DIV/0!</v>
      </c>
      <c r="F10" s="1218"/>
      <c r="G10" s="1218"/>
      <c r="H10" s="1219"/>
      <c r="I10" s="1220">
        <f>SUM(I3:I9)</f>
        <v>0</v>
      </c>
    </row>
    <row r="11" spans="1:9" ht="14.25">
      <c r="A11" s="3473" t="s">
        <v>1061</v>
      </c>
      <c r="B11" s="3474" t="s">
        <v>1062</v>
      </c>
      <c r="C11" s="3474"/>
      <c r="D11" s="1213" t="s">
        <v>1063</v>
      </c>
      <c r="E11" s="1213" t="s">
        <v>1064</v>
      </c>
      <c r="F11" s="1214" t="s">
        <v>1065</v>
      </c>
      <c r="G11" s="1214" t="s">
        <v>1051</v>
      </c>
      <c r="H11" s="1221" t="s">
        <v>1066</v>
      </c>
      <c r="I11" s="1212" t="s">
        <v>1052</v>
      </c>
    </row>
    <row r="12" spans="1:9">
      <c r="A12" s="3473"/>
      <c r="B12" s="3474" t="s">
        <v>1067</v>
      </c>
      <c r="C12" s="3474"/>
      <c r="D12" s="1213"/>
      <c r="E12" s="1213"/>
      <c r="F12" s="1214"/>
      <c r="G12" s="1215"/>
      <c r="H12" s="1222"/>
      <c r="I12" s="1212">
        <f>ROUND(D12*E12*F12*G12/10000,0)</f>
        <v>0</v>
      </c>
    </row>
    <row r="13" spans="1:9">
      <c r="A13" s="3473"/>
      <c r="B13" s="3474" t="s">
        <v>1068</v>
      </c>
      <c r="C13" s="3474"/>
      <c r="D13" s="1213"/>
      <c r="E13" s="1213"/>
      <c r="F13" s="1214"/>
      <c r="G13" s="1215"/>
      <c r="H13" s="1222"/>
      <c r="I13" s="1212">
        <f>ROUND(D13*E13*F13*G13/10000,0)</f>
        <v>0</v>
      </c>
    </row>
    <row r="14" spans="1:9">
      <c r="A14" s="3473"/>
      <c r="B14" s="3474" t="s">
        <v>1069</v>
      </c>
      <c r="C14" s="3474"/>
      <c r="D14" s="1213"/>
      <c r="E14" s="1213"/>
      <c r="F14" s="1214"/>
      <c r="G14" s="1215"/>
      <c r="H14" s="1222"/>
      <c r="I14" s="1212">
        <f>ROUND(D14*E14*F14*G14/10000,0)</f>
        <v>0</v>
      </c>
    </row>
    <row r="15" spans="1:9">
      <c r="A15" s="3473"/>
      <c r="B15" s="3475" t="s">
        <v>1060</v>
      </c>
      <c r="C15" s="3475"/>
      <c r="D15" s="1217"/>
      <c r="E15" s="1217">
        <f>SUM(E12:E14)</f>
        <v>0</v>
      </c>
      <c r="F15" s="1218"/>
      <c r="G15" s="1215"/>
      <c r="H15" s="1222"/>
      <c r="I15" s="1223">
        <f>SUM(I12:I14)</f>
        <v>0</v>
      </c>
    </row>
    <row r="16" spans="1:9" ht="24">
      <c r="A16" s="3473" t="s">
        <v>1070</v>
      </c>
      <c r="B16" s="3474" t="s">
        <v>1071</v>
      </c>
      <c r="C16" s="3474"/>
      <c r="D16" s="1213" t="s">
        <v>1047</v>
      </c>
      <c r="E16" s="1224" t="s">
        <v>1072</v>
      </c>
      <c r="F16" s="1214" t="s">
        <v>1073</v>
      </c>
      <c r="G16" s="1215" t="s">
        <v>1051</v>
      </c>
      <c r="H16" s="1221" t="s">
        <v>1066</v>
      </c>
      <c r="I16" s="1212" t="s">
        <v>1052</v>
      </c>
    </row>
    <row r="17" spans="1:9" ht="14.25">
      <c r="A17" s="3473"/>
      <c r="B17" s="3474" t="s">
        <v>1074</v>
      </c>
      <c r="C17" s="3474"/>
      <c r="D17" s="1213"/>
      <c r="E17" s="1213"/>
      <c r="F17" s="1214"/>
      <c r="G17" s="1215"/>
      <c r="H17" s="1225"/>
      <c r="I17" s="1226">
        <f>ROUND(D17*E17*F17*G17/10000,0)</f>
        <v>0</v>
      </c>
    </row>
    <row r="18" spans="1:9" ht="14.25">
      <c r="A18" s="3473"/>
      <c r="B18" s="3474" t="s">
        <v>1075</v>
      </c>
      <c r="C18" s="3474"/>
      <c r="D18" s="1213"/>
      <c r="E18" s="1213"/>
      <c r="F18" s="1214"/>
      <c r="G18" s="1215"/>
      <c r="H18" s="1225"/>
      <c r="I18" s="1226">
        <f>ROUND(D18*E18*F18*G18/10000,0)</f>
        <v>0</v>
      </c>
    </row>
    <row r="19" spans="1:9" ht="14.25">
      <c r="A19" s="3473"/>
      <c r="B19" s="3474" t="s">
        <v>1076</v>
      </c>
      <c r="C19" s="3474"/>
      <c r="D19" s="1213"/>
      <c r="E19" s="1213"/>
      <c r="F19" s="1214"/>
      <c r="G19" s="1215"/>
      <c r="H19" s="1225"/>
      <c r="I19" s="1226">
        <f>ROUND(D19*E19*F19*G19/10000,0)</f>
        <v>0</v>
      </c>
    </row>
    <row r="20" spans="1:9">
      <c r="A20" s="3473"/>
      <c r="B20" s="3475" t="s">
        <v>1060</v>
      </c>
      <c r="C20" s="3475"/>
      <c r="D20" s="1217">
        <f>SUM(D17:D19)</f>
        <v>0</v>
      </c>
      <c r="E20" s="1217"/>
      <c r="F20" s="1218"/>
      <c r="G20" s="1215"/>
      <c r="H20" s="1222"/>
      <c r="I20" s="1223">
        <f>SUM(I17:I19)</f>
        <v>0</v>
      </c>
    </row>
    <row r="21" spans="1:9">
      <c r="A21" s="3473" t="s">
        <v>1077</v>
      </c>
      <c r="B21" s="3477"/>
      <c r="C21" s="3477"/>
      <c r="D21" s="3477"/>
      <c r="E21" s="3477"/>
      <c r="F21" s="3477"/>
      <c r="G21" s="3477"/>
      <c r="H21" s="1502">
        <v>0.1</v>
      </c>
      <c r="I21" s="1220">
        <f>ROUND(I10*H21,0)</f>
        <v>0</v>
      </c>
    </row>
    <row r="22" spans="1:9" ht="14.25">
      <c r="A22" s="3478" t="s">
        <v>1078</v>
      </c>
      <c r="B22" s="3479"/>
      <c r="C22" s="3480"/>
      <c r="D22" s="1227" t="s">
        <v>1079</v>
      </c>
      <c r="E22" s="1227" t="s">
        <v>1080</v>
      </c>
      <c r="F22" s="1228" t="s">
        <v>1081</v>
      </c>
      <c r="G22" s="1228" t="s">
        <v>1082</v>
      </c>
      <c r="H22" s="1221" t="s">
        <v>1083</v>
      </c>
      <c r="I22" s="1212" t="s">
        <v>1084</v>
      </c>
    </row>
    <row r="23" spans="1:9" ht="14.25" thickBot="1">
      <c r="A23" s="3481"/>
      <c r="B23" s="3482"/>
      <c r="C23" s="3483"/>
      <c r="D23" s="1229"/>
      <c r="E23" s="1229"/>
      <c r="F23" s="1229"/>
      <c r="G23" s="1230"/>
      <c r="H23" s="1231"/>
      <c r="I23" s="1232">
        <f>ROUND(E23*D23*F23*(1-G23)/10000,0)</f>
        <v>0</v>
      </c>
    </row>
    <row r="26" spans="1:9">
      <c r="A26" s="1233" t="s">
        <v>1085</v>
      </c>
      <c r="B26" s="1233"/>
      <c r="C26" s="1233"/>
      <c r="D26" s="1233"/>
      <c r="E26" s="3484">
        <f>C27-C30-C31-C32</f>
        <v>0</v>
      </c>
      <c r="F26" s="3484"/>
      <c r="G26" s="3484"/>
      <c r="H26" s="1499" t="s">
        <v>1306</v>
      </c>
    </row>
    <row r="27" spans="1:9">
      <c r="A27" s="1234">
        <v>1</v>
      </c>
      <c r="B27" s="1235" t="s">
        <v>1086</v>
      </c>
      <c r="C27" s="1235">
        <f>C28+C29</f>
        <v>0</v>
      </c>
      <c r="D27" s="1235"/>
      <c r="E27" s="3485"/>
      <c r="F27" s="3485"/>
      <c r="G27" s="3485"/>
    </row>
    <row r="28" spans="1:9">
      <c r="A28" s="1236" t="s">
        <v>1087</v>
      </c>
      <c r="B28" s="1235" t="s">
        <v>1088</v>
      </c>
      <c r="C28" s="1235"/>
      <c r="D28" s="1235"/>
      <c r="E28" s="3485"/>
      <c r="F28" s="3485"/>
      <c r="G28" s="3485"/>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476"/>
      <c r="F32" s="3476"/>
      <c r="G32" s="3476"/>
    </row>
    <row r="33" spans="1:7" hidden="1">
      <c r="A33" s="3486" t="s">
        <v>1097</v>
      </c>
      <c r="B33" s="3487"/>
      <c r="C33" s="3487"/>
      <c r="D33" s="3488"/>
      <c r="E33" s="3484"/>
      <c r="F33" s="3484"/>
      <c r="G33" s="3484"/>
    </row>
    <row r="34" spans="1:7" hidden="1">
      <c r="A34" s="1238">
        <v>1</v>
      </c>
      <c r="B34" s="1235" t="s">
        <v>1098</v>
      </c>
      <c r="C34" s="1235"/>
      <c r="D34" s="1235"/>
      <c r="E34" s="3485"/>
      <c r="F34" s="3485"/>
      <c r="G34" s="3485"/>
    </row>
    <row r="35" spans="1:7" hidden="1">
      <c r="A35" s="1238">
        <v>2</v>
      </c>
      <c r="B35" s="1235" t="s">
        <v>1099</v>
      </c>
      <c r="C35" s="1235"/>
      <c r="D35" s="1235"/>
      <c r="E35" s="3485"/>
      <c r="F35" s="3485"/>
      <c r="G35" s="3485"/>
    </row>
    <row r="36" spans="1:7" hidden="1">
      <c r="A36" s="1238">
        <v>3</v>
      </c>
      <c r="B36" s="1235" t="s">
        <v>1100</v>
      </c>
      <c r="C36" s="1235"/>
      <c r="D36" s="1235"/>
      <c r="E36" s="3485"/>
      <c r="F36" s="3485"/>
      <c r="G36" s="3485"/>
    </row>
    <row r="37" spans="1:7" hidden="1">
      <c r="A37" s="1238">
        <v>4</v>
      </c>
      <c r="B37" s="1235" t="s">
        <v>1101</v>
      </c>
      <c r="C37" s="1235"/>
      <c r="D37" s="1235"/>
      <c r="E37" s="3485"/>
      <c r="F37" s="3485"/>
      <c r="G37" s="3485"/>
    </row>
    <row r="38" spans="1:7" hidden="1">
      <c r="A38" s="3486" t="s">
        <v>1102</v>
      </c>
      <c r="B38" s="3487"/>
      <c r="C38" s="3487"/>
      <c r="D38" s="3488"/>
      <c r="E38" s="3484"/>
      <c r="F38" s="3484"/>
      <c r="G38" s="34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O42"/>
  <sheetViews>
    <sheetView topLeftCell="A16" workbookViewId="0">
      <selection activeCell="G32" sqref="G32"/>
    </sheetView>
  </sheetViews>
  <sheetFormatPr defaultColWidth="8.25" defaultRowHeight="15.75"/>
  <cols>
    <col min="1" max="1" width="8.25" style="3066"/>
    <col min="2" max="2" width="19.5" style="3066" customWidth="1"/>
    <col min="3" max="3" width="22" style="3096" customWidth="1"/>
    <col min="4" max="4" width="22" style="3066" customWidth="1"/>
    <col min="5" max="5" width="22" style="3096" customWidth="1"/>
    <col min="6" max="6" width="8.25" style="3066"/>
    <col min="7" max="7" width="13" style="3066" bestFit="1" customWidth="1"/>
    <col min="8" max="8" width="12.75" style="3066" bestFit="1" customWidth="1"/>
    <col min="9" max="9" width="13.5" style="3066" customWidth="1"/>
    <col min="10" max="16384" width="8.25" style="3066"/>
  </cols>
  <sheetData>
    <row r="1" spans="1:8" ht="21">
      <c r="A1" s="3489" t="s">
        <v>3152</v>
      </c>
      <c r="B1" s="3490"/>
      <c r="C1" s="3490"/>
      <c r="D1" s="3490"/>
      <c r="E1" s="3491"/>
    </row>
    <row r="2" spans="1:8" ht="22.9" customHeight="1" thickBot="1">
      <c r="A2" s="3067" t="s">
        <v>3089</v>
      </c>
      <c r="B2" s="3068" t="s">
        <v>3153</v>
      </c>
      <c r="C2" s="3069" t="s">
        <v>3154</v>
      </c>
      <c r="D2" s="3069" t="s">
        <v>3155</v>
      </c>
      <c r="E2" s="3070" t="s">
        <v>3156</v>
      </c>
    </row>
    <row r="3" spans="1:8" ht="23.25" customHeight="1">
      <c r="A3" s="3071">
        <v>1</v>
      </c>
      <c r="B3" s="3072" t="s">
        <v>3157</v>
      </c>
      <c r="C3" s="3073"/>
      <c r="D3" s="3073"/>
      <c r="E3" s="3074"/>
    </row>
    <row r="4" spans="1:8" s="3078" customFormat="1">
      <c r="A4" s="3075" t="s">
        <v>3158</v>
      </c>
      <c r="B4" s="3076" t="s">
        <v>3159</v>
      </c>
      <c r="C4" s="3077">
        <v>23958246.75</v>
      </c>
      <c r="D4" s="3077">
        <v>25315698.149999999</v>
      </c>
      <c r="E4" s="3077">
        <v>24230119.649999999</v>
      </c>
    </row>
    <row r="5" spans="1:8" s="3078" customFormat="1">
      <c r="A5" s="3075" t="s">
        <v>3160</v>
      </c>
      <c r="B5" s="3076" t="s">
        <v>3161</v>
      </c>
      <c r="C5" s="3079">
        <v>608729.63</v>
      </c>
      <c r="D5" s="3080"/>
      <c r="E5" s="3080">
        <v>680486.8</v>
      </c>
    </row>
    <row r="6" spans="1:8" s="3078" customFormat="1">
      <c r="A6" s="3075" t="s">
        <v>3162</v>
      </c>
      <c r="B6" s="3076" t="s">
        <v>3163</v>
      </c>
      <c r="C6" s="3081"/>
      <c r="D6" s="3080"/>
      <c r="E6" s="3080"/>
    </row>
    <row r="7" spans="1:8" s="3078" customFormat="1">
      <c r="A7" s="3075" t="s">
        <v>3164</v>
      </c>
      <c r="B7" s="3076" t="s">
        <v>3165</v>
      </c>
      <c r="C7" s="3081"/>
      <c r="D7" s="3080"/>
      <c r="E7" s="3080"/>
    </row>
    <row r="8" spans="1:8" s="3078" customFormat="1">
      <c r="A8" s="3075" t="s">
        <v>3166</v>
      </c>
      <c r="B8" s="3076" t="s">
        <v>3167</v>
      </c>
      <c r="C8" s="3081">
        <v>102702.72</v>
      </c>
      <c r="D8" s="3080">
        <v>103325.12</v>
      </c>
      <c r="E8" s="3080">
        <v>104349.48</v>
      </c>
    </row>
    <row r="9" spans="1:8" s="3078" customFormat="1">
      <c r="A9" s="3075" t="s">
        <v>3168</v>
      </c>
      <c r="B9" s="3076" t="s">
        <v>3169</v>
      </c>
      <c r="C9" s="3081">
        <v>627353.80000000005</v>
      </c>
      <c r="D9" s="3080">
        <v>95718.61</v>
      </c>
      <c r="E9" s="3080">
        <f>413.15+34182.71</f>
        <v>34595.86</v>
      </c>
    </row>
    <row r="10" spans="1:8" s="3078" customFormat="1" ht="23.85" customHeight="1" thickBot="1">
      <c r="A10" s="3492" t="s">
        <v>3170</v>
      </c>
      <c r="B10" s="3493"/>
      <c r="C10" s="3082">
        <f>SUM(C4:C9)</f>
        <v>25297032.899999999</v>
      </c>
      <c r="D10" s="3082">
        <f>SUM(D4:D9)</f>
        <v>25514741.879999999</v>
      </c>
      <c r="E10" s="3083">
        <f>SUM(E4:E9)</f>
        <v>25049551.789999999</v>
      </c>
      <c r="H10" s="3078">
        <f>C10/'[1]数据-汇总表'!F19/365</f>
        <v>11.653297729945438</v>
      </c>
    </row>
    <row r="11" spans="1:8" s="3078" customFormat="1" ht="25.5" customHeight="1">
      <c r="A11" s="3084">
        <v>2</v>
      </c>
      <c r="B11" s="3085" t="s">
        <v>3171</v>
      </c>
      <c r="C11" s="3086"/>
      <c r="D11" s="3086"/>
      <c r="E11" s="3087"/>
    </row>
    <row r="12" spans="1:8" s="3091" customFormat="1" ht="21.75" customHeight="1">
      <c r="A12" s="3088" t="s">
        <v>3172</v>
      </c>
      <c r="B12" s="3089" t="s">
        <v>3173</v>
      </c>
      <c r="C12" s="3090">
        <f>SUM(C13:C17)</f>
        <v>211754.69999999998</v>
      </c>
      <c r="D12" s="3090">
        <f>SUM(D13:D17)</f>
        <v>11232.04</v>
      </c>
      <c r="E12" s="3083">
        <f>SUM(E13:E17)</f>
        <v>213153.5</v>
      </c>
      <c r="F12" s="3091">
        <f>C12/C10</f>
        <v>8.3707326798788326E-3</v>
      </c>
      <c r="G12" s="3091">
        <f t="shared" ref="G12:H12" si="0">D12/D10</f>
        <v>4.4021766133579246E-4</v>
      </c>
      <c r="H12" s="3091">
        <f t="shared" si="0"/>
        <v>8.5092740096488571E-3</v>
      </c>
    </row>
    <row r="13" spans="1:8" s="3091" customFormat="1" ht="21.75" customHeight="1">
      <c r="A13" s="3075" t="s">
        <v>3174</v>
      </c>
      <c r="B13" s="3076" t="s">
        <v>3175</v>
      </c>
      <c r="C13" s="3092"/>
      <c r="D13" s="3093"/>
      <c r="E13" s="3094"/>
    </row>
    <row r="14" spans="1:8" s="3091" customFormat="1" ht="21.75" customHeight="1">
      <c r="A14" s="3075" t="s">
        <v>3176</v>
      </c>
      <c r="B14" s="3076" t="s">
        <v>3177</v>
      </c>
      <c r="C14" s="3092">
        <v>197370.15</v>
      </c>
      <c r="D14" s="3093"/>
      <c r="E14" s="3094">
        <v>202471.9</v>
      </c>
    </row>
    <row r="15" spans="1:8" s="3091" customFormat="1" ht="21.75" customHeight="1">
      <c r="A15" s="3075" t="s">
        <v>3178</v>
      </c>
      <c r="B15" s="3076" t="s">
        <v>3179</v>
      </c>
      <c r="C15" s="3092"/>
      <c r="D15" s="3093"/>
      <c r="E15" s="3094"/>
    </row>
    <row r="16" spans="1:8" s="3091" customFormat="1" ht="21.75" customHeight="1">
      <c r="A16" s="3075" t="s">
        <v>3180</v>
      </c>
      <c r="B16" s="3076" t="s">
        <v>3181</v>
      </c>
      <c r="C16" s="3092"/>
      <c r="D16" s="3093"/>
      <c r="E16" s="3094"/>
    </row>
    <row r="17" spans="1:9" s="3091" customFormat="1" ht="21.75" customHeight="1">
      <c r="A17" s="3075" t="s">
        <v>3182</v>
      </c>
      <c r="B17" s="3076" t="s">
        <v>3183</v>
      </c>
      <c r="C17" s="3092">
        <f>3654+10730.55</f>
        <v>14384.55</v>
      </c>
      <c r="D17" s="3093">
        <f>-256+11488.04</f>
        <v>11232.04</v>
      </c>
      <c r="E17" s="3094">
        <v>10681.6</v>
      </c>
    </row>
    <row r="18" spans="1:9" s="3091" customFormat="1" ht="21.75" customHeight="1">
      <c r="A18" s="3088" t="s">
        <v>3184</v>
      </c>
      <c r="B18" s="3089" t="s">
        <v>3185</v>
      </c>
      <c r="C18" s="3090">
        <f>SUM(C19:C25)</f>
        <v>13787646.460000001</v>
      </c>
      <c r="D18" s="3090">
        <f>SUM(D19:D25)</f>
        <v>11588029.57</v>
      </c>
      <c r="E18" s="3095">
        <f>SUM(E19:E25)</f>
        <v>11069255.109999999</v>
      </c>
      <c r="F18" s="3091">
        <f>C18/C10</f>
        <v>0.5450301825713324</v>
      </c>
      <c r="G18" s="3091">
        <f t="shared" ref="G18:H18" si="1">D18/D10</f>
        <v>0.45416997061935399</v>
      </c>
      <c r="H18" s="3091">
        <f t="shared" si="1"/>
        <v>0.44189433818208845</v>
      </c>
    </row>
    <row r="19" spans="1:9" s="3078" customFormat="1" ht="21.75" customHeight="1">
      <c r="A19" s="3075" t="s">
        <v>3186</v>
      </c>
      <c r="B19" s="3076" t="s">
        <v>3187</v>
      </c>
      <c r="C19" s="3096">
        <f>127792+302908.44</f>
        <v>430700.44</v>
      </c>
      <c r="D19" s="3097">
        <v>337543.28</v>
      </c>
      <c r="E19" s="3098">
        <v>266427.05</v>
      </c>
    </row>
    <row r="20" spans="1:9" s="3099" customFormat="1">
      <c r="A20" s="3075" t="s">
        <v>3188</v>
      </c>
      <c r="B20" s="3076" t="s">
        <v>3189</v>
      </c>
      <c r="C20" s="3081">
        <v>52903.76</v>
      </c>
      <c r="D20" s="3080">
        <v>44805.89</v>
      </c>
      <c r="E20" s="3098">
        <v>43126.84</v>
      </c>
    </row>
    <row r="21" spans="1:9" s="3078" customFormat="1" ht="21.75" customHeight="1">
      <c r="A21" s="3075" t="s">
        <v>3190</v>
      </c>
      <c r="B21" s="3076" t="s">
        <v>3191</v>
      </c>
      <c r="C21" s="3081">
        <v>42209.71</v>
      </c>
      <c r="D21" s="3080">
        <v>34686.01</v>
      </c>
      <c r="E21" s="3098">
        <v>7488.99</v>
      </c>
    </row>
    <row r="22" spans="1:9" s="3078" customFormat="1" ht="21.75" customHeight="1">
      <c r="A22" s="3075" t="s">
        <v>3192</v>
      </c>
      <c r="B22" s="3076" t="s">
        <v>3193</v>
      </c>
      <c r="C22" s="3081">
        <v>8695482.6899999995</v>
      </c>
      <c r="D22" s="3080">
        <v>6694049.5700000003</v>
      </c>
      <c r="E22" s="3098">
        <v>6596915.4699999997</v>
      </c>
      <c r="F22" s="3078">
        <f>C22/C18</f>
        <v>0.6306720088324631</v>
      </c>
      <c r="G22" s="3078">
        <f t="shared" ref="G22:H22" si="2">D22/D18</f>
        <v>0.57766935522239959</v>
      </c>
      <c r="H22" s="3078">
        <f t="shared" si="2"/>
        <v>0.59596742549011505</v>
      </c>
    </row>
    <row r="23" spans="1:9" s="3078" customFormat="1" ht="21.75" customHeight="1">
      <c r="A23" s="3075" t="s">
        <v>3194</v>
      </c>
      <c r="B23" s="3076" t="s">
        <v>3195</v>
      </c>
      <c r="C23" s="3081">
        <v>330695.63</v>
      </c>
      <c r="D23" s="3080">
        <f>324889.76-1202.54</f>
        <v>323687.22000000003</v>
      </c>
      <c r="E23" s="3098">
        <v>381039.21</v>
      </c>
    </row>
    <row r="24" spans="1:9" s="3078" customFormat="1" ht="21.75" customHeight="1">
      <c r="A24" s="3075" t="s">
        <v>3196</v>
      </c>
      <c r="B24" s="3100" t="s">
        <v>3197</v>
      </c>
      <c r="C24" s="3096">
        <v>1483530</v>
      </c>
      <c r="D24" s="3080">
        <v>1030610.45</v>
      </c>
      <c r="E24" s="3098">
        <v>990505.81</v>
      </c>
    </row>
    <row r="25" spans="1:9" s="3078" customFormat="1" ht="21.75" customHeight="1">
      <c r="A25" s="3075" t="s">
        <v>3198</v>
      </c>
      <c r="B25" s="3076" t="s">
        <v>3199</v>
      </c>
      <c r="C25" s="3081">
        <v>2752124.23</v>
      </c>
      <c r="D25" s="3080">
        <v>3122647.15</v>
      </c>
      <c r="E25" s="3098">
        <v>2783751.74</v>
      </c>
    </row>
    <row r="26" spans="1:9" s="3091" customFormat="1" ht="21.75" customHeight="1">
      <c r="A26" s="3088" t="s">
        <v>3200</v>
      </c>
      <c r="B26" s="3089" t="s">
        <v>3201</v>
      </c>
      <c r="C26" s="3090">
        <f>SUM(C27:C29)</f>
        <v>1606193.7299999997</v>
      </c>
      <c r="D26" s="3090">
        <f>SUM(D27:D29)</f>
        <v>1649820.89</v>
      </c>
      <c r="E26" s="3095">
        <f>SUM(E27:E29)</f>
        <v>1662262.21</v>
      </c>
    </row>
    <row r="27" spans="1:9" s="3078" customFormat="1" ht="24.75" customHeight="1">
      <c r="A27" s="3075" t="s">
        <v>3202</v>
      </c>
      <c r="B27" s="3076" t="s">
        <v>3203</v>
      </c>
      <c r="C27" s="3081">
        <v>1405994.44</v>
      </c>
      <c r="D27" s="3080">
        <v>1419890.54</v>
      </c>
      <c r="E27" s="3098">
        <v>1416362.44</v>
      </c>
    </row>
    <row r="28" spans="1:9" s="3078" customFormat="1" ht="24" customHeight="1">
      <c r="A28" s="3075" t="s">
        <v>3204</v>
      </c>
      <c r="B28" s="3076" t="s">
        <v>3205</v>
      </c>
      <c r="C28" s="3081">
        <f>231.85+80358.04</f>
        <v>80589.89</v>
      </c>
      <c r="D28" s="3080">
        <v>110320.95</v>
      </c>
      <c r="E28" s="3098">
        <v>126290.37</v>
      </c>
    </row>
    <row r="29" spans="1:9">
      <c r="A29" s="3075" t="s">
        <v>3206</v>
      </c>
      <c r="B29" s="3076" t="s">
        <v>3207</v>
      </c>
      <c r="C29" s="3101">
        <v>119609.4</v>
      </c>
      <c r="D29" s="3102">
        <v>119609.4</v>
      </c>
      <c r="E29" s="3103">
        <v>119609.4</v>
      </c>
    </row>
    <row r="30" spans="1:9" ht="24" customHeight="1" thickBot="1">
      <c r="A30" s="3494" t="s">
        <v>3208</v>
      </c>
      <c r="B30" s="3495"/>
      <c r="C30" s="3104">
        <f>SUM(C12,C18,C26)</f>
        <v>15605594.890000001</v>
      </c>
      <c r="D30" s="3105">
        <f>SUM(D12,D18,D26)</f>
        <v>13249082.5</v>
      </c>
      <c r="E30" s="3106">
        <f>SUM(E12,E18,E26)</f>
        <v>12944670.82</v>
      </c>
    </row>
    <row r="31" spans="1:9" ht="24" customHeight="1" thickBot="1">
      <c r="A31" s="3496" t="s">
        <v>3209</v>
      </c>
      <c r="B31" s="3497"/>
      <c r="C31" s="3107">
        <f>C10-C30</f>
        <v>9691438.0099999979</v>
      </c>
      <c r="D31" s="3108">
        <f>D10-D30</f>
        <v>12265659.379999999</v>
      </c>
      <c r="E31" s="3109">
        <f>E10-E30</f>
        <v>12104880.969999999</v>
      </c>
      <c r="G31" s="3110">
        <f>C31+C26+C19+C20+C23</f>
        <v>12111931.569999998</v>
      </c>
      <c r="H31" s="3110">
        <f t="shared" ref="H31:I31" si="3">D31+D26+D19+D20+D23</f>
        <v>14621516.66</v>
      </c>
      <c r="I31" s="3110">
        <f t="shared" si="3"/>
        <v>14457736.280000001</v>
      </c>
    </row>
    <row r="32" spans="1:9">
      <c r="A32" s="3111">
        <v>3</v>
      </c>
      <c r="B32" s="3112" t="s">
        <v>3210</v>
      </c>
      <c r="C32" s="3113">
        <f>SUM(C33:C35)</f>
        <v>1130669.5900000001</v>
      </c>
      <c r="D32" s="3114">
        <f>SUM(D33:D35)</f>
        <v>1210815.07</v>
      </c>
      <c r="E32" s="3115">
        <f>SUM(E33:E35)</f>
        <v>1210332.21</v>
      </c>
    </row>
    <row r="33" spans="1:223">
      <c r="A33" s="3075" t="s">
        <v>3211</v>
      </c>
      <c r="B33" s="3116" t="s">
        <v>3212</v>
      </c>
      <c r="C33" s="3101"/>
      <c r="D33" s="3102"/>
      <c r="E33" s="3103"/>
    </row>
    <row r="34" spans="1:223">
      <c r="A34" s="3075" t="s">
        <v>3213</v>
      </c>
      <c r="B34" s="3116" t="s">
        <v>3214</v>
      </c>
      <c r="C34" s="3101"/>
      <c r="D34" s="3102"/>
      <c r="E34" s="3103"/>
    </row>
    <row r="35" spans="1:223" s="3122" customFormat="1" ht="16.5" thickBot="1">
      <c r="A35" s="3117" t="s">
        <v>3215</v>
      </c>
      <c r="B35" s="3118" t="s">
        <v>3216</v>
      </c>
      <c r="C35" s="3119">
        <v>1130669.5900000001</v>
      </c>
      <c r="D35" s="3120">
        <v>1210815.07</v>
      </c>
      <c r="E35" s="3121">
        <v>1210332.21</v>
      </c>
    </row>
    <row r="36" spans="1:223">
      <c r="A36" s="3111">
        <v>4</v>
      </c>
      <c r="B36" s="3123" t="s">
        <v>3217</v>
      </c>
      <c r="C36" s="3124"/>
      <c r="D36" s="3124"/>
      <c r="E36" s="3125"/>
    </row>
    <row r="37" spans="1:223">
      <c r="A37" s="3075" t="s">
        <v>3218</v>
      </c>
      <c r="B37" s="3076" t="s">
        <v>3219</v>
      </c>
      <c r="C37" s="3126">
        <v>164</v>
      </c>
      <c r="D37" s="3126">
        <v>164</v>
      </c>
      <c r="E37" s="3127">
        <v>164</v>
      </c>
    </row>
    <row r="38" spans="1:223">
      <c r="A38" s="3075" t="s">
        <v>3220</v>
      </c>
      <c r="B38" s="3076" t="s">
        <v>3221</v>
      </c>
      <c r="C38" s="3128">
        <v>0.89570000000000005</v>
      </c>
      <c r="D38" s="3128">
        <v>0.88290000000000002</v>
      </c>
      <c r="E38" s="3129">
        <v>0.83799999999999997</v>
      </c>
    </row>
    <row r="39" spans="1:223">
      <c r="A39" s="3075" t="s">
        <v>3222</v>
      </c>
      <c r="B39" s="3076" t="s">
        <v>3223</v>
      </c>
      <c r="C39" s="3130">
        <v>446.8</v>
      </c>
      <c r="D39" s="3130">
        <v>480.29</v>
      </c>
      <c r="E39" s="3131">
        <v>482.99</v>
      </c>
    </row>
    <row r="40" spans="1:223">
      <c r="A40" s="3075" t="s">
        <v>3224</v>
      </c>
      <c r="B40" s="3076" t="s">
        <v>3225</v>
      </c>
      <c r="C40" s="3126">
        <v>93714</v>
      </c>
      <c r="D40" s="3126">
        <v>92268</v>
      </c>
      <c r="E40" s="3127">
        <v>87369</v>
      </c>
    </row>
    <row r="41" spans="1:223" ht="16.5" thickBot="1">
      <c r="A41" s="3117" t="s">
        <v>3226</v>
      </c>
      <c r="B41" s="3132" t="s">
        <v>3227</v>
      </c>
      <c r="C41" s="3133">
        <v>80</v>
      </c>
      <c r="D41" s="3133">
        <v>56</v>
      </c>
      <c r="E41" s="3134">
        <f>725/12</f>
        <v>60.416666666666664</v>
      </c>
    </row>
    <row r="42" spans="1:223" s="3122" customFormat="1">
      <c r="B42" s="3066"/>
      <c r="C42" s="3096"/>
      <c r="D42" s="3066"/>
      <c r="E42" s="3096"/>
      <c r="F42" s="3135"/>
      <c r="G42" s="3135"/>
      <c r="H42" s="3135"/>
      <c r="I42" s="3135"/>
      <c r="J42" s="3135"/>
      <c r="K42" s="3135"/>
      <c r="L42" s="3135"/>
      <c r="M42" s="3135"/>
      <c r="N42" s="3135"/>
      <c r="O42" s="3135"/>
      <c r="P42" s="3135"/>
      <c r="Q42" s="3135"/>
      <c r="R42" s="3135"/>
      <c r="S42" s="3135"/>
      <c r="T42" s="3135"/>
      <c r="U42" s="3135"/>
      <c r="V42" s="3135"/>
      <c r="W42" s="3135"/>
      <c r="X42" s="3135"/>
      <c r="Y42" s="3135"/>
      <c r="Z42" s="3135"/>
      <c r="AA42" s="3135"/>
      <c r="AB42" s="3135"/>
      <c r="AC42" s="3135"/>
      <c r="AD42" s="3135"/>
      <c r="AE42" s="3135"/>
      <c r="AF42" s="3135"/>
      <c r="AG42" s="3135"/>
      <c r="AH42" s="3135"/>
      <c r="AI42" s="3135"/>
      <c r="AJ42" s="3135"/>
      <c r="AK42" s="3135"/>
      <c r="AL42" s="3135"/>
      <c r="AM42" s="3135"/>
      <c r="AN42" s="3135"/>
      <c r="AO42" s="3135"/>
      <c r="AP42" s="3135"/>
      <c r="AQ42" s="3135"/>
      <c r="AR42" s="3135"/>
      <c r="AS42" s="3135"/>
      <c r="AT42" s="3135"/>
      <c r="AU42" s="3135"/>
      <c r="AV42" s="3135"/>
      <c r="AW42" s="3135"/>
      <c r="AX42" s="3135"/>
      <c r="AY42" s="3135"/>
      <c r="AZ42" s="3135"/>
      <c r="BA42" s="3135"/>
      <c r="BB42" s="3135"/>
      <c r="BC42" s="3135"/>
      <c r="BD42" s="3135"/>
      <c r="BE42" s="3135"/>
      <c r="BF42" s="3135"/>
      <c r="BG42" s="3135"/>
      <c r="BH42" s="3135"/>
      <c r="BI42" s="3135"/>
      <c r="BJ42" s="3135"/>
      <c r="BK42" s="3135"/>
      <c r="BL42" s="3135"/>
      <c r="BM42" s="3135"/>
      <c r="BN42" s="3135"/>
      <c r="BO42" s="3135"/>
      <c r="BP42" s="3135"/>
      <c r="BQ42" s="3135"/>
      <c r="BR42" s="3135"/>
      <c r="BS42" s="3135"/>
      <c r="BT42" s="3135"/>
      <c r="BU42" s="3135"/>
      <c r="BV42" s="3135"/>
      <c r="BW42" s="3135"/>
      <c r="BX42" s="3135"/>
      <c r="BY42" s="3135"/>
      <c r="BZ42" s="3135"/>
      <c r="CA42" s="3135"/>
      <c r="CB42" s="3135"/>
      <c r="CC42" s="3135"/>
      <c r="CD42" s="3135"/>
      <c r="CE42" s="3135"/>
      <c r="CF42" s="3135"/>
      <c r="CG42" s="3135"/>
      <c r="CH42" s="3135"/>
      <c r="CI42" s="3135"/>
      <c r="CJ42" s="3135"/>
      <c r="CK42" s="3135"/>
      <c r="CL42" s="3135"/>
      <c r="CM42" s="3135"/>
      <c r="CN42" s="3135"/>
      <c r="CO42" s="3135"/>
      <c r="CP42" s="3135"/>
      <c r="CQ42" s="3135"/>
      <c r="CR42" s="3135"/>
      <c r="CS42" s="3135"/>
      <c r="CT42" s="3135"/>
      <c r="CU42" s="3135"/>
      <c r="CV42" s="3135"/>
      <c r="CW42" s="3135"/>
      <c r="CX42" s="3135"/>
      <c r="CY42" s="3135"/>
      <c r="CZ42" s="3135"/>
      <c r="DA42" s="3135"/>
      <c r="DB42" s="3135"/>
      <c r="DC42" s="3135"/>
      <c r="DD42" s="3135"/>
      <c r="DE42" s="3135"/>
      <c r="DF42" s="3135"/>
      <c r="DG42" s="3135"/>
      <c r="DH42" s="3135"/>
      <c r="DI42" s="3135"/>
      <c r="DJ42" s="3135"/>
      <c r="DK42" s="3135"/>
      <c r="DL42" s="3135"/>
      <c r="DM42" s="3135"/>
      <c r="DN42" s="3135"/>
      <c r="DO42" s="3135"/>
      <c r="DP42" s="3135"/>
      <c r="DQ42" s="3135"/>
      <c r="DR42" s="3135"/>
      <c r="DS42" s="3135"/>
      <c r="DT42" s="3135"/>
      <c r="DU42" s="3135"/>
      <c r="DV42" s="3135"/>
      <c r="DW42" s="3135"/>
      <c r="DX42" s="3135"/>
      <c r="DY42" s="3135"/>
      <c r="DZ42" s="3135"/>
      <c r="EA42" s="3135"/>
      <c r="EB42" s="3135"/>
      <c r="EC42" s="3135"/>
      <c r="ED42" s="3135"/>
      <c r="EE42" s="3135"/>
      <c r="EF42" s="3135"/>
      <c r="EG42" s="3135"/>
      <c r="EH42" s="3135"/>
      <c r="EI42" s="3135"/>
      <c r="EJ42" s="3135"/>
      <c r="EK42" s="3135"/>
      <c r="EL42" s="3135"/>
      <c r="EM42" s="3135"/>
      <c r="EN42" s="3135"/>
      <c r="EO42" s="3135"/>
      <c r="EP42" s="3135"/>
      <c r="EQ42" s="3135"/>
      <c r="ER42" s="3135"/>
      <c r="ES42" s="3135"/>
      <c r="ET42" s="3135"/>
      <c r="EU42" s="3135"/>
      <c r="EV42" s="3135"/>
      <c r="EW42" s="3135"/>
      <c r="EX42" s="3135"/>
      <c r="EY42" s="3135"/>
      <c r="EZ42" s="3135"/>
      <c r="FA42" s="3135"/>
      <c r="FB42" s="3135"/>
      <c r="FC42" s="3135"/>
      <c r="FD42" s="3135"/>
      <c r="FE42" s="3135"/>
      <c r="FF42" s="3135"/>
      <c r="FG42" s="3135"/>
      <c r="FH42" s="3135"/>
      <c r="FI42" s="3135"/>
      <c r="FJ42" s="3135"/>
      <c r="FK42" s="3135"/>
      <c r="FL42" s="3135"/>
      <c r="FM42" s="3135"/>
      <c r="FN42" s="3135"/>
      <c r="FO42" s="3135"/>
      <c r="FP42" s="3135"/>
      <c r="FQ42" s="3135"/>
      <c r="FR42" s="3135"/>
      <c r="FS42" s="3135"/>
      <c r="FT42" s="3135"/>
      <c r="FU42" s="3135"/>
      <c r="FV42" s="3135"/>
      <c r="FW42" s="3135"/>
      <c r="FX42" s="3135"/>
      <c r="FY42" s="3135"/>
      <c r="FZ42" s="3135"/>
      <c r="GA42" s="3135"/>
      <c r="GB42" s="3135"/>
      <c r="GC42" s="3135"/>
      <c r="GD42" s="3135"/>
      <c r="GE42" s="3135"/>
      <c r="GF42" s="3135"/>
      <c r="GG42" s="3135"/>
      <c r="GH42" s="3135"/>
      <c r="GI42" s="3135"/>
      <c r="GJ42" s="3135"/>
      <c r="GK42" s="3135"/>
      <c r="GL42" s="3135"/>
      <c r="GM42" s="3135"/>
      <c r="GN42" s="3135"/>
      <c r="GO42" s="3135"/>
      <c r="GP42" s="3135"/>
      <c r="GQ42" s="3135"/>
      <c r="GR42" s="3135"/>
      <c r="GS42" s="3135"/>
      <c r="GT42" s="3135"/>
      <c r="GU42" s="3135"/>
      <c r="GV42" s="3135"/>
      <c r="GW42" s="3135"/>
      <c r="GX42" s="3135"/>
      <c r="GY42" s="3135"/>
      <c r="GZ42" s="3135"/>
      <c r="HA42" s="3135"/>
      <c r="HB42" s="3135"/>
      <c r="HC42" s="3135"/>
      <c r="HD42" s="3135"/>
      <c r="HE42" s="3135"/>
      <c r="HF42" s="3135"/>
      <c r="HG42" s="3135"/>
      <c r="HH42" s="3135"/>
      <c r="HI42" s="3135"/>
      <c r="HJ42" s="3135"/>
      <c r="HK42" s="3135"/>
      <c r="HL42" s="3135"/>
      <c r="HM42" s="3135"/>
      <c r="HN42" s="3135"/>
      <c r="HO42" s="3135"/>
    </row>
  </sheetData>
  <mergeCells count="4">
    <mergeCell ref="A1:E1"/>
    <mergeCell ref="A10:B10"/>
    <mergeCell ref="A30:B30"/>
    <mergeCell ref="A31:B31"/>
  </mergeCells>
  <phoneticPr fontId="140" type="noConversion"/>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0"/>
  <sheetViews>
    <sheetView workbookViewId="0">
      <selection activeCell="F5" sqref="F5"/>
    </sheetView>
  </sheetViews>
  <sheetFormatPr defaultColWidth="7.875" defaultRowHeight="15.75"/>
  <cols>
    <col min="1" max="1" width="12" style="3136" customWidth="1"/>
    <col min="2" max="2" width="11" style="3136" customWidth="1"/>
    <col min="3" max="3" width="7.875" style="3136"/>
    <col min="4" max="4" width="13.75" style="3136" customWidth="1"/>
    <col min="5" max="5" width="12.875" style="3136" customWidth="1"/>
    <col min="6" max="7" width="19.25" style="3136" customWidth="1"/>
    <col min="8" max="8" width="19.875" style="3136" customWidth="1"/>
    <col min="9" max="9" width="13" style="3136" customWidth="1"/>
    <col min="10" max="10" width="11" style="3136" customWidth="1"/>
    <col min="11" max="11" width="11" style="3136" hidden="1" customWidth="1"/>
    <col min="12" max="15" width="8.75" style="3136" hidden="1" customWidth="1"/>
    <col min="16" max="250" width="8.75" style="3136" customWidth="1"/>
    <col min="251" max="251" width="1.25" style="3136" customWidth="1"/>
    <col min="252" max="252" width="36.125" style="3136" customWidth="1"/>
    <col min="253" max="253" width="55.125" style="3136" customWidth="1"/>
    <col min="254" max="254" width="27.25" style="3136" customWidth="1"/>
    <col min="255" max="255" width="20.375" style="3136" customWidth="1"/>
    <col min="256" max="16384" width="7.875" style="3136"/>
  </cols>
  <sheetData>
    <row r="1" spans="1:256" ht="21">
      <c r="A1" s="3501" t="s">
        <v>3228</v>
      </c>
      <c r="B1" s="3501"/>
      <c r="C1" s="3501"/>
      <c r="D1" s="3501"/>
      <c r="E1" s="3501"/>
      <c r="F1" s="3501"/>
      <c r="G1" s="3501"/>
      <c r="H1" s="3501"/>
      <c r="I1" s="3501"/>
      <c r="J1" s="3501"/>
    </row>
    <row r="3" spans="1:256">
      <c r="A3" s="3502" t="s">
        <v>3229</v>
      </c>
      <c r="B3" s="3503"/>
      <c r="C3" s="3503"/>
      <c r="D3" s="3504"/>
    </row>
    <row r="4" spans="1:256">
      <c r="A4" s="3137" t="s">
        <v>3230</v>
      </c>
      <c r="B4" s="3505" t="s">
        <v>3231</v>
      </c>
      <c r="C4" s="3505"/>
      <c r="D4" s="3506"/>
    </row>
    <row r="5" spans="1:256">
      <c r="A5" s="3137" t="s">
        <v>3232</v>
      </c>
      <c r="B5" s="3507" t="s">
        <v>3233</v>
      </c>
      <c r="C5" s="3507"/>
      <c r="D5" s="3508"/>
    </row>
    <row r="6" spans="1:256" ht="16.5" thickBot="1">
      <c r="A6" s="3137" t="s">
        <v>3234</v>
      </c>
      <c r="B6" s="3138">
        <v>2007</v>
      </c>
      <c r="C6" s="3139" t="s">
        <v>3235</v>
      </c>
      <c r="D6" s="3140" t="s">
        <v>3236</v>
      </c>
    </row>
    <row r="7" spans="1:256">
      <c r="A7" s="3137" t="s">
        <v>3237</v>
      </c>
      <c r="B7" s="3138">
        <v>169</v>
      </c>
      <c r="C7" s="3139" t="s">
        <v>3238</v>
      </c>
      <c r="D7" s="3141" t="s">
        <v>3239</v>
      </c>
      <c r="K7" s="3142" t="s">
        <v>3240</v>
      </c>
      <c r="L7" s="3143" t="s">
        <v>3241</v>
      </c>
      <c r="M7" s="3143" t="s">
        <v>3242</v>
      </c>
      <c r="N7" s="3143" t="s">
        <v>3243</v>
      </c>
      <c r="O7" s="3144" t="s">
        <v>3244</v>
      </c>
    </row>
    <row r="8" spans="1:256">
      <c r="A8" s="3137" t="s">
        <v>3245</v>
      </c>
      <c r="B8" s="3138" t="s">
        <v>3246</v>
      </c>
      <c r="C8" s="3139" t="s">
        <v>3247</v>
      </c>
      <c r="D8" s="3140">
        <v>5933.06</v>
      </c>
      <c r="K8" s="3145" t="s">
        <v>3248</v>
      </c>
      <c r="L8" s="3146"/>
      <c r="M8" s="3146"/>
      <c r="N8" s="3146"/>
      <c r="O8" s="3147">
        <f>+O10-O9</f>
        <v>5933.06</v>
      </c>
    </row>
    <row r="9" spans="1:256">
      <c r="A9" s="3137" t="s">
        <v>3249</v>
      </c>
      <c r="B9" s="3138" t="s">
        <v>3135</v>
      </c>
      <c r="C9" s="3139" t="s">
        <v>3250</v>
      </c>
      <c r="D9" s="3140">
        <v>2160</v>
      </c>
      <c r="K9" s="3145" t="s">
        <v>3251</v>
      </c>
      <c r="L9" s="3146">
        <v>710</v>
      </c>
      <c r="M9" s="3146">
        <v>680</v>
      </c>
      <c r="N9" s="3146">
        <v>770</v>
      </c>
      <c r="O9" s="3147">
        <f>SUM(L9:N9)</f>
        <v>2160</v>
      </c>
    </row>
    <row r="10" spans="1:256" ht="16.5" thickBot="1">
      <c r="A10" s="3148" t="s">
        <v>3252</v>
      </c>
      <c r="B10" s="3149" t="s">
        <v>3253</v>
      </c>
      <c r="C10" s="3150" t="s">
        <v>3098</v>
      </c>
      <c r="D10" s="3151">
        <f>+D8+D9</f>
        <v>8093.06</v>
      </c>
      <c r="K10" s="3145" t="s">
        <v>3254</v>
      </c>
      <c r="L10" s="3146"/>
      <c r="M10" s="3146"/>
      <c r="N10" s="3146"/>
      <c r="O10" s="3147">
        <f>2160+5933.06</f>
        <v>8093.06</v>
      </c>
    </row>
    <row r="11" spans="1:256" ht="16.5" thickBot="1">
      <c r="K11" s="3145" t="s">
        <v>3255</v>
      </c>
      <c r="L11" s="3146"/>
      <c r="M11" s="3146"/>
      <c r="N11" s="3146"/>
      <c r="O11" s="3147">
        <v>100</v>
      </c>
    </row>
    <row r="12" spans="1:256" ht="32.25" thickBot="1">
      <c r="A12" s="3498" t="s">
        <v>3256</v>
      </c>
      <c r="B12" s="3152" t="s">
        <v>3257</v>
      </c>
      <c r="C12" s="3152" t="s">
        <v>3258</v>
      </c>
      <c r="D12" s="3152" t="s">
        <v>3259</v>
      </c>
      <c r="E12" s="3152" t="s">
        <v>3260</v>
      </c>
      <c r="F12" s="3152" t="s">
        <v>3261</v>
      </c>
      <c r="G12" s="3152" t="s">
        <v>3262</v>
      </c>
      <c r="H12" s="3152" t="s">
        <v>3263</v>
      </c>
      <c r="I12" s="3152" t="s">
        <v>3264</v>
      </c>
      <c r="J12" s="3153" t="s">
        <v>3265</v>
      </c>
      <c r="K12" s="3154" t="s">
        <v>3266</v>
      </c>
      <c r="L12" s="3155"/>
      <c r="M12" s="3155"/>
      <c r="N12" s="3155"/>
      <c r="O12" s="3156">
        <v>276.02999999999997</v>
      </c>
      <c r="P12" s="3096"/>
      <c r="Q12" s="3096"/>
      <c r="R12" s="3096"/>
      <c r="S12" s="3096"/>
      <c r="T12" s="3096"/>
      <c r="U12" s="3096"/>
      <c r="V12" s="3096"/>
      <c r="W12" s="3096"/>
      <c r="X12" s="3096"/>
      <c r="Y12" s="3096"/>
      <c r="Z12" s="3096"/>
      <c r="AA12" s="3096"/>
      <c r="AB12" s="3096"/>
      <c r="AC12" s="3096"/>
      <c r="AD12" s="3096"/>
      <c r="AE12" s="3096"/>
      <c r="AF12" s="3096"/>
      <c r="AG12" s="3096"/>
      <c r="AH12" s="3096"/>
      <c r="AI12" s="3096"/>
      <c r="AJ12" s="3096"/>
      <c r="AK12" s="3096"/>
      <c r="AL12" s="3096"/>
      <c r="AM12" s="3096"/>
      <c r="AN12" s="3096"/>
      <c r="AO12" s="3096"/>
      <c r="AP12" s="3096"/>
      <c r="AQ12" s="3096"/>
      <c r="AR12" s="3096"/>
      <c r="AS12" s="3096"/>
      <c r="AT12" s="3096"/>
      <c r="AU12" s="3096"/>
      <c r="AV12" s="3096"/>
      <c r="AW12" s="3096"/>
      <c r="AX12" s="3096"/>
      <c r="AY12" s="3096"/>
      <c r="AZ12" s="3096"/>
      <c r="BA12" s="3096"/>
      <c r="BB12" s="3096"/>
      <c r="BC12" s="3096"/>
      <c r="BD12" s="3096"/>
      <c r="BE12" s="3096"/>
      <c r="BF12" s="3096"/>
      <c r="BG12" s="3096"/>
      <c r="BH12" s="3096"/>
      <c r="BI12" s="3096"/>
      <c r="BJ12" s="3096"/>
      <c r="BK12" s="3096"/>
      <c r="BL12" s="3096"/>
      <c r="BM12" s="3096"/>
      <c r="BN12" s="3096"/>
      <c r="BO12" s="3096"/>
      <c r="BP12" s="3096"/>
      <c r="BQ12" s="3096"/>
      <c r="BR12" s="3096"/>
      <c r="BS12" s="3096"/>
      <c r="BT12" s="3096"/>
      <c r="BU12" s="3096"/>
      <c r="BV12" s="3096"/>
      <c r="BW12" s="3096"/>
      <c r="BX12" s="3096"/>
      <c r="BY12" s="3096"/>
      <c r="BZ12" s="3096"/>
      <c r="CA12" s="3096"/>
      <c r="CB12" s="3096"/>
      <c r="CC12" s="3096"/>
      <c r="CD12" s="3096"/>
      <c r="CE12" s="3096"/>
      <c r="CF12" s="3096"/>
      <c r="CG12" s="3096"/>
      <c r="CH12" s="3096"/>
      <c r="CI12" s="3096"/>
      <c r="CJ12" s="3096"/>
      <c r="CK12" s="3096"/>
      <c r="CL12" s="3096"/>
      <c r="CM12" s="3096"/>
      <c r="CN12" s="3096"/>
      <c r="CO12" s="3096"/>
      <c r="CP12" s="3096"/>
      <c r="CQ12" s="3096"/>
      <c r="CR12" s="3096"/>
      <c r="CS12" s="3096"/>
      <c r="CT12" s="3096"/>
      <c r="CU12" s="3096"/>
      <c r="CV12" s="3096"/>
      <c r="CW12" s="3096"/>
      <c r="CX12" s="3096"/>
      <c r="CY12" s="3096"/>
      <c r="CZ12" s="3096"/>
      <c r="DA12" s="3096"/>
      <c r="DB12" s="3096"/>
      <c r="DC12" s="3096"/>
      <c r="DD12" s="3096"/>
      <c r="DE12" s="3096"/>
      <c r="DF12" s="3096"/>
      <c r="DG12" s="3096"/>
      <c r="DH12" s="3096"/>
      <c r="DI12" s="3096"/>
      <c r="DJ12" s="3096"/>
      <c r="DK12" s="3096"/>
      <c r="DL12" s="3096"/>
      <c r="DM12" s="3096"/>
      <c r="DN12" s="3096"/>
      <c r="DO12" s="3096"/>
      <c r="DP12" s="3096"/>
      <c r="DQ12" s="3096"/>
      <c r="DR12" s="3096"/>
      <c r="DS12" s="3096"/>
      <c r="DT12" s="3096"/>
      <c r="DU12" s="3096"/>
      <c r="DV12" s="3096"/>
      <c r="DW12" s="3096"/>
      <c r="DX12" s="3096"/>
      <c r="DY12" s="3096"/>
      <c r="DZ12" s="3096"/>
      <c r="EA12" s="3096"/>
      <c r="EB12" s="3096"/>
      <c r="EC12" s="3096"/>
      <c r="ED12" s="3096"/>
      <c r="EE12" s="3096"/>
      <c r="EF12" s="3096"/>
      <c r="EG12" s="3096"/>
      <c r="EH12" s="3096"/>
      <c r="EI12" s="3096"/>
      <c r="EJ12" s="3096"/>
      <c r="EK12" s="3096"/>
      <c r="EL12" s="3096"/>
      <c r="EM12" s="3096"/>
      <c r="EN12" s="3096"/>
      <c r="EO12" s="3096"/>
      <c r="EP12" s="3096"/>
      <c r="EQ12" s="3096"/>
      <c r="ER12" s="3096"/>
      <c r="ES12" s="3096"/>
      <c r="ET12" s="3096"/>
      <c r="EU12" s="3096"/>
      <c r="EV12" s="3096"/>
      <c r="EW12" s="3096"/>
      <c r="EX12" s="3096"/>
      <c r="EY12" s="3096"/>
      <c r="EZ12" s="3096"/>
      <c r="FA12" s="3096"/>
      <c r="FB12" s="3096"/>
      <c r="FC12" s="3096"/>
      <c r="FD12" s="3096"/>
      <c r="FE12" s="3096"/>
      <c r="FF12" s="3096"/>
      <c r="FG12" s="3096"/>
      <c r="FH12" s="3096"/>
      <c r="FI12" s="3096"/>
      <c r="FJ12" s="3096"/>
      <c r="FK12" s="3096"/>
      <c r="FL12" s="3096"/>
      <c r="FM12" s="3096"/>
      <c r="FN12" s="3096"/>
      <c r="FO12" s="3096"/>
      <c r="FP12" s="3096"/>
      <c r="FQ12" s="3096"/>
      <c r="FR12" s="3096"/>
      <c r="FS12" s="3096"/>
      <c r="FT12" s="3096"/>
      <c r="FU12" s="3096"/>
      <c r="FV12" s="3096"/>
      <c r="FW12" s="3096"/>
      <c r="FX12" s="3096"/>
      <c r="FY12" s="3096"/>
      <c r="FZ12" s="3096"/>
      <c r="GA12" s="3096"/>
      <c r="GB12" s="3096"/>
      <c r="GC12" s="3096"/>
      <c r="GD12" s="3096"/>
      <c r="GE12" s="3096"/>
      <c r="GF12" s="3096"/>
      <c r="GG12" s="3096"/>
      <c r="GH12" s="3096"/>
      <c r="GI12" s="3096"/>
      <c r="GJ12" s="3096"/>
      <c r="GK12" s="3096"/>
      <c r="GL12" s="3096"/>
      <c r="GM12" s="3096"/>
      <c r="GN12" s="3096"/>
      <c r="GO12" s="3096"/>
      <c r="GP12" s="3096"/>
      <c r="GQ12" s="3096"/>
      <c r="GR12" s="3096"/>
      <c r="GS12" s="3096"/>
      <c r="GT12" s="3096"/>
      <c r="GU12" s="3096"/>
      <c r="GV12" s="3096"/>
      <c r="GW12" s="3096"/>
      <c r="GX12" s="3096"/>
      <c r="GY12" s="3096"/>
      <c r="GZ12" s="3096"/>
      <c r="HA12" s="3096"/>
      <c r="HB12" s="3096"/>
      <c r="HC12" s="3096"/>
      <c r="HD12" s="3096"/>
      <c r="HE12" s="3096"/>
      <c r="HF12" s="3096"/>
      <c r="HG12" s="3096"/>
      <c r="HH12" s="3096"/>
      <c r="HI12" s="3096"/>
      <c r="HJ12" s="3096"/>
      <c r="HK12" s="3096"/>
      <c r="HL12" s="3096"/>
      <c r="HM12" s="3096"/>
      <c r="HN12" s="3096"/>
      <c r="HO12" s="3096"/>
      <c r="HP12" s="3096"/>
      <c r="HQ12" s="3096"/>
      <c r="HR12" s="3096"/>
      <c r="HS12" s="3096"/>
      <c r="HT12" s="3096"/>
      <c r="HU12" s="3096"/>
      <c r="HV12" s="3096"/>
      <c r="HW12" s="3096"/>
      <c r="HX12" s="3096"/>
      <c r="HY12" s="3096"/>
      <c r="HZ12" s="3096"/>
      <c r="IA12" s="3096"/>
      <c r="IB12" s="3096"/>
      <c r="IC12" s="3096"/>
      <c r="ID12" s="3096"/>
      <c r="IE12" s="3096"/>
      <c r="IF12" s="3096"/>
      <c r="IG12" s="3096"/>
      <c r="IH12" s="3096"/>
      <c r="II12" s="3096"/>
      <c r="IJ12" s="3096"/>
      <c r="IK12" s="3096"/>
      <c r="IL12" s="3096"/>
      <c r="IM12" s="3096"/>
      <c r="IN12" s="3096"/>
      <c r="IO12" s="3096"/>
      <c r="IP12" s="3096"/>
      <c r="IQ12" s="3096"/>
      <c r="IR12" s="3096"/>
      <c r="IS12" s="3096"/>
      <c r="IT12" s="3096"/>
      <c r="IU12" s="3096"/>
      <c r="IV12" s="3096"/>
    </row>
    <row r="13" spans="1:256">
      <c r="A13" s="3499"/>
      <c r="B13" s="3157" t="s">
        <v>3267</v>
      </c>
      <c r="C13" s="3157" t="s">
        <v>3268</v>
      </c>
      <c r="D13" s="3157">
        <v>24</v>
      </c>
      <c r="E13" s="3157">
        <v>18</v>
      </c>
      <c r="F13" s="3157">
        <v>688</v>
      </c>
      <c r="G13" s="3157">
        <v>396</v>
      </c>
      <c r="H13" s="3158">
        <v>0.4</v>
      </c>
      <c r="I13" s="3158">
        <v>0.14000000000000001</v>
      </c>
      <c r="J13" s="3159"/>
      <c r="K13" s="3096"/>
      <c r="L13" s="3096"/>
      <c r="M13" s="3096"/>
      <c r="N13" s="3096"/>
      <c r="O13" s="3096"/>
      <c r="P13" s="3096"/>
      <c r="Q13" s="3096"/>
      <c r="R13" s="3096"/>
      <c r="S13" s="3096"/>
      <c r="T13" s="3096"/>
      <c r="U13" s="3096"/>
      <c r="V13" s="3096"/>
      <c r="W13" s="3096"/>
      <c r="X13" s="3096"/>
      <c r="Y13" s="3096"/>
      <c r="Z13" s="3096"/>
      <c r="AA13" s="3096"/>
      <c r="AB13" s="3096"/>
      <c r="AC13" s="3096"/>
      <c r="AD13" s="3096"/>
      <c r="AE13" s="3096"/>
      <c r="AF13" s="3096"/>
      <c r="AG13" s="3096"/>
      <c r="AH13" s="3096"/>
      <c r="AI13" s="3096"/>
      <c r="AJ13" s="3096"/>
      <c r="AK13" s="3096"/>
      <c r="AL13" s="3096"/>
      <c r="AM13" s="3096"/>
      <c r="AN13" s="3096"/>
      <c r="AO13" s="3096"/>
      <c r="AP13" s="3096"/>
      <c r="AQ13" s="3096"/>
      <c r="AR13" s="3096"/>
      <c r="AS13" s="3096"/>
      <c r="AT13" s="3096"/>
      <c r="AU13" s="3096"/>
      <c r="AV13" s="3096"/>
      <c r="AW13" s="3096"/>
      <c r="AX13" s="3096"/>
      <c r="AY13" s="3096"/>
      <c r="AZ13" s="3096"/>
      <c r="BA13" s="3096"/>
      <c r="BB13" s="3096"/>
      <c r="BC13" s="3096"/>
      <c r="BD13" s="3096"/>
      <c r="BE13" s="3096"/>
      <c r="BF13" s="3096"/>
      <c r="BG13" s="3096"/>
      <c r="BH13" s="3096"/>
      <c r="BI13" s="3096"/>
      <c r="BJ13" s="3096"/>
      <c r="BK13" s="3096"/>
      <c r="BL13" s="3096"/>
      <c r="BM13" s="3096"/>
      <c r="BN13" s="3096"/>
      <c r="BO13" s="3096"/>
      <c r="BP13" s="3096"/>
      <c r="BQ13" s="3096"/>
      <c r="BR13" s="3096"/>
      <c r="BS13" s="3096"/>
      <c r="BT13" s="3096"/>
      <c r="BU13" s="3096"/>
      <c r="BV13" s="3096"/>
      <c r="BW13" s="3096"/>
      <c r="BX13" s="3096"/>
      <c r="BY13" s="3096"/>
      <c r="BZ13" s="3096"/>
      <c r="CA13" s="3096"/>
      <c r="CB13" s="3096"/>
      <c r="CC13" s="3096"/>
      <c r="CD13" s="3096"/>
      <c r="CE13" s="3096"/>
      <c r="CF13" s="3096"/>
      <c r="CG13" s="3096"/>
      <c r="CH13" s="3096"/>
      <c r="CI13" s="3096"/>
      <c r="CJ13" s="3096"/>
      <c r="CK13" s="3096"/>
      <c r="CL13" s="3096"/>
      <c r="CM13" s="3096"/>
      <c r="CN13" s="3096"/>
      <c r="CO13" s="3096"/>
      <c r="CP13" s="3096"/>
      <c r="CQ13" s="3096"/>
      <c r="CR13" s="3096"/>
      <c r="CS13" s="3096"/>
      <c r="CT13" s="3096"/>
      <c r="CU13" s="3096"/>
      <c r="CV13" s="3096"/>
      <c r="CW13" s="3096"/>
      <c r="CX13" s="3096"/>
      <c r="CY13" s="3096"/>
      <c r="CZ13" s="3096"/>
      <c r="DA13" s="3096"/>
      <c r="DB13" s="3096"/>
      <c r="DC13" s="3096"/>
      <c r="DD13" s="3096"/>
      <c r="DE13" s="3096"/>
      <c r="DF13" s="3096"/>
      <c r="DG13" s="3096"/>
      <c r="DH13" s="3096"/>
      <c r="DI13" s="3096"/>
      <c r="DJ13" s="3096"/>
      <c r="DK13" s="3096"/>
      <c r="DL13" s="3096"/>
      <c r="DM13" s="3096"/>
      <c r="DN13" s="3096"/>
      <c r="DO13" s="3096"/>
      <c r="DP13" s="3096"/>
      <c r="DQ13" s="3096"/>
      <c r="DR13" s="3096"/>
      <c r="DS13" s="3096"/>
      <c r="DT13" s="3096"/>
      <c r="DU13" s="3096"/>
      <c r="DV13" s="3096"/>
      <c r="DW13" s="3096"/>
      <c r="DX13" s="3096"/>
      <c r="DY13" s="3096"/>
      <c r="DZ13" s="3096"/>
      <c r="EA13" s="3096"/>
      <c r="EB13" s="3096"/>
      <c r="EC13" s="3096"/>
      <c r="ED13" s="3096"/>
      <c r="EE13" s="3096"/>
      <c r="EF13" s="3096"/>
      <c r="EG13" s="3096"/>
      <c r="EH13" s="3096"/>
      <c r="EI13" s="3096"/>
      <c r="EJ13" s="3096"/>
      <c r="EK13" s="3096"/>
      <c r="EL13" s="3096"/>
      <c r="EM13" s="3096"/>
      <c r="EN13" s="3096"/>
      <c r="EO13" s="3096"/>
      <c r="EP13" s="3096"/>
      <c r="EQ13" s="3096"/>
      <c r="ER13" s="3096"/>
      <c r="ES13" s="3096"/>
      <c r="ET13" s="3096"/>
      <c r="EU13" s="3096"/>
      <c r="EV13" s="3096"/>
      <c r="EW13" s="3096"/>
      <c r="EX13" s="3096"/>
      <c r="EY13" s="3096"/>
      <c r="EZ13" s="3096"/>
      <c r="FA13" s="3096"/>
      <c r="FB13" s="3096"/>
      <c r="FC13" s="3096"/>
      <c r="FD13" s="3096"/>
      <c r="FE13" s="3096"/>
      <c r="FF13" s="3096"/>
      <c r="FG13" s="3096"/>
      <c r="FH13" s="3096"/>
      <c r="FI13" s="3096"/>
      <c r="FJ13" s="3096"/>
      <c r="FK13" s="3096"/>
      <c r="FL13" s="3096"/>
      <c r="FM13" s="3096"/>
      <c r="FN13" s="3096"/>
      <c r="FO13" s="3096"/>
      <c r="FP13" s="3096"/>
      <c r="FQ13" s="3096"/>
      <c r="FR13" s="3096"/>
      <c r="FS13" s="3096"/>
      <c r="FT13" s="3096"/>
      <c r="FU13" s="3096"/>
      <c r="FV13" s="3096"/>
      <c r="FW13" s="3096"/>
      <c r="FX13" s="3096"/>
      <c r="FY13" s="3096"/>
      <c r="FZ13" s="3096"/>
      <c r="GA13" s="3096"/>
      <c r="GB13" s="3096"/>
      <c r="GC13" s="3096"/>
      <c r="GD13" s="3096"/>
      <c r="GE13" s="3096"/>
      <c r="GF13" s="3096"/>
      <c r="GG13" s="3096"/>
      <c r="GH13" s="3096"/>
      <c r="GI13" s="3096"/>
      <c r="GJ13" s="3096"/>
      <c r="GK13" s="3096"/>
      <c r="GL13" s="3096"/>
      <c r="GM13" s="3096"/>
      <c r="GN13" s="3096"/>
      <c r="GO13" s="3096"/>
      <c r="GP13" s="3096"/>
      <c r="GQ13" s="3096"/>
      <c r="GR13" s="3096"/>
      <c r="GS13" s="3096"/>
      <c r="GT13" s="3096"/>
      <c r="GU13" s="3096"/>
      <c r="GV13" s="3096"/>
      <c r="GW13" s="3096"/>
      <c r="GX13" s="3096"/>
      <c r="GY13" s="3096"/>
      <c r="GZ13" s="3096"/>
      <c r="HA13" s="3096"/>
      <c r="HB13" s="3096"/>
      <c r="HC13" s="3096"/>
      <c r="HD13" s="3096"/>
      <c r="HE13" s="3096"/>
      <c r="HF13" s="3096"/>
      <c r="HG13" s="3096"/>
      <c r="HH13" s="3096"/>
      <c r="HI13" s="3096"/>
      <c r="HJ13" s="3096"/>
      <c r="HK13" s="3096"/>
      <c r="HL13" s="3096"/>
      <c r="HM13" s="3096"/>
      <c r="HN13" s="3096"/>
      <c r="HO13" s="3096"/>
      <c r="HP13" s="3096"/>
      <c r="HQ13" s="3096"/>
      <c r="HR13" s="3096"/>
      <c r="HS13" s="3096"/>
      <c r="HT13" s="3096"/>
      <c r="HU13" s="3096"/>
      <c r="HV13" s="3096"/>
      <c r="HW13" s="3096"/>
      <c r="HX13" s="3096"/>
      <c r="HY13" s="3096"/>
      <c r="HZ13" s="3096"/>
      <c r="IA13" s="3096"/>
      <c r="IB13" s="3096"/>
      <c r="IC13" s="3096"/>
      <c r="ID13" s="3096"/>
      <c r="IE13" s="3096"/>
      <c r="IF13" s="3096"/>
      <c r="IG13" s="3096"/>
      <c r="IH13" s="3096"/>
      <c r="II13" s="3096"/>
      <c r="IJ13" s="3096"/>
      <c r="IK13" s="3096"/>
      <c r="IL13" s="3096"/>
      <c r="IM13" s="3096"/>
      <c r="IN13" s="3096"/>
      <c r="IO13" s="3096"/>
      <c r="IP13" s="3096"/>
      <c r="IQ13" s="3096"/>
      <c r="IR13" s="3096"/>
      <c r="IS13" s="3096"/>
      <c r="IT13" s="3096"/>
      <c r="IU13" s="3096"/>
      <c r="IV13" s="3096"/>
    </row>
    <row r="14" spans="1:256">
      <c r="A14" s="3499"/>
      <c r="B14" s="3157" t="s">
        <v>3269</v>
      </c>
      <c r="C14" s="3157" t="s">
        <v>3270</v>
      </c>
      <c r="D14" s="3157">
        <v>130</v>
      </c>
      <c r="E14" s="3157" t="s">
        <v>3271</v>
      </c>
      <c r="F14" s="3157">
        <v>899</v>
      </c>
      <c r="G14" s="3157">
        <v>560</v>
      </c>
      <c r="H14" s="3158">
        <v>0.4</v>
      </c>
      <c r="I14" s="3158">
        <v>0.63</v>
      </c>
      <c r="J14" s="3159"/>
      <c r="K14" s="3096"/>
      <c r="L14" s="3096"/>
      <c r="M14" s="3096"/>
      <c r="N14" s="3096"/>
      <c r="O14" s="3096"/>
      <c r="P14" s="3096"/>
      <c r="Q14" s="3096"/>
      <c r="R14" s="3096"/>
      <c r="S14" s="3096"/>
      <c r="T14" s="3096"/>
      <c r="U14" s="3096"/>
      <c r="V14" s="3096"/>
      <c r="W14" s="3096"/>
      <c r="X14" s="3096"/>
      <c r="Y14" s="3096"/>
      <c r="Z14" s="3096"/>
      <c r="AA14" s="3096"/>
      <c r="AB14" s="3096"/>
      <c r="AC14" s="3096"/>
      <c r="AD14" s="3096"/>
      <c r="AE14" s="3096"/>
      <c r="AF14" s="3096"/>
      <c r="AG14" s="3096"/>
      <c r="AH14" s="3096"/>
      <c r="AI14" s="3096"/>
      <c r="AJ14" s="3096"/>
      <c r="AK14" s="3096"/>
      <c r="AL14" s="3096"/>
      <c r="AM14" s="3096"/>
      <c r="AN14" s="3096"/>
      <c r="AO14" s="3096"/>
      <c r="AP14" s="3096"/>
      <c r="AQ14" s="3096"/>
      <c r="AR14" s="3096"/>
      <c r="AS14" s="3096"/>
      <c r="AT14" s="3096"/>
      <c r="AU14" s="3096"/>
      <c r="AV14" s="3096"/>
      <c r="AW14" s="3096"/>
      <c r="AX14" s="3096"/>
      <c r="AY14" s="3096"/>
      <c r="AZ14" s="3096"/>
      <c r="BA14" s="3096"/>
      <c r="BB14" s="3096"/>
      <c r="BC14" s="3096"/>
      <c r="BD14" s="3096"/>
      <c r="BE14" s="3096"/>
      <c r="BF14" s="3096"/>
      <c r="BG14" s="3096"/>
      <c r="BH14" s="3096"/>
      <c r="BI14" s="3096"/>
      <c r="BJ14" s="3096"/>
      <c r="BK14" s="3096"/>
      <c r="BL14" s="3096"/>
      <c r="BM14" s="3096"/>
      <c r="BN14" s="3096"/>
      <c r="BO14" s="3096"/>
      <c r="BP14" s="3096"/>
      <c r="BQ14" s="3096"/>
      <c r="BR14" s="3096"/>
      <c r="BS14" s="3096"/>
      <c r="BT14" s="3096"/>
      <c r="BU14" s="3096"/>
      <c r="BV14" s="3096"/>
      <c r="BW14" s="3096"/>
      <c r="BX14" s="3096"/>
      <c r="BY14" s="3096"/>
      <c r="BZ14" s="3096"/>
      <c r="CA14" s="3096"/>
      <c r="CB14" s="3096"/>
      <c r="CC14" s="3096"/>
      <c r="CD14" s="3096"/>
      <c r="CE14" s="3096"/>
      <c r="CF14" s="3096"/>
      <c r="CG14" s="3096"/>
      <c r="CH14" s="3096"/>
      <c r="CI14" s="3096"/>
      <c r="CJ14" s="3096"/>
      <c r="CK14" s="3096"/>
      <c r="CL14" s="3096"/>
      <c r="CM14" s="3096"/>
      <c r="CN14" s="3096"/>
      <c r="CO14" s="3096"/>
      <c r="CP14" s="3096"/>
      <c r="CQ14" s="3096"/>
      <c r="CR14" s="3096"/>
      <c r="CS14" s="3096"/>
      <c r="CT14" s="3096"/>
      <c r="CU14" s="3096"/>
      <c r="CV14" s="3096"/>
      <c r="CW14" s="3096"/>
      <c r="CX14" s="3096"/>
      <c r="CY14" s="3096"/>
      <c r="CZ14" s="3096"/>
      <c r="DA14" s="3096"/>
      <c r="DB14" s="3096"/>
      <c r="DC14" s="3096"/>
      <c r="DD14" s="3096"/>
      <c r="DE14" s="3096"/>
      <c r="DF14" s="3096"/>
      <c r="DG14" s="3096"/>
      <c r="DH14" s="3096"/>
      <c r="DI14" s="3096"/>
      <c r="DJ14" s="3096"/>
      <c r="DK14" s="3096"/>
      <c r="DL14" s="3096"/>
      <c r="DM14" s="3096"/>
      <c r="DN14" s="3096"/>
      <c r="DO14" s="3096"/>
      <c r="DP14" s="3096"/>
      <c r="DQ14" s="3096"/>
      <c r="DR14" s="3096"/>
      <c r="DS14" s="3096"/>
      <c r="DT14" s="3096"/>
      <c r="DU14" s="3096"/>
      <c r="DV14" s="3096"/>
      <c r="DW14" s="3096"/>
      <c r="DX14" s="3096"/>
      <c r="DY14" s="3096"/>
      <c r="DZ14" s="3096"/>
      <c r="EA14" s="3096"/>
      <c r="EB14" s="3096"/>
      <c r="EC14" s="3096"/>
      <c r="ED14" s="3096"/>
      <c r="EE14" s="3096"/>
      <c r="EF14" s="3096"/>
      <c r="EG14" s="3096"/>
      <c r="EH14" s="3096"/>
      <c r="EI14" s="3096"/>
      <c r="EJ14" s="3096"/>
      <c r="EK14" s="3096"/>
      <c r="EL14" s="3096"/>
      <c r="EM14" s="3096"/>
      <c r="EN14" s="3096"/>
      <c r="EO14" s="3096"/>
      <c r="EP14" s="3096"/>
      <c r="EQ14" s="3096"/>
      <c r="ER14" s="3096"/>
      <c r="ES14" s="3096"/>
      <c r="ET14" s="3096"/>
      <c r="EU14" s="3096"/>
      <c r="EV14" s="3096"/>
      <c r="EW14" s="3096"/>
      <c r="EX14" s="3096"/>
      <c r="EY14" s="3096"/>
      <c r="EZ14" s="3096"/>
      <c r="FA14" s="3096"/>
      <c r="FB14" s="3096"/>
      <c r="FC14" s="3096"/>
      <c r="FD14" s="3096"/>
      <c r="FE14" s="3096"/>
      <c r="FF14" s="3096"/>
      <c r="FG14" s="3096"/>
      <c r="FH14" s="3096"/>
      <c r="FI14" s="3096"/>
      <c r="FJ14" s="3096"/>
      <c r="FK14" s="3096"/>
      <c r="FL14" s="3096"/>
      <c r="FM14" s="3096"/>
      <c r="FN14" s="3096"/>
      <c r="FO14" s="3096"/>
      <c r="FP14" s="3096"/>
      <c r="FQ14" s="3096"/>
      <c r="FR14" s="3096"/>
      <c r="FS14" s="3096"/>
      <c r="FT14" s="3096"/>
      <c r="FU14" s="3096"/>
      <c r="FV14" s="3096"/>
      <c r="FW14" s="3096"/>
      <c r="FX14" s="3096"/>
      <c r="FY14" s="3096"/>
      <c r="FZ14" s="3096"/>
      <c r="GA14" s="3096"/>
      <c r="GB14" s="3096"/>
      <c r="GC14" s="3096"/>
      <c r="GD14" s="3096"/>
      <c r="GE14" s="3096"/>
      <c r="GF14" s="3096"/>
      <c r="GG14" s="3096"/>
      <c r="GH14" s="3096"/>
      <c r="GI14" s="3096"/>
      <c r="GJ14" s="3096"/>
      <c r="GK14" s="3096"/>
      <c r="GL14" s="3096"/>
      <c r="GM14" s="3096"/>
      <c r="GN14" s="3096"/>
      <c r="GO14" s="3096"/>
      <c r="GP14" s="3096"/>
      <c r="GQ14" s="3096"/>
      <c r="GR14" s="3096"/>
      <c r="GS14" s="3096"/>
      <c r="GT14" s="3096"/>
      <c r="GU14" s="3096"/>
      <c r="GV14" s="3096"/>
      <c r="GW14" s="3096"/>
      <c r="GX14" s="3096"/>
      <c r="GY14" s="3096"/>
      <c r="GZ14" s="3096"/>
      <c r="HA14" s="3096"/>
      <c r="HB14" s="3096"/>
      <c r="HC14" s="3096"/>
      <c r="HD14" s="3096"/>
      <c r="HE14" s="3096"/>
      <c r="HF14" s="3096"/>
      <c r="HG14" s="3096"/>
      <c r="HH14" s="3096"/>
      <c r="HI14" s="3096"/>
      <c r="HJ14" s="3096"/>
      <c r="HK14" s="3096"/>
      <c r="HL14" s="3096"/>
      <c r="HM14" s="3096"/>
      <c r="HN14" s="3096"/>
      <c r="HO14" s="3096"/>
      <c r="HP14" s="3096"/>
      <c r="HQ14" s="3096"/>
      <c r="HR14" s="3096"/>
      <c r="HS14" s="3096"/>
      <c r="HT14" s="3096"/>
      <c r="HU14" s="3096"/>
      <c r="HV14" s="3096"/>
      <c r="HW14" s="3096"/>
      <c r="HX14" s="3096"/>
      <c r="HY14" s="3096"/>
      <c r="HZ14" s="3096"/>
      <c r="IA14" s="3096"/>
      <c r="IB14" s="3096"/>
      <c r="IC14" s="3096"/>
      <c r="ID14" s="3096"/>
      <c r="IE14" s="3096"/>
      <c r="IF14" s="3096"/>
      <c r="IG14" s="3096"/>
      <c r="IH14" s="3096"/>
      <c r="II14" s="3096"/>
      <c r="IJ14" s="3096"/>
      <c r="IK14" s="3096"/>
      <c r="IL14" s="3096"/>
      <c r="IM14" s="3096"/>
      <c r="IN14" s="3096"/>
      <c r="IO14" s="3096"/>
      <c r="IP14" s="3096"/>
      <c r="IQ14" s="3096"/>
      <c r="IR14" s="3096"/>
      <c r="IS14" s="3096"/>
      <c r="IT14" s="3096"/>
      <c r="IU14" s="3096"/>
      <c r="IV14" s="3096"/>
    </row>
    <row r="15" spans="1:256">
      <c r="A15" s="3499"/>
      <c r="B15" s="3157" t="s">
        <v>3272</v>
      </c>
      <c r="C15" s="3157" t="s">
        <v>3273</v>
      </c>
      <c r="D15" s="3157">
        <v>4</v>
      </c>
      <c r="E15" s="3157">
        <v>30</v>
      </c>
      <c r="F15" s="3157">
        <v>1688</v>
      </c>
      <c r="G15" s="3157">
        <v>798</v>
      </c>
      <c r="H15" s="3158">
        <v>0.5</v>
      </c>
      <c r="I15" s="3158">
        <v>0.02</v>
      </c>
      <c r="J15" s="3159"/>
      <c r="K15" s="3096"/>
      <c r="L15" s="3096"/>
      <c r="M15" s="3096"/>
      <c r="N15" s="3096"/>
      <c r="O15" s="3096"/>
      <c r="P15" s="3096"/>
      <c r="Q15" s="3096"/>
      <c r="R15" s="3096"/>
      <c r="S15" s="3096"/>
      <c r="T15" s="3096"/>
      <c r="U15" s="3096"/>
      <c r="V15" s="3096"/>
      <c r="W15" s="3096"/>
      <c r="X15" s="3096"/>
      <c r="Y15" s="3096"/>
      <c r="Z15" s="3096"/>
      <c r="AA15" s="3096"/>
      <c r="AB15" s="3096"/>
      <c r="AC15" s="3096"/>
      <c r="AD15" s="3096"/>
      <c r="AE15" s="3096"/>
      <c r="AF15" s="3096"/>
      <c r="AG15" s="3096"/>
      <c r="AH15" s="3096"/>
      <c r="AI15" s="3096"/>
      <c r="AJ15" s="3096"/>
      <c r="AK15" s="3096"/>
      <c r="AL15" s="3096"/>
      <c r="AM15" s="3096"/>
      <c r="AN15" s="3096"/>
      <c r="AO15" s="3096"/>
      <c r="AP15" s="3096"/>
      <c r="AQ15" s="3096"/>
      <c r="AR15" s="3096"/>
      <c r="AS15" s="3096"/>
      <c r="AT15" s="3096"/>
      <c r="AU15" s="3096"/>
      <c r="AV15" s="3096"/>
      <c r="AW15" s="3096"/>
      <c r="AX15" s="3096"/>
      <c r="AY15" s="3096"/>
      <c r="AZ15" s="3096"/>
      <c r="BA15" s="3096"/>
      <c r="BB15" s="3096"/>
      <c r="BC15" s="3096"/>
      <c r="BD15" s="3096"/>
      <c r="BE15" s="3096"/>
      <c r="BF15" s="3096"/>
      <c r="BG15" s="3096"/>
      <c r="BH15" s="3096"/>
      <c r="BI15" s="3096"/>
      <c r="BJ15" s="3096"/>
      <c r="BK15" s="3096"/>
      <c r="BL15" s="3096"/>
      <c r="BM15" s="3096"/>
      <c r="BN15" s="3096"/>
      <c r="BO15" s="3096"/>
      <c r="BP15" s="3096"/>
      <c r="BQ15" s="3096"/>
      <c r="BR15" s="3096"/>
      <c r="BS15" s="3096"/>
      <c r="BT15" s="3096"/>
      <c r="BU15" s="3096"/>
      <c r="BV15" s="3096"/>
      <c r="BW15" s="3096"/>
      <c r="BX15" s="3096"/>
      <c r="BY15" s="3096"/>
      <c r="BZ15" s="3096"/>
      <c r="CA15" s="3096"/>
      <c r="CB15" s="3096"/>
      <c r="CC15" s="3096"/>
      <c r="CD15" s="3096"/>
      <c r="CE15" s="3096"/>
      <c r="CF15" s="3096"/>
      <c r="CG15" s="3096"/>
      <c r="CH15" s="3096"/>
      <c r="CI15" s="3096"/>
      <c r="CJ15" s="3096"/>
      <c r="CK15" s="3096"/>
      <c r="CL15" s="3096"/>
      <c r="CM15" s="3096"/>
      <c r="CN15" s="3096"/>
      <c r="CO15" s="3096"/>
      <c r="CP15" s="3096"/>
      <c r="CQ15" s="3096"/>
      <c r="CR15" s="3096"/>
      <c r="CS15" s="3096"/>
      <c r="CT15" s="3096"/>
      <c r="CU15" s="3096"/>
      <c r="CV15" s="3096"/>
      <c r="CW15" s="3096"/>
      <c r="CX15" s="3096"/>
      <c r="CY15" s="3096"/>
      <c r="CZ15" s="3096"/>
      <c r="DA15" s="3096"/>
      <c r="DB15" s="3096"/>
      <c r="DC15" s="3096"/>
      <c r="DD15" s="3096"/>
      <c r="DE15" s="3096"/>
      <c r="DF15" s="3096"/>
      <c r="DG15" s="3096"/>
      <c r="DH15" s="3096"/>
      <c r="DI15" s="3096"/>
      <c r="DJ15" s="3096"/>
      <c r="DK15" s="3096"/>
      <c r="DL15" s="3096"/>
      <c r="DM15" s="3096"/>
      <c r="DN15" s="3096"/>
      <c r="DO15" s="3096"/>
      <c r="DP15" s="3096"/>
      <c r="DQ15" s="3096"/>
      <c r="DR15" s="3096"/>
      <c r="DS15" s="3096"/>
      <c r="DT15" s="3096"/>
      <c r="DU15" s="3096"/>
      <c r="DV15" s="3096"/>
      <c r="DW15" s="3096"/>
      <c r="DX15" s="3096"/>
      <c r="DY15" s="3096"/>
      <c r="DZ15" s="3096"/>
      <c r="EA15" s="3096"/>
      <c r="EB15" s="3096"/>
      <c r="EC15" s="3096"/>
      <c r="ED15" s="3096"/>
      <c r="EE15" s="3096"/>
      <c r="EF15" s="3096"/>
      <c r="EG15" s="3096"/>
      <c r="EH15" s="3096"/>
      <c r="EI15" s="3096"/>
      <c r="EJ15" s="3096"/>
      <c r="EK15" s="3096"/>
      <c r="EL15" s="3096"/>
      <c r="EM15" s="3096"/>
      <c r="EN15" s="3096"/>
      <c r="EO15" s="3096"/>
      <c r="EP15" s="3096"/>
      <c r="EQ15" s="3096"/>
      <c r="ER15" s="3096"/>
      <c r="ES15" s="3096"/>
      <c r="ET15" s="3096"/>
      <c r="EU15" s="3096"/>
      <c r="EV15" s="3096"/>
      <c r="EW15" s="3096"/>
      <c r="EX15" s="3096"/>
      <c r="EY15" s="3096"/>
      <c r="EZ15" s="3096"/>
      <c r="FA15" s="3096"/>
      <c r="FB15" s="3096"/>
      <c r="FC15" s="3096"/>
      <c r="FD15" s="3096"/>
      <c r="FE15" s="3096"/>
      <c r="FF15" s="3096"/>
      <c r="FG15" s="3096"/>
      <c r="FH15" s="3096"/>
      <c r="FI15" s="3096"/>
      <c r="FJ15" s="3096"/>
      <c r="FK15" s="3096"/>
      <c r="FL15" s="3096"/>
      <c r="FM15" s="3096"/>
      <c r="FN15" s="3096"/>
      <c r="FO15" s="3096"/>
      <c r="FP15" s="3096"/>
      <c r="FQ15" s="3096"/>
      <c r="FR15" s="3096"/>
      <c r="FS15" s="3096"/>
      <c r="FT15" s="3096"/>
      <c r="FU15" s="3096"/>
      <c r="FV15" s="3096"/>
      <c r="FW15" s="3096"/>
      <c r="FX15" s="3096"/>
      <c r="FY15" s="3096"/>
      <c r="FZ15" s="3096"/>
      <c r="GA15" s="3096"/>
      <c r="GB15" s="3096"/>
      <c r="GC15" s="3096"/>
      <c r="GD15" s="3096"/>
      <c r="GE15" s="3096"/>
      <c r="GF15" s="3096"/>
      <c r="GG15" s="3096"/>
      <c r="GH15" s="3096"/>
      <c r="GI15" s="3096"/>
      <c r="GJ15" s="3096"/>
      <c r="GK15" s="3096"/>
      <c r="GL15" s="3096"/>
      <c r="GM15" s="3096"/>
      <c r="GN15" s="3096"/>
      <c r="GO15" s="3096"/>
      <c r="GP15" s="3096"/>
      <c r="GQ15" s="3096"/>
      <c r="GR15" s="3096"/>
      <c r="GS15" s="3096"/>
      <c r="GT15" s="3096"/>
      <c r="GU15" s="3096"/>
      <c r="GV15" s="3096"/>
      <c r="GW15" s="3096"/>
      <c r="GX15" s="3096"/>
      <c r="GY15" s="3096"/>
      <c r="GZ15" s="3096"/>
      <c r="HA15" s="3096"/>
      <c r="HB15" s="3096"/>
      <c r="HC15" s="3096"/>
      <c r="HD15" s="3096"/>
      <c r="HE15" s="3096"/>
      <c r="HF15" s="3096"/>
      <c r="HG15" s="3096"/>
      <c r="HH15" s="3096"/>
      <c r="HI15" s="3096"/>
      <c r="HJ15" s="3096"/>
      <c r="HK15" s="3096"/>
      <c r="HL15" s="3096"/>
      <c r="HM15" s="3096"/>
      <c r="HN15" s="3096"/>
      <c r="HO15" s="3096"/>
      <c r="HP15" s="3096"/>
      <c r="HQ15" s="3096"/>
      <c r="HR15" s="3096"/>
      <c r="HS15" s="3096"/>
      <c r="HT15" s="3096"/>
      <c r="HU15" s="3096"/>
      <c r="HV15" s="3096"/>
      <c r="HW15" s="3096"/>
      <c r="HX15" s="3096"/>
      <c r="HY15" s="3096"/>
      <c r="HZ15" s="3096"/>
      <c r="IA15" s="3096"/>
      <c r="IB15" s="3096"/>
      <c r="IC15" s="3096"/>
      <c r="ID15" s="3096"/>
      <c r="IE15" s="3096"/>
      <c r="IF15" s="3096"/>
      <c r="IG15" s="3096"/>
      <c r="IH15" s="3096"/>
      <c r="II15" s="3096"/>
      <c r="IJ15" s="3096"/>
      <c r="IK15" s="3096"/>
      <c r="IL15" s="3096"/>
      <c r="IM15" s="3096"/>
      <c r="IN15" s="3096"/>
      <c r="IO15" s="3096"/>
      <c r="IP15" s="3096"/>
      <c r="IQ15" s="3096"/>
      <c r="IR15" s="3096"/>
      <c r="IS15" s="3096"/>
      <c r="IT15" s="3096"/>
      <c r="IU15" s="3096"/>
      <c r="IV15" s="3096"/>
    </row>
    <row r="16" spans="1:256">
      <c r="A16" s="3499"/>
      <c r="B16" s="3157" t="s">
        <v>3274</v>
      </c>
      <c r="C16" s="3157" t="s">
        <v>3270</v>
      </c>
      <c r="D16" s="3157">
        <v>7</v>
      </c>
      <c r="E16" s="3157" t="s">
        <v>3275</v>
      </c>
      <c r="F16" s="3157">
        <v>688</v>
      </c>
      <c r="G16" s="3157">
        <v>396</v>
      </c>
      <c r="H16" s="3158">
        <v>0.4</v>
      </c>
      <c r="I16" s="3158">
        <v>0.02</v>
      </c>
      <c r="J16" s="3159"/>
      <c r="K16" s="3096"/>
      <c r="L16" s="3096"/>
      <c r="M16" s="3096"/>
      <c r="N16" s="3096"/>
      <c r="O16" s="3096"/>
      <c r="P16" s="3096"/>
      <c r="Q16" s="3096"/>
      <c r="R16" s="3096"/>
      <c r="S16" s="3096"/>
      <c r="T16" s="3096"/>
      <c r="U16" s="3096"/>
      <c r="V16" s="3096"/>
      <c r="W16" s="3096"/>
      <c r="X16" s="3096"/>
      <c r="Y16" s="3096"/>
      <c r="Z16" s="3096"/>
      <c r="AA16" s="3096"/>
      <c r="AB16" s="3096"/>
      <c r="AC16" s="3096"/>
      <c r="AD16" s="3096"/>
      <c r="AE16" s="3096"/>
      <c r="AF16" s="3096"/>
      <c r="AG16" s="3096"/>
      <c r="AH16" s="3096"/>
      <c r="AI16" s="3096"/>
      <c r="AJ16" s="3096"/>
      <c r="AK16" s="3096"/>
      <c r="AL16" s="3096"/>
      <c r="AM16" s="3096"/>
      <c r="AN16" s="3096"/>
      <c r="AO16" s="3096"/>
      <c r="AP16" s="3096"/>
      <c r="AQ16" s="3096"/>
      <c r="AR16" s="3096"/>
      <c r="AS16" s="3096"/>
      <c r="AT16" s="3096"/>
      <c r="AU16" s="3096"/>
      <c r="AV16" s="3096"/>
      <c r="AW16" s="3096"/>
      <c r="AX16" s="3096"/>
      <c r="AY16" s="3096"/>
      <c r="AZ16" s="3096"/>
      <c r="BA16" s="3096"/>
      <c r="BB16" s="3096"/>
      <c r="BC16" s="3096"/>
      <c r="BD16" s="3096"/>
      <c r="BE16" s="3096"/>
      <c r="BF16" s="3096"/>
      <c r="BG16" s="3096"/>
      <c r="BH16" s="3096"/>
      <c r="BI16" s="3096"/>
      <c r="BJ16" s="3096"/>
      <c r="BK16" s="3096"/>
      <c r="BL16" s="3096"/>
      <c r="BM16" s="3096"/>
      <c r="BN16" s="3096"/>
      <c r="BO16" s="3096"/>
      <c r="BP16" s="3096"/>
      <c r="BQ16" s="3096"/>
      <c r="BR16" s="3096"/>
      <c r="BS16" s="3096"/>
      <c r="BT16" s="3096"/>
      <c r="BU16" s="3096"/>
      <c r="BV16" s="3096"/>
      <c r="BW16" s="3096"/>
      <c r="BX16" s="3096"/>
      <c r="BY16" s="3096"/>
      <c r="BZ16" s="3096"/>
      <c r="CA16" s="3096"/>
      <c r="CB16" s="3096"/>
      <c r="CC16" s="3096"/>
      <c r="CD16" s="3096"/>
      <c r="CE16" s="3096"/>
      <c r="CF16" s="3096"/>
      <c r="CG16" s="3096"/>
      <c r="CH16" s="3096"/>
      <c r="CI16" s="3096"/>
      <c r="CJ16" s="3096"/>
      <c r="CK16" s="3096"/>
      <c r="CL16" s="3096"/>
      <c r="CM16" s="3096"/>
      <c r="CN16" s="3096"/>
      <c r="CO16" s="3096"/>
      <c r="CP16" s="3096"/>
      <c r="CQ16" s="3096"/>
      <c r="CR16" s="3096"/>
      <c r="CS16" s="3096"/>
      <c r="CT16" s="3096"/>
      <c r="CU16" s="3096"/>
      <c r="CV16" s="3096"/>
      <c r="CW16" s="3096"/>
      <c r="CX16" s="3096"/>
      <c r="CY16" s="3096"/>
      <c r="CZ16" s="3096"/>
      <c r="DA16" s="3096"/>
      <c r="DB16" s="3096"/>
      <c r="DC16" s="3096"/>
      <c r="DD16" s="3096"/>
      <c r="DE16" s="3096"/>
      <c r="DF16" s="3096"/>
      <c r="DG16" s="3096"/>
      <c r="DH16" s="3096"/>
      <c r="DI16" s="3096"/>
      <c r="DJ16" s="3096"/>
      <c r="DK16" s="3096"/>
      <c r="DL16" s="3096"/>
      <c r="DM16" s="3096"/>
      <c r="DN16" s="3096"/>
      <c r="DO16" s="3096"/>
      <c r="DP16" s="3096"/>
      <c r="DQ16" s="3096"/>
      <c r="DR16" s="3096"/>
      <c r="DS16" s="3096"/>
      <c r="DT16" s="3096"/>
      <c r="DU16" s="3096"/>
      <c r="DV16" s="3096"/>
      <c r="DW16" s="3096"/>
      <c r="DX16" s="3096"/>
      <c r="DY16" s="3096"/>
      <c r="DZ16" s="3096"/>
      <c r="EA16" s="3096"/>
      <c r="EB16" s="3096"/>
      <c r="EC16" s="3096"/>
      <c r="ED16" s="3096"/>
      <c r="EE16" s="3096"/>
      <c r="EF16" s="3096"/>
      <c r="EG16" s="3096"/>
      <c r="EH16" s="3096"/>
      <c r="EI16" s="3096"/>
      <c r="EJ16" s="3096"/>
      <c r="EK16" s="3096"/>
      <c r="EL16" s="3096"/>
      <c r="EM16" s="3096"/>
      <c r="EN16" s="3096"/>
      <c r="EO16" s="3096"/>
      <c r="EP16" s="3096"/>
      <c r="EQ16" s="3096"/>
      <c r="ER16" s="3096"/>
      <c r="ES16" s="3096"/>
      <c r="ET16" s="3096"/>
      <c r="EU16" s="3096"/>
      <c r="EV16" s="3096"/>
      <c r="EW16" s="3096"/>
      <c r="EX16" s="3096"/>
      <c r="EY16" s="3096"/>
      <c r="EZ16" s="3096"/>
      <c r="FA16" s="3096"/>
      <c r="FB16" s="3096"/>
      <c r="FC16" s="3096"/>
      <c r="FD16" s="3096"/>
      <c r="FE16" s="3096"/>
      <c r="FF16" s="3096"/>
      <c r="FG16" s="3096"/>
      <c r="FH16" s="3096"/>
      <c r="FI16" s="3096"/>
      <c r="FJ16" s="3096"/>
      <c r="FK16" s="3096"/>
      <c r="FL16" s="3096"/>
      <c r="FM16" s="3096"/>
      <c r="FN16" s="3096"/>
      <c r="FO16" s="3096"/>
      <c r="FP16" s="3096"/>
      <c r="FQ16" s="3096"/>
      <c r="FR16" s="3096"/>
      <c r="FS16" s="3096"/>
      <c r="FT16" s="3096"/>
      <c r="FU16" s="3096"/>
      <c r="FV16" s="3096"/>
      <c r="FW16" s="3096"/>
      <c r="FX16" s="3096"/>
      <c r="FY16" s="3096"/>
      <c r="FZ16" s="3096"/>
      <c r="GA16" s="3096"/>
      <c r="GB16" s="3096"/>
      <c r="GC16" s="3096"/>
      <c r="GD16" s="3096"/>
      <c r="GE16" s="3096"/>
      <c r="GF16" s="3096"/>
      <c r="GG16" s="3096"/>
      <c r="GH16" s="3096"/>
      <c r="GI16" s="3096"/>
      <c r="GJ16" s="3096"/>
      <c r="GK16" s="3096"/>
      <c r="GL16" s="3096"/>
      <c r="GM16" s="3096"/>
      <c r="GN16" s="3096"/>
      <c r="GO16" s="3096"/>
      <c r="GP16" s="3096"/>
      <c r="GQ16" s="3096"/>
      <c r="GR16" s="3096"/>
      <c r="GS16" s="3096"/>
      <c r="GT16" s="3096"/>
      <c r="GU16" s="3096"/>
      <c r="GV16" s="3096"/>
      <c r="GW16" s="3096"/>
      <c r="GX16" s="3096"/>
      <c r="GY16" s="3096"/>
      <c r="GZ16" s="3096"/>
      <c r="HA16" s="3096"/>
      <c r="HB16" s="3096"/>
      <c r="HC16" s="3096"/>
      <c r="HD16" s="3096"/>
      <c r="HE16" s="3096"/>
      <c r="HF16" s="3096"/>
      <c r="HG16" s="3096"/>
      <c r="HH16" s="3096"/>
      <c r="HI16" s="3096"/>
      <c r="HJ16" s="3096"/>
      <c r="HK16" s="3096"/>
      <c r="HL16" s="3096"/>
      <c r="HM16" s="3096"/>
      <c r="HN16" s="3096"/>
      <c r="HO16" s="3096"/>
      <c r="HP16" s="3096"/>
      <c r="HQ16" s="3096"/>
      <c r="HR16" s="3096"/>
      <c r="HS16" s="3096"/>
      <c r="HT16" s="3096"/>
      <c r="HU16" s="3096"/>
      <c r="HV16" s="3096"/>
      <c r="HW16" s="3096"/>
      <c r="HX16" s="3096"/>
      <c r="HY16" s="3096"/>
      <c r="HZ16" s="3096"/>
      <c r="IA16" s="3096"/>
      <c r="IB16" s="3096"/>
      <c r="IC16" s="3096"/>
      <c r="ID16" s="3096"/>
      <c r="IE16" s="3096"/>
      <c r="IF16" s="3096"/>
      <c r="IG16" s="3096"/>
      <c r="IH16" s="3096"/>
      <c r="II16" s="3096"/>
      <c r="IJ16" s="3096"/>
      <c r="IK16" s="3096"/>
      <c r="IL16" s="3096"/>
      <c r="IM16" s="3096"/>
      <c r="IN16" s="3096"/>
      <c r="IO16" s="3096"/>
      <c r="IP16" s="3096"/>
      <c r="IQ16" s="3096"/>
      <c r="IR16" s="3096"/>
      <c r="IS16" s="3096"/>
      <c r="IT16" s="3096"/>
      <c r="IU16" s="3096"/>
      <c r="IV16" s="3096"/>
    </row>
    <row r="17" spans="1:256" ht="32.25" thickBot="1">
      <c r="A17" s="3500"/>
      <c r="B17" s="3160" t="s">
        <v>3276</v>
      </c>
      <c r="C17" s="3160" t="s">
        <v>3270</v>
      </c>
      <c r="D17" s="3160">
        <v>4</v>
      </c>
      <c r="E17" s="3160" t="s">
        <v>3277</v>
      </c>
      <c r="F17" s="3160" t="s">
        <v>3278</v>
      </c>
      <c r="G17" s="3160" t="s">
        <v>3279</v>
      </c>
      <c r="H17" s="3161">
        <v>0.3</v>
      </c>
      <c r="I17" s="3161">
        <v>0.01</v>
      </c>
      <c r="J17" s="3162"/>
      <c r="K17" s="3096"/>
      <c r="L17" s="3096"/>
      <c r="M17" s="3096"/>
      <c r="N17" s="3096"/>
      <c r="O17" s="3096"/>
      <c r="P17" s="3096"/>
      <c r="Q17" s="3096"/>
      <c r="R17" s="3096"/>
      <c r="S17" s="3096"/>
      <c r="T17" s="3096"/>
      <c r="U17" s="3096"/>
      <c r="V17" s="3096"/>
      <c r="W17" s="3096"/>
      <c r="X17" s="3096"/>
      <c r="Y17" s="3096"/>
      <c r="Z17" s="3096"/>
      <c r="AA17" s="3096"/>
      <c r="AB17" s="3096"/>
      <c r="AC17" s="3096"/>
      <c r="AD17" s="3096"/>
      <c r="AE17" s="3096"/>
      <c r="AF17" s="3096"/>
      <c r="AG17" s="3096"/>
      <c r="AH17" s="3096"/>
      <c r="AI17" s="3096"/>
      <c r="AJ17" s="3096"/>
      <c r="AK17" s="3096"/>
      <c r="AL17" s="3096"/>
      <c r="AM17" s="3096"/>
      <c r="AN17" s="3096"/>
      <c r="AO17" s="3096"/>
      <c r="AP17" s="3096"/>
      <c r="AQ17" s="3096"/>
      <c r="AR17" s="3096"/>
      <c r="AS17" s="3096"/>
      <c r="AT17" s="3096"/>
      <c r="AU17" s="3096"/>
      <c r="AV17" s="3096"/>
      <c r="AW17" s="3096"/>
      <c r="AX17" s="3096"/>
      <c r="AY17" s="3096"/>
      <c r="AZ17" s="3096"/>
      <c r="BA17" s="3096"/>
      <c r="BB17" s="3096"/>
      <c r="BC17" s="3096"/>
      <c r="BD17" s="3096"/>
      <c r="BE17" s="3096"/>
      <c r="BF17" s="3096"/>
      <c r="BG17" s="3096"/>
      <c r="BH17" s="3096"/>
      <c r="BI17" s="3096"/>
      <c r="BJ17" s="3096"/>
      <c r="BK17" s="3096"/>
      <c r="BL17" s="3096"/>
      <c r="BM17" s="3096"/>
      <c r="BN17" s="3096"/>
      <c r="BO17" s="3096"/>
      <c r="BP17" s="3096"/>
      <c r="BQ17" s="3096"/>
      <c r="BR17" s="3096"/>
      <c r="BS17" s="3096"/>
      <c r="BT17" s="3096"/>
      <c r="BU17" s="3096"/>
      <c r="BV17" s="3096"/>
      <c r="BW17" s="3096"/>
      <c r="BX17" s="3096"/>
      <c r="BY17" s="3096"/>
      <c r="BZ17" s="3096"/>
      <c r="CA17" s="3096"/>
      <c r="CB17" s="3096"/>
      <c r="CC17" s="3096"/>
      <c r="CD17" s="3096"/>
      <c r="CE17" s="3096"/>
      <c r="CF17" s="3096"/>
      <c r="CG17" s="3096"/>
      <c r="CH17" s="3096"/>
      <c r="CI17" s="3096"/>
      <c r="CJ17" s="3096"/>
      <c r="CK17" s="3096"/>
      <c r="CL17" s="3096"/>
      <c r="CM17" s="3096"/>
      <c r="CN17" s="3096"/>
      <c r="CO17" s="3096"/>
      <c r="CP17" s="3096"/>
      <c r="CQ17" s="3096"/>
      <c r="CR17" s="3096"/>
      <c r="CS17" s="3096"/>
      <c r="CT17" s="3096"/>
      <c r="CU17" s="3096"/>
      <c r="CV17" s="3096"/>
      <c r="CW17" s="3096"/>
      <c r="CX17" s="3096"/>
      <c r="CY17" s="3096"/>
      <c r="CZ17" s="3096"/>
      <c r="DA17" s="3096"/>
      <c r="DB17" s="3096"/>
      <c r="DC17" s="3096"/>
      <c r="DD17" s="3096"/>
      <c r="DE17" s="3096"/>
      <c r="DF17" s="3096"/>
      <c r="DG17" s="3096"/>
      <c r="DH17" s="3096"/>
      <c r="DI17" s="3096"/>
      <c r="DJ17" s="3096"/>
      <c r="DK17" s="3096"/>
      <c r="DL17" s="3096"/>
      <c r="DM17" s="3096"/>
      <c r="DN17" s="3096"/>
      <c r="DO17" s="3096"/>
      <c r="DP17" s="3096"/>
      <c r="DQ17" s="3096"/>
      <c r="DR17" s="3096"/>
      <c r="DS17" s="3096"/>
      <c r="DT17" s="3096"/>
      <c r="DU17" s="3096"/>
      <c r="DV17" s="3096"/>
      <c r="DW17" s="3096"/>
      <c r="DX17" s="3096"/>
      <c r="DY17" s="3096"/>
      <c r="DZ17" s="3096"/>
      <c r="EA17" s="3096"/>
      <c r="EB17" s="3096"/>
      <c r="EC17" s="3096"/>
      <c r="ED17" s="3096"/>
      <c r="EE17" s="3096"/>
      <c r="EF17" s="3096"/>
      <c r="EG17" s="3096"/>
      <c r="EH17" s="3096"/>
      <c r="EI17" s="3096"/>
      <c r="EJ17" s="3096"/>
      <c r="EK17" s="3096"/>
      <c r="EL17" s="3096"/>
      <c r="EM17" s="3096"/>
      <c r="EN17" s="3096"/>
      <c r="EO17" s="3096"/>
      <c r="EP17" s="3096"/>
      <c r="EQ17" s="3096"/>
      <c r="ER17" s="3096"/>
      <c r="ES17" s="3096"/>
      <c r="ET17" s="3096"/>
      <c r="EU17" s="3096"/>
      <c r="EV17" s="3096"/>
      <c r="EW17" s="3096"/>
      <c r="EX17" s="3096"/>
      <c r="EY17" s="3096"/>
      <c r="EZ17" s="3096"/>
      <c r="FA17" s="3096"/>
      <c r="FB17" s="3096"/>
      <c r="FC17" s="3096"/>
      <c r="FD17" s="3096"/>
      <c r="FE17" s="3096"/>
      <c r="FF17" s="3096"/>
      <c r="FG17" s="3096"/>
      <c r="FH17" s="3096"/>
      <c r="FI17" s="3096"/>
      <c r="FJ17" s="3096"/>
      <c r="FK17" s="3096"/>
      <c r="FL17" s="3096"/>
      <c r="FM17" s="3096"/>
      <c r="FN17" s="3096"/>
      <c r="FO17" s="3096"/>
      <c r="FP17" s="3096"/>
      <c r="FQ17" s="3096"/>
      <c r="FR17" s="3096"/>
      <c r="FS17" s="3096"/>
      <c r="FT17" s="3096"/>
      <c r="FU17" s="3096"/>
      <c r="FV17" s="3096"/>
      <c r="FW17" s="3096"/>
      <c r="FX17" s="3096"/>
      <c r="FY17" s="3096"/>
      <c r="FZ17" s="3096"/>
      <c r="GA17" s="3096"/>
      <c r="GB17" s="3096"/>
      <c r="GC17" s="3096"/>
      <c r="GD17" s="3096"/>
      <c r="GE17" s="3096"/>
      <c r="GF17" s="3096"/>
      <c r="GG17" s="3096"/>
      <c r="GH17" s="3096"/>
      <c r="GI17" s="3096"/>
      <c r="GJ17" s="3096"/>
      <c r="GK17" s="3096"/>
      <c r="GL17" s="3096"/>
      <c r="GM17" s="3096"/>
      <c r="GN17" s="3096"/>
      <c r="GO17" s="3096"/>
      <c r="GP17" s="3096"/>
      <c r="GQ17" s="3096"/>
      <c r="GR17" s="3096"/>
      <c r="GS17" s="3096"/>
      <c r="GT17" s="3096"/>
      <c r="GU17" s="3096"/>
      <c r="GV17" s="3096"/>
      <c r="GW17" s="3096"/>
      <c r="GX17" s="3096"/>
      <c r="GY17" s="3096"/>
      <c r="GZ17" s="3096"/>
      <c r="HA17" s="3096"/>
      <c r="HB17" s="3096"/>
      <c r="HC17" s="3096"/>
      <c r="HD17" s="3096"/>
      <c r="HE17" s="3096"/>
      <c r="HF17" s="3096"/>
      <c r="HG17" s="3096"/>
      <c r="HH17" s="3096"/>
      <c r="HI17" s="3096"/>
      <c r="HJ17" s="3096"/>
      <c r="HK17" s="3096"/>
      <c r="HL17" s="3096"/>
      <c r="HM17" s="3096"/>
      <c r="HN17" s="3096"/>
      <c r="HO17" s="3096"/>
      <c r="HP17" s="3096"/>
      <c r="HQ17" s="3096"/>
      <c r="HR17" s="3096"/>
      <c r="HS17" s="3096"/>
      <c r="HT17" s="3096"/>
      <c r="HU17" s="3096"/>
      <c r="HV17" s="3096"/>
      <c r="HW17" s="3096"/>
      <c r="HX17" s="3096"/>
      <c r="HY17" s="3096"/>
      <c r="HZ17" s="3096"/>
      <c r="IA17" s="3096"/>
      <c r="IB17" s="3096"/>
      <c r="IC17" s="3096"/>
      <c r="ID17" s="3096"/>
      <c r="IE17" s="3096"/>
      <c r="IF17" s="3096"/>
      <c r="IG17" s="3096"/>
      <c r="IH17" s="3096"/>
      <c r="II17" s="3096"/>
      <c r="IJ17" s="3096"/>
      <c r="IK17" s="3096"/>
      <c r="IL17" s="3096"/>
      <c r="IM17" s="3096"/>
      <c r="IN17" s="3096"/>
      <c r="IO17" s="3096"/>
      <c r="IP17" s="3096"/>
      <c r="IQ17" s="3096"/>
      <c r="IR17" s="3096"/>
      <c r="IS17" s="3096"/>
      <c r="IT17" s="3096"/>
      <c r="IU17" s="3096"/>
      <c r="IV17" s="3096"/>
    </row>
    <row r="18" spans="1:256" ht="31.5">
      <c r="A18" s="3498" t="s">
        <v>3280</v>
      </c>
      <c r="B18" s="3152" t="s">
        <v>3281</v>
      </c>
      <c r="C18" s="3152" t="s">
        <v>3258</v>
      </c>
      <c r="D18" s="3152" t="s">
        <v>3259</v>
      </c>
      <c r="E18" s="3152" t="s">
        <v>3260</v>
      </c>
      <c r="F18" s="3152" t="s">
        <v>3282</v>
      </c>
      <c r="G18" s="3152" t="s">
        <v>3261</v>
      </c>
      <c r="H18" s="3163" t="s">
        <v>3263</v>
      </c>
      <c r="I18" s="3163" t="s">
        <v>3264</v>
      </c>
      <c r="J18" s="3164" t="s">
        <v>3265</v>
      </c>
      <c r="K18" s="3096"/>
      <c r="L18" s="3096"/>
      <c r="M18" s="3096"/>
      <c r="N18" s="3096"/>
      <c r="O18" s="3096"/>
      <c r="P18" s="3096"/>
      <c r="Q18" s="3096"/>
      <c r="R18" s="3096"/>
      <c r="S18" s="3096"/>
      <c r="T18" s="3096"/>
      <c r="U18" s="3096"/>
      <c r="V18" s="3096"/>
      <c r="W18" s="3096"/>
      <c r="X18" s="3096"/>
      <c r="Y18" s="3096"/>
      <c r="Z18" s="3096"/>
      <c r="AA18" s="3096"/>
      <c r="AB18" s="3096"/>
      <c r="AC18" s="3096"/>
      <c r="AD18" s="3096"/>
      <c r="AE18" s="3096"/>
      <c r="AF18" s="3096"/>
      <c r="AG18" s="3096"/>
      <c r="AH18" s="3096"/>
      <c r="AI18" s="3096"/>
      <c r="AJ18" s="3096"/>
      <c r="AK18" s="3096"/>
      <c r="AL18" s="3096"/>
      <c r="AM18" s="3096"/>
      <c r="AN18" s="3096"/>
      <c r="AO18" s="3096"/>
      <c r="AP18" s="3096"/>
      <c r="AQ18" s="3096"/>
      <c r="AR18" s="3096"/>
      <c r="AS18" s="3096"/>
      <c r="AT18" s="3096"/>
      <c r="AU18" s="3096"/>
      <c r="AV18" s="3096"/>
      <c r="AW18" s="3096"/>
      <c r="AX18" s="3096"/>
      <c r="AY18" s="3096"/>
      <c r="AZ18" s="3096"/>
      <c r="BA18" s="3096"/>
      <c r="BB18" s="3096"/>
      <c r="BC18" s="3096"/>
      <c r="BD18" s="3096"/>
      <c r="BE18" s="3096"/>
      <c r="BF18" s="3096"/>
      <c r="BG18" s="3096"/>
      <c r="BH18" s="3096"/>
      <c r="BI18" s="3096"/>
      <c r="BJ18" s="3096"/>
      <c r="BK18" s="3096"/>
      <c r="BL18" s="3096"/>
      <c r="BM18" s="3096"/>
      <c r="BN18" s="3096"/>
      <c r="BO18" s="3096"/>
      <c r="BP18" s="3096"/>
      <c r="BQ18" s="3096"/>
      <c r="BR18" s="3096"/>
      <c r="BS18" s="3096"/>
      <c r="BT18" s="3096"/>
      <c r="BU18" s="3096"/>
      <c r="BV18" s="3096"/>
      <c r="BW18" s="3096"/>
      <c r="BX18" s="3096"/>
      <c r="BY18" s="3096"/>
      <c r="BZ18" s="3096"/>
      <c r="CA18" s="3096"/>
      <c r="CB18" s="3096"/>
      <c r="CC18" s="3096"/>
      <c r="CD18" s="3096"/>
      <c r="CE18" s="3096"/>
      <c r="CF18" s="3096"/>
      <c r="CG18" s="3096"/>
      <c r="CH18" s="3096"/>
      <c r="CI18" s="3096"/>
      <c r="CJ18" s="3096"/>
      <c r="CK18" s="3096"/>
      <c r="CL18" s="3096"/>
      <c r="CM18" s="3096"/>
      <c r="CN18" s="3096"/>
      <c r="CO18" s="3096"/>
      <c r="CP18" s="3096"/>
      <c r="CQ18" s="3096"/>
      <c r="CR18" s="3096"/>
      <c r="CS18" s="3096"/>
      <c r="CT18" s="3096"/>
      <c r="CU18" s="3096"/>
      <c r="CV18" s="3096"/>
      <c r="CW18" s="3096"/>
      <c r="CX18" s="3096"/>
      <c r="CY18" s="3096"/>
      <c r="CZ18" s="3096"/>
      <c r="DA18" s="3096"/>
      <c r="DB18" s="3096"/>
      <c r="DC18" s="3096"/>
      <c r="DD18" s="3096"/>
      <c r="DE18" s="3096"/>
      <c r="DF18" s="3096"/>
      <c r="DG18" s="3096"/>
      <c r="DH18" s="3096"/>
      <c r="DI18" s="3096"/>
      <c r="DJ18" s="3096"/>
      <c r="DK18" s="3096"/>
      <c r="DL18" s="3096"/>
      <c r="DM18" s="3096"/>
      <c r="DN18" s="3096"/>
      <c r="DO18" s="3096"/>
      <c r="DP18" s="3096"/>
      <c r="DQ18" s="3096"/>
      <c r="DR18" s="3096"/>
      <c r="DS18" s="3096"/>
      <c r="DT18" s="3096"/>
      <c r="DU18" s="3096"/>
      <c r="DV18" s="3096"/>
      <c r="DW18" s="3096"/>
      <c r="DX18" s="3096"/>
      <c r="DY18" s="3096"/>
      <c r="DZ18" s="3096"/>
      <c r="EA18" s="3096"/>
      <c r="EB18" s="3096"/>
      <c r="EC18" s="3096"/>
      <c r="ED18" s="3096"/>
      <c r="EE18" s="3096"/>
      <c r="EF18" s="3096"/>
      <c r="EG18" s="3096"/>
      <c r="EH18" s="3096"/>
      <c r="EI18" s="3096"/>
      <c r="EJ18" s="3096"/>
      <c r="EK18" s="3096"/>
      <c r="EL18" s="3096"/>
      <c r="EM18" s="3096"/>
      <c r="EN18" s="3096"/>
      <c r="EO18" s="3096"/>
      <c r="EP18" s="3096"/>
      <c r="EQ18" s="3096"/>
      <c r="ER18" s="3096"/>
      <c r="ES18" s="3096"/>
      <c r="ET18" s="3096"/>
      <c r="EU18" s="3096"/>
      <c r="EV18" s="3096"/>
      <c r="EW18" s="3096"/>
      <c r="EX18" s="3096"/>
      <c r="EY18" s="3096"/>
      <c r="EZ18" s="3096"/>
      <c r="FA18" s="3096"/>
      <c r="FB18" s="3096"/>
      <c r="FC18" s="3096"/>
      <c r="FD18" s="3096"/>
      <c r="FE18" s="3096"/>
      <c r="FF18" s="3096"/>
      <c r="FG18" s="3096"/>
      <c r="FH18" s="3096"/>
      <c r="FI18" s="3096"/>
      <c r="FJ18" s="3096"/>
      <c r="FK18" s="3096"/>
      <c r="FL18" s="3096"/>
      <c r="FM18" s="3096"/>
      <c r="FN18" s="3096"/>
      <c r="FO18" s="3096"/>
      <c r="FP18" s="3096"/>
      <c r="FQ18" s="3096"/>
      <c r="FR18" s="3096"/>
      <c r="FS18" s="3096"/>
      <c r="FT18" s="3096"/>
      <c r="FU18" s="3096"/>
      <c r="FV18" s="3096"/>
      <c r="FW18" s="3096"/>
      <c r="FX18" s="3096"/>
      <c r="FY18" s="3096"/>
      <c r="FZ18" s="3096"/>
      <c r="GA18" s="3096"/>
      <c r="GB18" s="3096"/>
      <c r="GC18" s="3096"/>
      <c r="GD18" s="3096"/>
      <c r="GE18" s="3096"/>
      <c r="GF18" s="3096"/>
      <c r="GG18" s="3096"/>
      <c r="GH18" s="3096"/>
      <c r="GI18" s="3096"/>
      <c r="GJ18" s="3096"/>
      <c r="GK18" s="3096"/>
      <c r="GL18" s="3096"/>
      <c r="GM18" s="3096"/>
      <c r="GN18" s="3096"/>
      <c r="GO18" s="3096"/>
      <c r="GP18" s="3096"/>
      <c r="GQ18" s="3096"/>
      <c r="GR18" s="3096"/>
      <c r="GS18" s="3096"/>
      <c r="GT18" s="3096"/>
      <c r="GU18" s="3096"/>
      <c r="GV18" s="3096"/>
      <c r="GW18" s="3096"/>
      <c r="GX18" s="3096"/>
      <c r="GY18" s="3096"/>
      <c r="GZ18" s="3096"/>
      <c r="HA18" s="3096"/>
      <c r="HB18" s="3096"/>
      <c r="HC18" s="3096"/>
      <c r="HD18" s="3096"/>
      <c r="HE18" s="3096"/>
      <c r="HF18" s="3096"/>
      <c r="HG18" s="3096"/>
      <c r="HH18" s="3096"/>
      <c r="HI18" s="3096"/>
      <c r="HJ18" s="3096"/>
      <c r="HK18" s="3096"/>
      <c r="HL18" s="3096"/>
      <c r="HM18" s="3096"/>
      <c r="HN18" s="3096"/>
      <c r="HO18" s="3096"/>
      <c r="HP18" s="3096"/>
      <c r="HQ18" s="3096"/>
      <c r="HR18" s="3096"/>
      <c r="HS18" s="3096"/>
      <c r="HT18" s="3096"/>
      <c r="HU18" s="3096"/>
      <c r="HV18" s="3096"/>
      <c r="HW18" s="3096"/>
      <c r="HX18" s="3096"/>
      <c r="HY18" s="3096"/>
      <c r="HZ18" s="3096"/>
      <c r="IA18" s="3096"/>
      <c r="IB18" s="3096"/>
      <c r="IC18" s="3096"/>
      <c r="ID18" s="3096"/>
      <c r="IE18" s="3096"/>
      <c r="IF18" s="3096"/>
      <c r="IG18" s="3096"/>
      <c r="IH18" s="3096"/>
      <c r="II18" s="3096"/>
      <c r="IJ18" s="3096"/>
      <c r="IK18" s="3096"/>
      <c r="IL18" s="3096"/>
      <c r="IM18" s="3096"/>
      <c r="IN18" s="3096"/>
      <c r="IO18" s="3096"/>
      <c r="IP18" s="3096"/>
      <c r="IQ18" s="3096"/>
      <c r="IR18" s="3096"/>
      <c r="IS18" s="3096"/>
      <c r="IT18" s="3096"/>
      <c r="IU18" s="3096"/>
      <c r="IV18" s="3096"/>
    </row>
    <row r="19" spans="1:256">
      <c r="A19" s="3499"/>
      <c r="B19" s="3157" t="s">
        <v>3283</v>
      </c>
      <c r="C19" s="3157">
        <v>1</v>
      </c>
      <c r="D19" s="3157">
        <v>1</v>
      </c>
      <c r="E19" s="3157">
        <v>100</v>
      </c>
      <c r="F19" s="3157">
        <v>60</v>
      </c>
      <c r="G19" s="3157">
        <v>7000</v>
      </c>
      <c r="H19" s="3158">
        <v>0.3</v>
      </c>
      <c r="I19" s="3158">
        <v>0.3</v>
      </c>
      <c r="J19" s="3159"/>
      <c r="K19" s="3096"/>
      <c r="L19" s="3096"/>
      <c r="M19" s="3096"/>
      <c r="N19" s="3096"/>
      <c r="O19" s="3096"/>
      <c r="P19" s="3096"/>
      <c r="Q19" s="3096"/>
      <c r="R19" s="3096"/>
      <c r="S19" s="3096"/>
      <c r="T19" s="3096"/>
      <c r="U19" s="3096"/>
      <c r="V19" s="3096"/>
      <c r="W19" s="3096"/>
      <c r="X19" s="3096"/>
      <c r="Y19" s="3096"/>
      <c r="Z19" s="3096"/>
      <c r="AA19" s="3096"/>
      <c r="AB19" s="3096"/>
      <c r="AC19" s="3096"/>
      <c r="AD19" s="3096"/>
      <c r="AE19" s="3096"/>
      <c r="AF19" s="3096"/>
      <c r="AG19" s="3096"/>
      <c r="AH19" s="3096"/>
      <c r="AI19" s="3096"/>
      <c r="AJ19" s="3096"/>
      <c r="AK19" s="3096"/>
      <c r="AL19" s="3096"/>
      <c r="AM19" s="3096"/>
      <c r="AN19" s="3096"/>
      <c r="AO19" s="3096"/>
      <c r="AP19" s="3096"/>
      <c r="AQ19" s="3096"/>
      <c r="AR19" s="3096"/>
      <c r="AS19" s="3096"/>
      <c r="AT19" s="3096"/>
      <c r="AU19" s="3096"/>
      <c r="AV19" s="3096"/>
      <c r="AW19" s="3096"/>
      <c r="AX19" s="3096"/>
      <c r="AY19" s="3096"/>
      <c r="AZ19" s="3096"/>
      <c r="BA19" s="3096"/>
      <c r="BB19" s="3096"/>
      <c r="BC19" s="3096"/>
      <c r="BD19" s="3096"/>
      <c r="BE19" s="3096"/>
      <c r="BF19" s="3096"/>
      <c r="BG19" s="3096"/>
      <c r="BH19" s="3096"/>
      <c r="BI19" s="3096"/>
      <c r="BJ19" s="3096"/>
      <c r="BK19" s="3096"/>
      <c r="BL19" s="3096"/>
      <c r="BM19" s="3096"/>
      <c r="BN19" s="3096"/>
      <c r="BO19" s="3096"/>
      <c r="BP19" s="3096"/>
      <c r="BQ19" s="3096"/>
      <c r="BR19" s="3096"/>
      <c r="BS19" s="3096"/>
      <c r="BT19" s="3096"/>
      <c r="BU19" s="3096"/>
      <c r="BV19" s="3096"/>
      <c r="BW19" s="3096"/>
      <c r="BX19" s="3096"/>
      <c r="BY19" s="3096"/>
      <c r="BZ19" s="3096"/>
      <c r="CA19" s="3096"/>
      <c r="CB19" s="3096"/>
      <c r="CC19" s="3096"/>
      <c r="CD19" s="3096"/>
      <c r="CE19" s="3096"/>
      <c r="CF19" s="3096"/>
      <c r="CG19" s="3096"/>
      <c r="CH19" s="3096"/>
      <c r="CI19" s="3096"/>
      <c r="CJ19" s="3096"/>
      <c r="CK19" s="3096"/>
      <c r="CL19" s="3096"/>
      <c r="CM19" s="3096"/>
      <c r="CN19" s="3096"/>
      <c r="CO19" s="3096"/>
      <c r="CP19" s="3096"/>
      <c r="CQ19" s="3096"/>
      <c r="CR19" s="3096"/>
      <c r="CS19" s="3096"/>
      <c r="CT19" s="3096"/>
      <c r="CU19" s="3096"/>
      <c r="CV19" s="3096"/>
      <c r="CW19" s="3096"/>
      <c r="CX19" s="3096"/>
      <c r="CY19" s="3096"/>
      <c r="CZ19" s="3096"/>
      <c r="DA19" s="3096"/>
      <c r="DB19" s="3096"/>
      <c r="DC19" s="3096"/>
      <c r="DD19" s="3096"/>
      <c r="DE19" s="3096"/>
      <c r="DF19" s="3096"/>
      <c r="DG19" s="3096"/>
      <c r="DH19" s="3096"/>
      <c r="DI19" s="3096"/>
      <c r="DJ19" s="3096"/>
      <c r="DK19" s="3096"/>
      <c r="DL19" s="3096"/>
      <c r="DM19" s="3096"/>
      <c r="DN19" s="3096"/>
      <c r="DO19" s="3096"/>
      <c r="DP19" s="3096"/>
      <c r="DQ19" s="3096"/>
      <c r="DR19" s="3096"/>
      <c r="DS19" s="3096"/>
      <c r="DT19" s="3096"/>
      <c r="DU19" s="3096"/>
      <c r="DV19" s="3096"/>
      <c r="DW19" s="3096"/>
      <c r="DX19" s="3096"/>
      <c r="DY19" s="3096"/>
      <c r="DZ19" s="3096"/>
      <c r="EA19" s="3096"/>
      <c r="EB19" s="3096"/>
      <c r="EC19" s="3096"/>
      <c r="ED19" s="3096"/>
      <c r="EE19" s="3096"/>
      <c r="EF19" s="3096"/>
      <c r="EG19" s="3096"/>
      <c r="EH19" s="3096"/>
      <c r="EI19" s="3096"/>
      <c r="EJ19" s="3096"/>
      <c r="EK19" s="3096"/>
      <c r="EL19" s="3096"/>
      <c r="EM19" s="3096"/>
      <c r="EN19" s="3096"/>
      <c r="EO19" s="3096"/>
      <c r="EP19" s="3096"/>
      <c r="EQ19" s="3096"/>
      <c r="ER19" s="3096"/>
      <c r="ES19" s="3096"/>
      <c r="ET19" s="3096"/>
      <c r="EU19" s="3096"/>
      <c r="EV19" s="3096"/>
      <c r="EW19" s="3096"/>
      <c r="EX19" s="3096"/>
      <c r="EY19" s="3096"/>
      <c r="EZ19" s="3096"/>
      <c r="FA19" s="3096"/>
      <c r="FB19" s="3096"/>
      <c r="FC19" s="3096"/>
      <c r="FD19" s="3096"/>
      <c r="FE19" s="3096"/>
      <c r="FF19" s="3096"/>
      <c r="FG19" s="3096"/>
      <c r="FH19" s="3096"/>
      <c r="FI19" s="3096"/>
      <c r="FJ19" s="3096"/>
      <c r="FK19" s="3096"/>
      <c r="FL19" s="3096"/>
      <c r="FM19" s="3096"/>
      <c r="FN19" s="3096"/>
      <c r="FO19" s="3096"/>
      <c r="FP19" s="3096"/>
      <c r="FQ19" s="3096"/>
      <c r="FR19" s="3096"/>
      <c r="FS19" s="3096"/>
      <c r="FT19" s="3096"/>
      <c r="FU19" s="3096"/>
      <c r="FV19" s="3096"/>
      <c r="FW19" s="3096"/>
      <c r="FX19" s="3096"/>
      <c r="FY19" s="3096"/>
      <c r="FZ19" s="3096"/>
      <c r="GA19" s="3096"/>
      <c r="GB19" s="3096"/>
      <c r="GC19" s="3096"/>
      <c r="GD19" s="3096"/>
      <c r="GE19" s="3096"/>
      <c r="GF19" s="3096"/>
      <c r="GG19" s="3096"/>
      <c r="GH19" s="3096"/>
      <c r="GI19" s="3096"/>
      <c r="GJ19" s="3096"/>
      <c r="GK19" s="3096"/>
      <c r="GL19" s="3096"/>
      <c r="GM19" s="3096"/>
      <c r="GN19" s="3096"/>
      <c r="GO19" s="3096"/>
      <c r="GP19" s="3096"/>
      <c r="GQ19" s="3096"/>
      <c r="GR19" s="3096"/>
      <c r="GS19" s="3096"/>
      <c r="GT19" s="3096"/>
      <c r="GU19" s="3096"/>
      <c r="GV19" s="3096"/>
      <c r="GW19" s="3096"/>
      <c r="GX19" s="3096"/>
      <c r="GY19" s="3096"/>
      <c r="GZ19" s="3096"/>
      <c r="HA19" s="3096"/>
      <c r="HB19" s="3096"/>
      <c r="HC19" s="3096"/>
      <c r="HD19" s="3096"/>
      <c r="HE19" s="3096"/>
      <c r="HF19" s="3096"/>
      <c r="HG19" s="3096"/>
      <c r="HH19" s="3096"/>
      <c r="HI19" s="3096"/>
      <c r="HJ19" s="3096"/>
      <c r="HK19" s="3096"/>
      <c r="HL19" s="3096"/>
      <c r="HM19" s="3096"/>
      <c r="HN19" s="3096"/>
      <c r="HO19" s="3096"/>
      <c r="HP19" s="3096"/>
      <c r="HQ19" s="3096"/>
      <c r="HR19" s="3096"/>
      <c r="HS19" s="3096"/>
      <c r="HT19" s="3096"/>
      <c r="HU19" s="3096"/>
      <c r="HV19" s="3096"/>
      <c r="HW19" s="3096"/>
      <c r="HX19" s="3096"/>
      <c r="HY19" s="3096"/>
      <c r="HZ19" s="3096"/>
      <c r="IA19" s="3096"/>
      <c r="IB19" s="3096"/>
      <c r="IC19" s="3096"/>
      <c r="ID19" s="3096"/>
      <c r="IE19" s="3096"/>
      <c r="IF19" s="3096"/>
      <c r="IG19" s="3096"/>
      <c r="IH19" s="3096"/>
      <c r="II19" s="3096"/>
      <c r="IJ19" s="3096"/>
      <c r="IK19" s="3096"/>
      <c r="IL19" s="3096"/>
      <c r="IM19" s="3096"/>
      <c r="IN19" s="3096"/>
      <c r="IO19" s="3096"/>
      <c r="IP19" s="3096"/>
      <c r="IQ19" s="3096"/>
      <c r="IR19" s="3096"/>
      <c r="IS19" s="3096"/>
      <c r="IT19" s="3096"/>
      <c r="IU19" s="3096"/>
      <c r="IV19" s="3096"/>
    </row>
    <row r="20" spans="1:256">
      <c r="A20" s="3499"/>
      <c r="B20" s="3157"/>
      <c r="C20" s="3157"/>
      <c r="D20" s="3157"/>
      <c r="E20" s="3157"/>
      <c r="F20" s="3157"/>
      <c r="G20" s="3157"/>
      <c r="H20" s="3165"/>
      <c r="I20" s="3165"/>
      <c r="J20" s="3159"/>
      <c r="K20" s="3096"/>
      <c r="L20" s="3096"/>
      <c r="M20" s="3096"/>
      <c r="N20" s="3096"/>
      <c r="O20" s="3096"/>
      <c r="P20" s="3096"/>
      <c r="Q20" s="3096"/>
      <c r="R20" s="3096"/>
      <c r="S20" s="3096"/>
      <c r="T20" s="3096"/>
      <c r="U20" s="3096"/>
      <c r="V20" s="3096"/>
      <c r="W20" s="3096"/>
      <c r="X20" s="3096"/>
      <c r="Y20" s="3096"/>
      <c r="Z20" s="3096"/>
      <c r="AA20" s="3096"/>
      <c r="AB20" s="3096"/>
      <c r="AC20" s="3096"/>
      <c r="AD20" s="3096"/>
      <c r="AE20" s="3096"/>
      <c r="AF20" s="3096"/>
      <c r="AG20" s="3096"/>
      <c r="AH20" s="3096"/>
      <c r="AI20" s="3096"/>
      <c r="AJ20" s="3096"/>
      <c r="AK20" s="3096"/>
      <c r="AL20" s="3096"/>
      <c r="AM20" s="3096"/>
      <c r="AN20" s="3096"/>
      <c r="AO20" s="3096"/>
      <c r="AP20" s="3096"/>
      <c r="AQ20" s="3096"/>
      <c r="AR20" s="3096"/>
      <c r="AS20" s="3096"/>
      <c r="AT20" s="3096"/>
      <c r="AU20" s="3096"/>
      <c r="AV20" s="3096"/>
      <c r="AW20" s="3096"/>
      <c r="AX20" s="3096"/>
      <c r="AY20" s="3096"/>
      <c r="AZ20" s="3096"/>
      <c r="BA20" s="3096"/>
      <c r="BB20" s="3096"/>
      <c r="BC20" s="3096"/>
      <c r="BD20" s="3096"/>
      <c r="BE20" s="3096"/>
      <c r="BF20" s="3096"/>
      <c r="BG20" s="3096"/>
      <c r="BH20" s="3096"/>
      <c r="BI20" s="3096"/>
      <c r="BJ20" s="3096"/>
      <c r="BK20" s="3096"/>
      <c r="BL20" s="3096"/>
      <c r="BM20" s="3096"/>
      <c r="BN20" s="3096"/>
      <c r="BO20" s="3096"/>
      <c r="BP20" s="3096"/>
      <c r="BQ20" s="3096"/>
      <c r="BR20" s="3096"/>
      <c r="BS20" s="3096"/>
      <c r="BT20" s="3096"/>
      <c r="BU20" s="3096"/>
      <c r="BV20" s="3096"/>
      <c r="BW20" s="3096"/>
      <c r="BX20" s="3096"/>
      <c r="BY20" s="3096"/>
      <c r="BZ20" s="3096"/>
      <c r="CA20" s="3096"/>
      <c r="CB20" s="3096"/>
      <c r="CC20" s="3096"/>
      <c r="CD20" s="3096"/>
      <c r="CE20" s="3096"/>
      <c r="CF20" s="3096"/>
      <c r="CG20" s="3096"/>
      <c r="CH20" s="3096"/>
      <c r="CI20" s="3096"/>
      <c r="CJ20" s="3096"/>
      <c r="CK20" s="3096"/>
      <c r="CL20" s="3096"/>
      <c r="CM20" s="3096"/>
      <c r="CN20" s="3096"/>
      <c r="CO20" s="3096"/>
      <c r="CP20" s="3096"/>
      <c r="CQ20" s="3096"/>
      <c r="CR20" s="3096"/>
      <c r="CS20" s="3096"/>
      <c r="CT20" s="3096"/>
      <c r="CU20" s="3096"/>
      <c r="CV20" s="3096"/>
      <c r="CW20" s="3096"/>
      <c r="CX20" s="3096"/>
      <c r="CY20" s="3096"/>
      <c r="CZ20" s="3096"/>
      <c r="DA20" s="3096"/>
      <c r="DB20" s="3096"/>
      <c r="DC20" s="3096"/>
      <c r="DD20" s="3096"/>
      <c r="DE20" s="3096"/>
      <c r="DF20" s="3096"/>
      <c r="DG20" s="3096"/>
      <c r="DH20" s="3096"/>
      <c r="DI20" s="3096"/>
      <c r="DJ20" s="3096"/>
      <c r="DK20" s="3096"/>
      <c r="DL20" s="3096"/>
      <c r="DM20" s="3096"/>
      <c r="DN20" s="3096"/>
      <c r="DO20" s="3096"/>
      <c r="DP20" s="3096"/>
      <c r="DQ20" s="3096"/>
      <c r="DR20" s="3096"/>
      <c r="DS20" s="3096"/>
      <c r="DT20" s="3096"/>
      <c r="DU20" s="3096"/>
      <c r="DV20" s="3096"/>
      <c r="DW20" s="3096"/>
      <c r="DX20" s="3096"/>
      <c r="DY20" s="3096"/>
      <c r="DZ20" s="3096"/>
      <c r="EA20" s="3096"/>
      <c r="EB20" s="3096"/>
      <c r="EC20" s="3096"/>
      <c r="ED20" s="3096"/>
      <c r="EE20" s="3096"/>
      <c r="EF20" s="3096"/>
      <c r="EG20" s="3096"/>
      <c r="EH20" s="3096"/>
      <c r="EI20" s="3096"/>
      <c r="EJ20" s="3096"/>
      <c r="EK20" s="3096"/>
      <c r="EL20" s="3096"/>
      <c r="EM20" s="3096"/>
      <c r="EN20" s="3096"/>
      <c r="EO20" s="3096"/>
      <c r="EP20" s="3096"/>
      <c r="EQ20" s="3096"/>
      <c r="ER20" s="3096"/>
      <c r="ES20" s="3096"/>
      <c r="ET20" s="3096"/>
      <c r="EU20" s="3096"/>
      <c r="EV20" s="3096"/>
      <c r="EW20" s="3096"/>
      <c r="EX20" s="3096"/>
      <c r="EY20" s="3096"/>
      <c r="EZ20" s="3096"/>
      <c r="FA20" s="3096"/>
      <c r="FB20" s="3096"/>
      <c r="FC20" s="3096"/>
      <c r="FD20" s="3096"/>
      <c r="FE20" s="3096"/>
      <c r="FF20" s="3096"/>
      <c r="FG20" s="3096"/>
      <c r="FH20" s="3096"/>
      <c r="FI20" s="3096"/>
      <c r="FJ20" s="3096"/>
      <c r="FK20" s="3096"/>
      <c r="FL20" s="3096"/>
      <c r="FM20" s="3096"/>
      <c r="FN20" s="3096"/>
      <c r="FO20" s="3096"/>
      <c r="FP20" s="3096"/>
      <c r="FQ20" s="3096"/>
      <c r="FR20" s="3096"/>
      <c r="FS20" s="3096"/>
      <c r="FT20" s="3096"/>
      <c r="FU20" s="3096"/>
      <c r="FV20" s="3096"/>
      <c r="FW20" s="3096"/>
      <c r="FX20" s="3096"/>
      <c r="FY20" s="3096"/>
      <c r="FZ20" s="3096"/>
      <c r="GA20" s="3096"/>
      <c r="GB20" s="3096"/>
      <c r="GC20" s="3096"/>
      <c r="GD20" s="3096"/>
      <c r="GE20" s="3096"/>
      <c r="GF20" s="3096"/>
      <c r="GG20" s="3096"/>
      <c r="GH20" s="3096"/>
      <c r="GI20" s="3096"/>
      <c r="GJ20" s="3096"/>
      <c r="GK20" s="3096"/>
      <c r="GL20" s="3096"/>
      <c r="GM20" s="3096"/>
      <c r="GN20" s="3096"/>
      <c r="GO20" s="3096"/>
      <c r="GP20" s="3096"/>
      <c r="GQ20" s="3096"/>
      <c r="GR20" s="3096"/>
      <c r="GS20" s="3096"/>
      <c r="GT20" s="3096"/>
      <c r="GU20" s="3096"/>
      <c r="GV20" s="3096"/>
      <c r="GW20" s="3096"/>
      <c r="GX20" s="3096"/>
      <c r="GY20" s="3096"/>
      <c r="GZ20" s="3096"/>
      <c r="HA20" s="3096"/>
      <c r="HB20" s="3096"/>
      <c r="HC20" s="3096"/>
      <c r="HD20" s="3096"/>
      <c r="HE20" s="3096"/>
      <c r="HF20" s="3096"/>
      <c r="HG20" s="3096"/>
      <c r="HH20" s="3096"/>
      <c r="HI20" s="3096"/>
      <c r="HJ20" s="3096"/>
      <c r="HK20" s="3096"/>
      <c r="HL20" s="3096"/>
      <c r="HM20" s="3096"/>
      <c r="HN20" s="3096"/>
      <c r="HO20" s="3096"/>
      <c r="HP20" s="3096"/>
      <c r="HQ20" s="3096"/>
      <c r="HR20" s="3096"/>
      <c r="HS20" s="3096"/>
      <c r="HT20" s="3096"/>
      <c r="HU20" s="3096"/>
      <c r="HV20" s="3096"/>
      <c r="HW20" s="3096"/>
      <c r="HX20" s="3096"/>
      <c r="HY20" s="3096"/>
      <c r="HZ20" s="3096"/>
      <c r="IA20" s="3096"/>
      <c r="IB20" s="3096"/>
      <c r="IC20" s="3096"/>
      <c r="ID20" s="3096"/>
      <c r="IE20" s="3096"/>
      <c r="IF20" s="3096"/>
      <c r="IG20" s="3096"/>
      <c r="IH20" s="3096"/>
      <c r="II20" s="3096"/>
      <c r="IJ20" s="3096"/>
      <c r="IK20" s="3096"/>
      <c r="IL20" s="3096"/>
      <c r="IM20" s="3096"/>
      <c r="IN20" s="3096"/>
      <c r="IO20" s="3096"/>
      <c r="IP20" s="3096"/>
      <c r="IQ20" s="3096"/>
      <c r="IR20" s="3096"/>
      <c r="IS20" s="3096"/>
      <c r="IT20" s="3096"/>
      <c r="IU20" s="3096"/>
      <c r="IV20" s="3096"/>
    </row>
    <row r="21" spans="1:256" ht="16.5" thickBot="1">
      <c r="A21" s="3500"/>
      <c r="B21" s="3160"/>
      <c r="C21" s="3160"/>
      <c r="D21" s="3160"/>
      <c r="E21" s="3160"/>
      <c r="F21" s="3160"/>
      <c r="G21" s="3160"/>
      <c r="H21" s="3166"/>
      <c r="I21" s="3166"/>
      <c r="J21" s="3162"/>
      <c r="K21" s="3096"/>
      <c r="L21" s="3096"/>
      <c r="M21" s="3096"/>
      <c r="N21" s="3096"/>
      <c r="O21" s="3096"/>
      <c r="P21" s="3096"/>
      <c r="Q21" s="3096"/>
      <c r="R21" s="3096"/>
      <c r="S21" s="3096"/>
      <c r="T21" s="3096"/>
      <c r="U21" s="3096"/>
      <c r="V21" s="3096"/>
      <c r="W21" s="3096"/>
      <c r="X21" s="3096"/>
      <c r="Y21" s="3096"/>
      <c r="Z21" s="3096"/>
      <c r="AA21" s="3096"/>
      <c r="AB21" s="3096"/>
      <c r="AC21" s="3096"/>
      <c r="AD21" s="3096"/>
      <c r="AE21" s="3096"/>
      <c r="AF21" s="3096"/>
      <c r="AG21" s="3096"/>
      <c r="AH21" s="3096"/>
      <c r="AI21" s="3096"/>
      <c r="AJ21" s="3096"/>
      <c r="AK21" s="3096"/>
      <c r="AL21" s="3096"/>
      <c r="AM21" s="3096"/>
      <c r="AN21" s="3096"/>
      <c r="AO21" s="3096"/>
      <c r="AP21" s="3096"/>
      <c r="AQ21" s="3096"/>
      <c r="AR21" s="3096"/>
      <c r="AS21" s="3096"/>
      <c r="AT21" s="3096"/>
      <c r="AU21" s="3096"/>
      <c r="AV21" s="3096"/>
      <c r="AW21" s="3096"/>
      <c r="AX21" s="3096"/>
      <c r="AY21" s="3096"/>
      <c r="AZ21" s="3096"/>
      <c r="BA21" s="3096"/>
      <c r="BB21" s="3096"/>
      <c r="BC21" s="3096"/>
      <c r="BD21" s="3096"/>
      <c r="BE21" s="3096"/>
      <c r="BF21" s="3096"/>
      <c r="BG21" s="3096"/>
      <c r="BH21" s="3096"/>
      <c r="BI21" s="3096"/>
      <c r="BJ21" s="3096"/>
      <c r="BK21" s="3096"/>
      <c r="BL21" s="3096"/>
      <c r="BM21" s="3096"/>
      <c r="BN21" s="3096"/>
      <c r="BO21" s="3096"/>
      <c r="BP21" s="3096"/>
      <c r="BQ21" s="3096"/>
      <c r="BR21" s="3096"/>
      <c r="BS21" s="3096"/>
      <c r="BT21" s="3096"/>
      <c r="BU21" s="3096"/>
      <c r="BV21" s="3096"/>
      <c r="BW21" s="3096"/>
      <c r="BX21" s="3096"/>
      <c r="BY21" s="3096"/>
      <c r="BZ21" s="3096"/>
      <c r="CA21" s="3096"/>
      <c r="CB21" s="3096"/>
      <c r="CC21" s="3096"/>
      <c r="CD21" s="3096"/>
      <c r="CE21" s="3096"/>
      <c r="CF21" s="3096"/>
      <c r="CG21" s="3096"/>
      <c r="CH21" s="3096"/>
      <c r="CI21" s="3096"/>
      <c r="CJ21" s="3096"/>
      <c r="CK21" s="3096"/>
      <c r="CL21" s="3096"/>
      <c r="CM21" s="3096"/>
      <c r="CN21" s="3096"/>
      <c r="CO21" s="3096"/>
      <c r="CP21" s="3096"/>
      <c r="CQ21" s="3096"/>
      <c r="CR21" s="3096"/>
      <c r="CS21" s="3096"/>
      <c r="CT21" s="3096"/>
      <c r="CU21" s="3096"/>
      <c r="CV21" s="3096"/>
      <c r="CW21" s="3096"/>
      <c r="CX21" s="3096"/>
      <c r="CY21" s="3096"/>
      <c r="CZ21" s="3096"/>
      <c r="DA21" s="3096"/>
      <c r="DB21" s="3096"/>
      <c r="DC21" s="3096"/>
      <c r="DD21" s="3096"/>
      <c r="DE21" s="3096"/>
      <c r="DF21" s="3096"/>
      <c r="DG21" s="3096"/>
      <c r="DH21" s="3096"/>
      <c r="DI21" s="3096"/>
      <c r="DJ21" s="3096"/>
      <c r="DK21" s="3096"/>
      <c r="DL21" s="3096"/>
      <c r="DM21" s="3096"/>
      <c r="DN21" s="3096"/>
      <c r="DO21" s="3096"/>
      <c r="DP21" s="3096"/>
      <c r="DQ21" s="3096"/>
      <c r="DR21" s="3096"/>
      <c r="DS21" s="3096"/>
      <c r="DT21" s="3096"/>
      <c r="DU21" s="3096"/>
      <c r="DV21" s="3096"/>
      <c r="DW21" s="3096"/>
      <c r="DX21" s="3096"/>
      <c r="DY21" s="3096"/>
      <c r="DZ21" s="3096"/>
      <c r="EA21" s="3096"/>
      <c r="EB21" s="3096"/>
      <c r="EC21" s="3096"/>
      <c r="ED21" s="3096"/>
      <c r="EE21" s="3096"/>
      <c r="EF21" s="3096"/>
      <c r="EG21" s="3096"/>
      <c r="EH21" s="3096"/>
      <c r="EI21" s="3096"/>
      <c r="EJ21" s="3096"/>
      <c r="EK21" s="3096"/>
      <c r="EL21" s="3096"/>
      <c r="EM21" s="3096"/>
      <c r="EN21" s="3096"/>
      <c r="EO21" s="3096"/>
      <c r="EP21" s="3096"/>
      <c r="EQ21" s="3096"/>
      <c r="ER21" s="3096"/>
      <c r="ES21" s="3096"/>
      <c r="ET21" s="3096"/>
      <c r="EU21" s="3096"/>
      <c r="EV21" s="3096"/>
      <c r="EW21" s="3096"/>
      <c r="EX21" s="3096"/>
      <c r="EY21" s="3096"/>
      <c r="EZ21" s="3096"/>
      <c r="FA21" s="3096"/>
      <c r="FB21" s="3096"/>
      <c r="FC21" s="3096"/>
      <c r="FD21" s="3096"/>
      <c r="FE21" s="3096"/>
      <c r="FF21" s="3096"/>
      <c r="FG21" s="3096"/>
      <c r="FH21" s="3096"/>
      <c r="FI21" s="3096"/>
      <c r="FJ21" s="3096"/>
      <c r="FK21" s="3096"/>
      <c r="FL21" s="3096"/>
      <c r="FM21" s="3096"/>
      <c r="FN21" s="3096"/>
      <c r="FO21" s="3096"/>
      <c r="FP21" s="3096"/>
      <c r="FQ21" s="3096"/>
      <c r="FR21" s="3096"/>
      <c r="FS21" s="3096"/>
      <c r="FT21" s="3096"/>
      <c r="FU21" s="3096"/>
      <c r="FV21" s="3096"/>
      <c r="FW21" s="3096"/>
      <c r="FX21" s="3096"/>
      <c r="FY21" s="3096"/>
      <c r="FZ21" s="3096"/>
      <c r="GA21" s="3096"/>
      <c r="GB21" s="3096"/>
      <c r="GC21" s="3096"/>
      <c r="GD21" s="3096"/>
      <c r="GE21" s="3096"/>
      <c r="GF21" s="3096"/>
      <c r="GG21" s="3096"/>
      <c r="GH21" s="3096"/>
      <c r="GI21" s="3096"/>
      <c r="GJ21" s="3096"/>
      <c r="GK21" s="3096"/>
      <c r="GL21" s="3096"/>
      <c r="GM21" s="3096"/>
      <c r="GN21" s="3096"/>
      <c r="GO21" s="3096"/>
      <c r="GP21" s="3096"/>
      <c r="GQ21" s="3096"/>
      <c r="GR21" s="3096"/>
      <c r="GS21" s="3096"/>
      <c r="GT21" s="3096"/>
      <c r="GU21" s="3096"/>
      <c r="GV21" s="3096"/>
      <c r="GW21" s="3096"/>
      <c r="GX21" s="3096"/>
      <c r="GY21" s="3096"/>
      <c r="GZ21" s="3096"/>
      <c r="HA21" s="3096"/>
      <c r="HB21" s="3096"/>
      <c r="HC21" s="3096"/>
      <c r="HD21" s="3096"/>
      <c r="HE21" s="3096"/>
      <c r="HF21" s="3096"/>
      <c r="HG21" s="3096"/>
      <c r="HH21" s="3096"/>
      <c r="HI21" s="3096"/>
      <c r="HJ21" s="3096"/>
      <c r="HK21" s="3096"/>
      <c r="HL21" s="3096"/>
      <c r="HM21" s="3096"/>
      <c r="HN21" s="3096"/>
      <c r="HO21" s="3096"/>
      <c r="HP21" s="3096"/>
      <c r="HQ21" s="3096"/>
      <c r="HR21" s="3096"/>
      <c r="HS21" s="3096"/>
      <c r="HT21" s="3096"/>
      <c r="HU21" s="3096"/>
      <c r="HV21" s="3096"/>
      <c r="HW21" s="3096"/>
      <c r="HX21" s="3096"/>
      <c r="HY21" s="3096"/>
      <c r="HZ21" s="3096"/>
      <c r="IA21" s="3096"/>
      <c r="IB21" s="3096"/>
      <c r="IC21" s="3096"/>
      <c r="ID21" s="3096"/>
      <c r="IE21" s="3096"/>
      <c r="IF21" s="3096"/>
      <c r="IG21" s="3096"/>
      <c r="IH21" s="3096"/>
      <c r="II21" s="3096"/>
      <c r="IJ21" s="3096"/>
      <c r="IK21" s="3096"/>
      <c r="IL21" s="3096"/>
      <c r="IM21" s="3096"/>
      <c r="IN21" s="3096"/>
      <c r="IO21" s="3096"/>
      <c r="IP21" s="3096"/>
      <c r="IQ21" s="3096"/>
      <c r="IR21" s="3096"/>
      <c r="IS21" s="3096"/>
      <c r="IT21" s="3096"/>
      <c r="IU21" s="3096"/>
      <c r="IV21" s="3096"/>
    </row>
    <row r="22" spans="1:256" ht="31.5">
      <c r="A22" s="3498" t="s">
        <v>3284</v>
      </c>
      <c r="B22" s="3152" t="s">
        <v>3285</v>
      </c>
      <c r="C22" s="3152" t="s">
        <v>3258</v>
      </c>
      <c r="D22" s="3167" t="s">
        <v>3286</v>
      </c>
      <c r="E22" s="3152" t="s">
        <v>3260</v>
      </c>
      <c r="F22" s="3152" t="s">
        <v>3287</v>
      </c>
      <c r="G22" s="3152" t="s">
        <v>3288</v>
      </c>
      <c r="H22" s="3152" t="s">
        <v>3289</v>
      </c>
      <c r="I22" s="3152" t="s">
        <v>3290</v>
      </c>
      <c r="J22" s="3164" t="s">
        <v>3265</v>
      </c>
      <c r="K22" s="3096"/>
      <c r="L22" s="3096"/>
      <c r="M22" s="3096"/>
      <c r="N22" s="3096"/>
      <c r="O22" s="3096"/>
      <c r="P22" s="3096"/>
      <c r="Q22" s="3096"/>
      <c r="R22" s="3096"/>
      <c r="S22" s="3096"/>
      <c r="T22" s="3096"/>
      <c r="U22" s="3096"/>
      <c r="V22" s="3096"/>
      <c r="W22" s="3096"/>
      <c r="X22" s="3096"/>
      <c r="Y22" s="3096"/>
      <c r="Z22" s="3096"/>
      <c r="AA22" s="3096"/>
      <c r="AB22" s="3096"/>
      <c r="AC22" s="3096"/>
      <c r="AD22" s="3096"/>
      <c r="AE22" s="3096"/>
      <c r="AF22" s="3096"/>
      <c r="AG22" s="3096"/>
      <c r="AH22" s="3096"/>
      <c r="AI22" s="3096"/>
      <c r="AJ22" s="3096"/>
      <c r="AK22" s="3096"/>
      <c r="AL22" s="3096"/>
      <c r="AM22" s="3096"/>
      <c r="AN22" s="3096"/>
      <c r="AO22" s="3096"/>
      <c r="AP22" s="3096"/>
      <c r="AQ22" s="3096"/>
      <c r="AR22" s="3096"/>
      <c r="AS22" s="3096"/>
      <c r="AT22" s="3096"/>
      <c r="AU22" s="3096"/>
      <c r="AV22" s="3096"/>
      <c r="AW22" s="3096"/>
      <c r="AX22" s="3096"/>
      <c r="AY22" s="3096"/>
      <c r="AZ22" s="3096"/>
      <c r="BA22" s="3096"/>
      <c r="BB22" s="3096"/>
      <c r="BC22" s="3096"/>
      <c r="BD22" s="3096"/>
      <c r="BE22" s="3096"/>
      <c r="BF22" s="3096"/>
      <c r="BG22" s="3096"/>
      <c r="BH22" s="3096"/>
      <c r="BI22" s="3096"/>
      <c r="BJ22" s="3096"/>
      <c r="BK22" s="3096"/>
      <c r="BL22" s="3096"/>
      <c r="BM22" s="3096"/>
      <c r="BN22" s="3096"/>
      <c r="BO22" s="3096"/>
      <c r="BP22" s="3096"/>
      <c r="BQ22" s="3096"/>
      <c r="BR22" s="3096"/>
      <c r="BS22" s="3096"/>
      <c r="BT22" s="3096"/>
      <c r="BU22" s="3096"/>
      <c r="BV22" s="3096"/>
      <c r="BW22" s="3096"/>
      <c r="BX22" s="3096"/>
      <c r="BY22" s="3096"/>
      <c r="BZ22" s="3096"/>
      <c r="CA22" s="3096"/>
      <c r="CB22" s="3096"/>
      <c r="CC22" s="3096"/>
      <c r="CD22" s="3096"/>
      <c r="CE22" s="3096"/>
      <c r="CF22" s="3096"/>
      <c r="CG22" s="3096"/>
      <c r="CH22" s="3096"/>
      <c r="CI22" s="3096"/>
      <c r="CJ22" s="3096"/>
      <c r="CK22" s="3096"/>
      <c r="CL22" s="3096"/>
      <c r="CM22" s="3096"/>
      <c r="CN22" s="3096"/>
      <c r="CO22" s="3096"/>
      <c r="CP22" s="3096"/>
      <c r="CQ22" s="3096"/>
      <c r="CR22" s="3096"/>
      <c r="CS22" s="3096"/>
      <c r="CT22" s="3096"/>
      <c r="CU22" s="3096"/>
      <c r="CV22" s="3096"/>
      <c r="CW22" s="3096"/>
      <c r="CX22" s="3096"/>
      <c r="CY22" s="3096"/>
      <c r="CZ22" s="3096"/>
      <c r="DA22" s="3096"/>
      <c r="DB22" s="3096"/>
      <c r="DC22" s="3096"/>
      <c r="DD22" s="3096"/>
      <c r="DE22" s="3096"/>
      <c r="DF22" s="3096"/>
      <c r="DG22" s="3096"/>
      <c r="DH22" s="3096"/>
      <c r="DI22" s="3096"/>
      <c r="DJ22" s="3096"/>
      <c r="DK22" s="3096"/>
      <c r="DL22" s="3096"/>
      <c r="DM22" s="3096"/>
      <c r="DN22" s="3096"/>
      <c r="DO22" s="3096"/>
      <c r="DP22" s="3096"/>
      <c r="DQ22" s="3096"/>
      <c r="DR22" s="3096"/>
      <c r="DS22" s="3096"/>
      <c r="DT22" s="3096"/>
      <c r="DU22" s="3096"/>
      <c r="DV22" s="3096"/>
      <c r="DW22" s="3096"/>
      <c r="DX22" s="3096"/>
      <c r="DY22" s="3096"/>
      <c r="DZ22" s="3096"/>
      <c r="EA22" s="3096"/>
      <c r="EB22" s="3096"/>
      <c r="EC22" s="3096"/>
      <c r="ED22" s="3096"/>
      <c r="EE22" s="3096"/>
      <c r="EF22" s="3096"/>
      <c r="EG22" s="3096"/>
      <c r="EH22" s="3096"/>
      <c r="EI22" s="3096"/>
      <c r="EJ22" s="3096"/>
      <c r="EK22" s="3096"/>
      <c r="EL22" s="3096"/>
      <c r="EM22" s="3096"/>
      <c r="EN22" s="3096"/>
      <c r="EO22" s="3096"/>
      <c r="EP22" s="3096"/>
      <c r="EQ22" s="3096"/>
      <c r="ER22" s="3096"/>
      <c r="ES22" s="3096"/>
      <c r="ET22" s="3096"/>
      <c r="EU22" s="3096"/>
      <c r="EV22" s="3096"/>
      <c r="EW22" s="3096"/>
      <c r="EX22" s="3096"/>
      <c r="EY22" s="3096"/>
      <c r="EZ22" s="3096"/>
      <c r="FA22" s="3096"/>
      <c r="FB22" s="3096"/>
      <c r="FC22" s="3096"/>
      <c r="FD22" s="3096"/>
      <c r="FE22" s="3096"/>
      <c r="FF22" s="3096"/>
      <c r="FG22" s="3096"/>
      <c r="FH22" s="3096"/>
      <c r="FI22" s="3096"/>
      <c r="FJ22" s="3096"/>
      <c r="FK22" s="3096"/>
      <c r="FL22" s="3096"/>
      <c r="FM22" s="3096"/>
      <c r="FN22" s="3096"/>
      <c r="FO22" s="3096"/>
      <c r="FP22" s="3096"/>
      <c r="FQ22" s="3096"/>
      <c r="FR22" s="3096"/>
      <c r="FS22" s="3096"/>
      <c r="FT22" s="3096"/>
      <c r="FU22" s="3096"/>
      <c r="FV22" s="3096"/>
      <c r="FW22" s="3096"/>
      <c r="FX22" s="3096"/>
      <c r="FY22" s="3096"/>
      <c r="FZ22" s="3096"/>
      <c r="GA22" s="3096"/>
      <c r="GB22" s="3096"/>
      <c r="GC22" s="3096"/>
      <c r="GD22" s="3096"/>
      <c r="GE22" s="3096"/>
      <c r="GF22" s="3096"/>
      <c r="GG22" s="3096"/>
      <c r="GH22" s="3096"/>
      <c r="GI22" s="3096"/>
      <c r="GJ22" s="3096"/>
      <c r="GK22" s="3096"/>
      <c r="GL22" s="3096"/>
      <c r="GM22" s="3096"/>
      <c r="GN22" s="3096"/>
      <c r="GO22" s="3096"/>
      <c r="GP22" s="3096"/>
      <c r="GQ22" s="3096"/>
      <c r="GR22" s="3096"/>
      <c r="GS22" s="3096"/>
      <c r="GT22" s="3096"/>
      <c r="GU22" s="3096"/>
      <c r="GV22" s="3096"/>
      <c r="GW22" s="3096"/>
      <c r="GX22" s="3096"/>
      <c r="GY22" s="3096"/>
      <c r="GZ22" s="3096"/>
      <c r="HA22" s="3096"/>
      <c r="HB22" s="3096"/>
      <c r="HC22" s="3096"/>
      <c r="HD22" s="3096"/>
      <c r="HE22" s="3096"/>
      <c r="HF22" s="3096"/>
      <c r="HG22" s="3096"/>
      <c r="HH22" s="3096"/>
      <c r="HI22" s="3096"/>
      <c r="HJ22" s="3096"/>
      <c r="HK22" s="3096"/>
      <c r="HL22" s="3096"/>
      <c r="HM22" s="3096"/>
      <c r="HN22" s="3096"/>
      <c r="HO22" s="3096"/>
      <c r="HP22" s="3096"/>
      <c r="HQ22" s="3096"/>
      <c r="HR22" s="3096"/>
      <c r="HS22" s="3096"/>
      <c r="HT22" s="3096"/>
      <c r="HU22" s="3096"/>
      <c r="HV22" s="3096"/>
      <c r="HW22" s="3096"/>
      <c r="HX22" s="3096"/>
      <c r="HY22" s="3096"/>
      <c r="HZ22" s="3096"/>
      <c r="IA22" s="3096"/>
      <c r="IB22" s="3096"/>
      <c r="IC22" s="3096"/>
      <c r="ID22" s="3096"/>
      <c r="IE22" s="3096"/>
      <c r="IF22" s="3096"/>
      <c r="IG22" s="3096"/>
      <c r="IH22" s="3096"/>
      <c r="II22" s="3096"/>
      <c r="IJ22" s="3096"/>
      <c r="IK22" s="3096"/>
      <c r="IL22" s="3096"/>
      <c r="IM22" s="3096"/>
      <c r="IN22" s="3096"/>
      <c r="IO22" s="3096"/>
      <c r="IP22" s="3096"/>
      <c r="IQ22" s="3096"/>
      <c r="IR22" s="3096"/>
      <c r="IS22" s="3096"/>
      <c r="IT22" s="3096"/>
      <c r="IU22" s="3096"/>
      <c r="IV22" s="3096"/>
    </row>
    <row r="23" spans="1:256">
      <c r="A23" s="3499"/>
      <c r="B23" s="3157" t="s">
        <v>3291</v>
      </c>
      <c r="C23" s="3157" t="s">
        <v>3292</v>
      </c>
      <c r="D23" s="3157" t="s">
        <v>3293</v>
      </c>
      <c r="E23" s="3157">
        <v>276.02999999999997</v>
      </c>
      <c r="F23" s="3157">
        <v>134</v>
      </c>
      <c r="G23" s="3509"/>
      <c r="H23" s="3509"/>
      <c r="I23" s="3509"/>
      <c r="J23" s="3510"/>
      <c r="K23" s="3096"/>
      <c r="L23" s="3096"/>
      <c r="M23" s="3096"/>
      <c r="N23" s="3096"/>
      <c r="O23" s="3096"/>
      <c r="P23" s="3096"/>
      <c r="Q23" s="3096"/>
      <c r="R23" s="3096"/>
      <c r="S23" s="3096"/>
      <c r="T23" s="3096"/>
      <c r="U23" s="3096"/>
      <c r="V23" s="3096"/>
      <c r="W23" s="3096"/>
      <c r="X23" s="3096"/>
      <c r="Y23" s="3096"/>
      <c r="Z23" s="3096"/>
      <c r="AA23" s="3096"/>
      <c r="AB23" s="3096"/>
      <c r="AC23" s="3096"/>
      <c r="AD23" s="3096"/>
      <c r="AE23" s="3096"/>
      <c r="AF23" s="3096"/>
      <c r="AG23" s="3096"/>
      <c r="AH23" s="3096"/>
      <c r="AI23" s="3096"/>
      <c r="AJ23" s="3096"/>
      <c r="AK23" s="3096"/>
      <c r="AL23" s="3096"/>
      <c r="AM23" s="3096"/>
      <c r="AN23" s="3096"/>
      <c r="AO23" s="3096"/>
      <c r="AP23" s="3096"/>
      <c r="AQ23" s="3096"/>
      <c r="AR23" s="3096"/>
      <c r="AS23" s="3096"/>
      <c r="AT23" s="3096"/>
      <c r="AU23" s="3096"/>
      <c r="AV23" s="3096"/>
      <c r="AW23" s="3096"/>
      <c r="AX23" s="3096"/>
      <c r="AY23" s="3096"/>
      <c r="AZ23" s="3096"/>
      <c r="BA23" s="3096"/>
      <c r="BB23" s="3096"/>
      <c r="BC23" s="3096"/>
      <c r="BD23" s="3096"/>
      <c r="BE23" s="3096"/>
      <c r="BF23" s="3096"/>
      <c r="BG23" s="3096"/>
      <c r="BH23" s="3096"/>
      <c r="BI23" s="3096"/>
      <c r="BJ23" s="3096"/>
      <c r="BK23" s="3096"/>
      <c r="BL23" s="3096"/>
      <c r="BM23" s="3096"/>
      <c r="BN23" s="3096"/>
      <c r="BO23" s="3096"/>
      <c r="BP23" s="3096"/>
      <c r="BQ23" s="3096"/>
      <c r="BR23" s="3096"/>
      <c r="BS23" s="3096"/>
      <c r="BT23" s="3096"/>
      <c r="BU23" s="3096"/>
      <c r="BV23" s="3096"/>
      <c r="BW23" s="3096"/>
      <c r="BX23" s="3096"/>
      <c r="BY23" s="3096"/>
      <c r="BZ23" s="3096"/>
      <c r="CA23" s="3096"/>
      <c r="CB23" s="3096"/>
      <c r="CC23" s="3096"/>
      <c r="CD23" s="3096"/>
      <c r="CE23" s="3096"/>
      <c r="CF23" s="3096"/>
      <c r="CG23" s="3096"/>
      <c r="CH23" s="3096"/>
      <c r="CI23" s="3096"/>
      <c r="CJ23" s="3096"/>
      <c r="CK23" s="3096"/>
      <c r="CL23" s="3096"/>
      <c r="CM23" s="3096"/>
      <c r="CN23" s="3096"/>
      <c r="CO23" s="3096"/>
      <c r="CP23" s="3096"/>
      <c r="CQ23" s="3096"/>
      <c r="CR23" s="3096"/>
      <c r="CS23" s="3096"/>
      <c r="CT23" s="3096"/>
      <c r="CU23" s="3096"/>
      <c r="CV23" s="3096"/>
      <c r="CW23" s="3096"/>
      <c r="CX23" s="3096"/>
      <c r="CY23" s="3096"/>
      <c r="CZ23" s="3096"/>
      <c r="DA23" s="3096"/>
      <c r="DB23" s="3096"/>
      <c r="DC23" s="3096"/>
      <c r="DD23" s="3096"/>
      <c r="DE23" s="3096"/>
      <c r="DF23" s="3096"/>
      <c r="DG23" s="3096"/>
      <c r="DH23" s="3096"/>
      <c r="DI23" s="3096"/>
      <c r="DJ23" s="3096"/>
      <c r="DK23" s="3096"/>
      <c r="DL23" s="3096"/>
      <c r="DM23" s="3096"/>
      <c r="DN23" s="3096"/>
      <c r="DO23" s="3096"/>
      <c r="DP23" s="3096"/>
      <c r="DQ23" s="3096"/>
      <c r="DR23" s="3096"/>
      <c r="DS23" s="3096"/>
      <c r="DT23" s="3096"/>
      <c r="DU23" s="3096"/>
      <c r="DV23" s="3096"/>
      <c r="DW23" s="3096"/>
      <c r="DX23" s="3096"/>
      <c r="DY23" s="3096"/>
      <c r="DZ23" s="3096"/>
      <c r="EA23" s="3096"/>
      <c r="EB23" s="3096"/>
      <c r="EC23" s="3096"/>
      <c r="ED23" s="3096"/>
      <c r="EE23" s="3096"/>
      <c r="EF23" s="3096"/>
      <c r="EG23" s="3096"/>
      <c r="EH23" s="3096"/>
      <c r="EI23" s="3096"/>
      <c r="EJ23" s="3096"/>
      <c r="EK23" s="3096"/>
      <c r="EL23" s="3096"/>
      <c r="EM23" s="3096"/>
      <c r="EN23" s="3096"/>
      <c r="EO23" s="3096"/>
      <c r="EP23" s="3096"/>
      <c r="EQ23" s="3096"/>
      <c r="ER23" s="3096"/>
      <c r="ES23" s="3096"/>
      <c r="ET23" s="3096"/>
      <c r="EU23" s="3096"/>
      <c r="EV23" s="3096"/>
      <c r="EW23" s="3096"/>
      <c r="EX23" s="3096"/>
      <c r="EY23" s="3096"/>
      <c r="EZ23" s="3096"/>
      <c r="FA23" s="3096"/>
      <c r="FB23" s="3096"/>
      <c r="FC23" s="3096"/>
      <c r="FD23" s="3096"/>
      <c r="FE23" s="3096"/>
      <c r="FF23" s="3096"/>
      <c r="FG23" s="3096"/>
      <c r="FH23" s="3096"/>
      <c r="FI23" s="3096"/>
      <c r="FJ23" s="3096"/>
      <c r="FK23" s="3096"/>
      <c r="FL23" s="3096"/>
      <c r="FM23" s="3096"/>
      <c r="FN23" s="3096"/>
      <c r="FO23" s="3096"/>
      <c r="FP23" s="3096"/>
      <c r="FQ23" s="3096"/>
      <c r="FR23" s="3096"/>
      <c r="FS23" s="3096"/>
      <c r="FT23" s="3096"/>
      <c r="FU23" s="3096"/>
      <c r="FV23" s="3096"/>
      <c r="FW23" s="3096"/>
      <c r="FX23" s="3096"/>
      <c r="FY23" s="3096"/>
      <c r="FZ23" s="3096"/>
      <c r="GA23" s="3096"/>
      <c r="GB23" s="3096"/>
      <c r="GC23" s="3096"/>
      <c r="GD23" s="3096"/>
      <c r="GE23" s="3096"/>
      <c r="GF23" s="3096"/>
      <c r="GG23" s="3096"/>
      <c r="GH23" s="3096"/>
      <c r="GI23" s="3096"/>
      <c r="GJ23" s="3096"/>
      <c r="GK23" s="3096"/>
      <c r="GL23" s="3096"/>
      <c r="GM23" s="3096"/>
      <c r="GN23" s="3096"/>
      <c r="GO23" s="3096"/>
      <c r="GP23" s="3096"/>
      <c r="GQ23" s="3096"/>
      <c r="GR23" s="3096"/>
      <c r="GS23" s="3096"/>
      <c r="GT23" s="3096"/>
      <c r="GU23" s="3096"/>
      <c r="GV23" s="3096"/>
      <c r="GW23" s="3096"/>
      <c r="GX23" s="3096"/>
      <c r="GY23" s="3096"/>
      <c r="GZ23" s="3096"/>
      <c r="HA23" s="3096"/>
      <c r="HB23" s="3096"/>
      <c r="HC23" s="3096"/>
      <c r="HD23" s="3096"/>
      <c r="HE23" s="3096"/>
      <c r="HF23" s="3096"/>
      <c r="HG23" s="3096"/>
      <c r="HH23" s="3096"/>
      <c r="HI23" s="3096"/>
      <c r="HJ23" s="3096"/>
      <c r="HK23" s="3096"/>
      <c r="HL23" s="3096"/>
      <c r="HM23" s="3096"/>
      <c r="HN23" s="3096"/>
      <c r="HO23" s="3096"/>
      <c r="HP23" s="3096"/>
      <c r="HQ23" s="3096"/>
      <c r="HR23" s="3096"/>
      <c r="HS23" s="3096"/>
      <c r="HT23" s="3096"/>
      <c r="HU23" s="3096"/>
      <c r="HV23" s="3096"/>
      <c r="HW23" s="3096"/>
      <c r="HX23" s="3096"/>
      <c r="HY23" s="3096"/>
      <c r="HZ23" s="3096"/>
      <c r="IA23" s="3096"/>
      <c r="IB23" s="3096"/>
      <c r="IC23" s="3096"/>
      <c r="ID23" s="3096"/>
      <c r="IE23" s="3096"/>
      <c r="IF23" s="3096"/>
      <c r="IG23" s="3096"/>
      <c r="IH23" s="3096"/>
      <c r="II23" s="3096"/>
      <c r="IJ23" s="3096"/>
      <c r="IK23" s="3096"/>
      <c r="IL23" s="3096"/>
      <c r="IM23" s="3096"/>
      <c r="IN23" s="3096"/>
      <c r="IO23" s="3096"/>
      <c r="IP23" s="3096"/>
      <c r="IQ23" s="3096"/>
      <c r="IR23" s="3096"/>
      <c r="IS23" s="3096"/>
      <c r="IT23" s="3096"/>
      <c r="IU23" s="3096"/>
      <c r="IV23" s="3096"/>
    </row>
    <row r="24" spans="1:256">
      <c r="A24" s="3499"/>
      <c r="B24" s="3157"/>
      <c r="C24" s="3157"/>
      <c r="D24" s="3157"/>
      <c r="E24" s="3157"/>
      <c r="F24" s="3157"/>
      <c r="G24" s="3511"/>
      <c r="H24" s="3511"/>
      <c r="I24" s="3509"/>
      <c r="J24" s="3510"/>
      <c r="K24" s="3096"/>
      <c r="L24" s="3096"/>
      <c r="M24" s="3096"/>
      <c r="N24" s="3096"/>
      <c r="O24" s="3096"/>
      <c r="P24" s="3096"/>
      <c r="Q24" s="3096"/>
      <c r="R24" s="3096"/>
      <c r="S24" s="3096"/>
      <c r="T24" s="3096"/>
      <c r="U24" s="3096"/>
      <c r="V24" s="3096"/>
      <c r="W24" s="3096"/>
      <c r="X24" s="3096"/>
      <c r="Y24" s="3096"/>
      <c r="Z24" s="3096"/>
      <c r="AA24" s="3096"/>
      <c r="AB24" s="3096"/>
      <c r="AC24" s="3096"/>
      <c r="AD24" s="3096"/>
      <c r="AE24" s="3096"/>
      <c r="AF24" s="3096"/>
      <c r="AG24" s="3096"/>
      <c r="AH24" s="3096"/>
      <c r="AI24" s="3096"/>
      <c r="AJ24" s="3096"/>
      <c r="AK24" s="3096"/>
      <c r="AL24" s="3096"/>
      <c r="AM24" s="3096"/>
      <c r="AN24" s="3096"/>
      <c r="AO24" s="3096"/>
      <c r="AP24" s="3096"/>
      <c r="AQ24" s="3096"/>
      <c r="AR24" s="3096"/>
      <c r="AS24" s="3096"/>
      <c r="AT24" s="3096"/>
      <c r="AU24" s="3096"/>
      <c r="AV24" s="3096"/>
      <c r="AW24" s="3096"/>
      <c r="AX24" s="3096"/>
      <c r="AY24" s="3096"/>
      <c r="AZ24" s="3096"/>
      <c r="BA24" s="3096"/>
      <c r="BB24" s="3096"/>
      <c r="BC24" s="3096"/>
      <c r="BD24" s="3096"/>
      <c r="BE24" s="3096"/>
      <c r="BF24" s="3096"/>
      <c r="BG24" s="3096"/>
      <c r="BH24" s="3096"/>
      <c r="BI24" s="3096"/>
      <c r="BJ24" s="3096"/>
      <c r="BK24" s="3096"/>
      <c r="BL24" s="3096"/>
      <c r="BM24" s="3096"/>
      <c r="BN24" s="3096"/>
      <c r="BO24" s="3096"/>
      <c r="BP24" s="3096"/>
      <c r="BQ24" s="3096"/>
      <c r="BR24" s="3096"/>
      <c r="BS24" s="3096"/>
      <c r="BT24" s="3096"/>
      <c r="BU24" s="3096"/>
      <c r="BV24" s="3096"/>
      <c r="BW24" s="3096"/>
      <c r="BX24" s="3096"/>
      <c r="BY24" s="3096"/>
      <c r="BZ24" s="3096"/>
      <c r="CA24" s="3096"/>
      <c r="CB24" s="3096"/>
      <c r="CC24" s="3096"/>
      <c r="CD24" s="3096"/>
      <c r="CE24" s="3096"/>
      <c r="CF24" s="3096"/>
      <c r="CG24" s="3096"/>
      <c r="CH24" s="3096"/>
      <c r="CI24" s="3096"/>
      <c r="CJ24" s="3096"/>
      <c r="CK24" s="3096"/>
      <c r="CL24" s="3096"/>
      <c r="CM24" s="3096"/>
      <c r="CN24" s="3096"/>
      <c r="CO24" s="3096"/>
      <c r="CP24" s="3096"/>
      <c r="CQ24" s="3096"/>
      <c r="CR24" s="3096"/>
      <c r="CS24" s="3096"/>
      <c r="CT24" s="3096"/>
      <c r="CU24" s="3096"/>
      <c r="CV24" s="3096"/>
      <c r="CW24" s="3096"/>
      <c r="CX24" s="3096"/>
      <c r="CY24" s="3096"/>
      <c r="CZ24" s="3096"/>
      <c r="DA24" s="3096"/>
      <c r="DB24" s="3096"/>
      <c r="DC24" s="3096"/>
      <c r="DD24" s="3096"/>
      <c r="DE24" s="3096"/>
      <c r="DF24" s="3096"/>
      <c r="DG24" s="3096"/>
      <c r="DH24" s="3096"/>
      <c r="DI24" s="3096"/>
      <c r="DJ24" s="3096"/>
      <c r="DK24" s="3096"/>
      <c r="DL24" s="3096"/>
      <c r="DM24" s="3096"/>
      <c r="DN24" s="3096"/>
      <c r="DO24" s="3096"/>
      <c r="DP24" s="3096"/>
      <c r="DQ24" s="3096"/>
      <c r="DR24" s="3096"/>
      <c r="DS24" s="3096"/>
      <c r="DT24" s="3096"/>
      <c r="DU24" s="3096"/>
      <c r="DV24" s="3096"/>
      <c r="DW24" s="3096"/>
      <c r="DX24" s="3096"/>
      <c r="DY24" s="3096"/>
      <c r="DZ24" s="3096"/>
      <c r="EA24" s="3096"/>
      <c r="EB24" s="3096"/>
      <c r="EC24" s="3096"/>
      <c r="ED24" s="3096"/>
      <c r="EE24" s="3096"/>
      <c r="EF24" s="3096"/>
      <c r="EG24" s="3096"/>
      <c r="EH24" s="3096"/>
      <c r="EI24" s="3096"/>
      <c r="EJ24" s="3096"/>
      <c r="EK24" s="3096"/>
      <c r="EL24" s="3096"/>
      <c r="EM24" s="3096"/>
      <c r="EN24" s="3096"/>
      <c r="EO24" s="3096"/>
      <c r="EP24" s="3096"/>
      <c r="EQ24" s="3096"/>
      <c r="ER24" s="3096"/>
      <c r="ES24" s="3096"/>
      <c r="ET24" s="3096"/>
      <c r="EU24" s="3096"/>
      <c r="EV24" s="3096"/>
      <c r="EW24" s="3096"/>
      <c r="EX24" s="3096"/>
      <c r="EY24" s="3096"/>
      <c r="EZ24" s="3096"/>
      <c r="FA24" s="3096"/>
      <c r="FB24" s="3096"/>
      <c r="FC24" s="3096"/>
      <c r="FD24" s="3096"/>
      <c r="FE24" s="3096"/>
      <c r="FF24" s="3096"/>
      <c r="FG24" s="3096"/>
      <c r="FH24" s="3096"/>
      <c r="FI24" s="3096"/>
      <c r="FJ24" s="3096"/>
      <c r="FK24" s="3096"/>
      <c r="FL24" s="3096"/>
      <c r="FM24" s="3096"/>
      <c r="FN24" s="3096"/>
      <c r="FO24" s="3096"/>
      <c r="FP24" s="3096"/>
      <c r="FQ24" s="3096"/>
      <c r="FR24" s="3096"/>
      <c r="FS24" s="3096"/>
      <c r="FT24" s="3096"/>
      <c r="FU24" s="3096"/>
      <c r="FV24" s="3096"/>
      <c r="FW24" s="3096"/>
      <c r="FX24" s="3096"/>
      <c r="FY24" s="3096"/>
      <c r="FZ24" s="3096"/>
      <c r="GA24" s="3096"/>
      <c r="GB24" s="3096"/>
      <c r="GC24" s="3096"/>
      <c r="GD24" s="3096"/>
      <c r="GE24" s="3096"/>
      <c r="GF24" s="3096"/>
      <c r="GG24" s="3096"/>
      <c r="GH24" s="3096"/>
      <c r="GI24" s="3096"/>
      <c r="GJ24" s="3096"/>
      <c r="GK24" s="3096"/>
      <c r="GL24" s="3096"/>
      <c r="GM24" s="3096"/>
      <c r="GN24" s="3096"/>
      <c r="GO24" s="3096"/>
      <c r="GP24" s="3096"/>
      <c r="GQ24" s="3096"/>
      <c r="GR24" s="3096"/>
      <c r="GS24" s="3096"/>
      <c r="GT24" s="3096"/>
      <c r="GU24" s="3096"/>
      <c r="GV24" s="3096"/>
      <c r="GW24" s="3096"/>
      <c r="GX24" s="3096"/>
      <c r="GY24" s="3096"/>
      <c r="GZ24" s="3096"/>
      <c r="HA24" s="3096"/>
      <c r="HB24" s="3096"/>
      <c r="HC24" s="3096"/>
      <c r="HD24" s="3096"/>
      <c r="HE24" s="3096"/>
      <c r="HF24" s="3096"/>
      <c r="HG24" s="3096"/>
      <c r="HH24" s="3096"/>
      <c r="HI24" s="3096"/>
      <c r="HJ24" s="3096"/>
      <c r="HK24" s="3096"/>
      <c r="HL24" s="3096"/>
      <c r="HM24" s="3096"/>
      <c r="HN24" s="3096"/>
      <c r="HO24" s="3096"/>
      <c r="HP24" s="3096"/>
      <c r="HQ24" s="3096"/>
      <c r="HR24" s="3096"/>
      <c r="HS24" s="3096"/>
      <c r="HT24" s="3096"/>
      <c r="HU24" s="3096"/>
      <c r="HV24" s="3096"/>
      <c r="HW24" s="3096"/>
      <c r="HX24" s="3096"/>
      <c r="HY24" s="3096"/>
      <c r="HZ24" s="3096"/>
      <c r="IA24" s="3096"/>
      <c r="IB24" s="3096"/>
      <c r="IC24" s="3096"/>
      <c r="ID24" s="3096"/>
      <c r="IE24" s="3096"/>
      <c r="IF24" s="3096"/>
      <c r="IG24" s="3096"/>
      <c r="IH24" s="3096"/>
      <c r="II24" s="3096"/>
      <c r="IJ24" s="3096"/>
      <c r="IK24" s="3096"/>
      <c r="IL24" s="3096"/>
      <c r="IM24" s="3096"/>
      <c r="IN24" s="3096"/>
      <c r="IO24" s="3096"/>
      <c r="IP24" s="3096"/>
      <c r="IQ24" s="3096"/>
      <c r="IR24" s="3096"/>
      <c r="IS24" s="3096"/>
      <c r="IT24" s="3096"/>
      <c r="IU24" s="3096"/>
      <c r="IV24" s="3096"/>
    </row>
    <row r="25" spans="1:256" ht="16.5" thickBot="1">
      <c r="A25" s="3500"/>
      <c r="B25" s="3160"/>
      <c r="C25" s="3160"/>
      <c r="D25" s="3160"/>
      <c r="E25" s="3160"/>
      <c r="F25" s="3160"/>
      <c r="G25" s="3512"/>
      <c r="H25" s="3512"/>
      <c r="I25" s="3512"/>
      <c r="J25" s="3513"/>
      <c r="K25" s="3096"/>
      <c r="L25" s="3096"/>
      <c r="M25" s="3096"/>
      <c r="N25" s="3096"/>
      <c r="O25" s="3096"/>
      <c r="P25" s="3096"/>
      <c r="Q25" s="3096"/>
      <c r="R25" s="3096"/>
      <c r="S25" s="3096"/>
      <c r="T25" s="3096"/>
      <c r="U25" s="3096"/>
      <c r="V25" s="3096"/>
      <c r="W25" s="3096"/>
      <c r="X25" s="3096"/>
      <c r="Y25" s="3096"/>
      <c r="Z25" s="3096"/>
      <c r="AA25" s="3096"/>
      <c r="AB25" s="3096"/>
      <c r="AC25" s="3096"/>
      <c r="AD25" s="3096"/>
      <c r="AE25" s="3096"/>
      <c r="AF25" s="3096"/>
      <c r="AG25" s="3096"/>
      <c r="AH25" s="3096"/>
      <c r="AI25" s="3096"/>
      <c r="AJ25" s="3096"/>
      <c r="AK25" s="3096"/>
      <c r="AL25" s="3096"/>
      <c r="AM25" s="3096"/>
      <c r="AN25" s="3096"/>
      <c r="AO25" s="3096"/>
      <c r="AP25" s="3096"/>
      <c r="AQ25" s="3096"/>
      <c r="AR25" s="3096"/>
      <c r="AS25" s="3096"/>
      <c r="AT25" s="3096"/>
      <c r="AU25" s="3096"/>
      <c r="AV25" s="3096"/>
      <c r="AW25" s="3096"/>
      <c r="AX25" s="3096"/>
      <c r="AY25" s="3096"/>
      <c r="AZ25" s="3096"/>
      <c r="BA25" s="3096"/>
      <c r="BB25" s="3096"/>
      <c r="BC25" s="3096"/>
      <c r="BD25" s="3096"/>
      <c r="BE25" s="3096"/>
      <c r="BF25" s="3096"/>
      <c r="BG25" s="3096"/>
      <c r="BH25" s="3096"/>
      <c r="BI25" s="3096"/>
      <c r="BJ25" s="3096"/>
      <c r="BK25" s="3096"/>
      <c r="BL25" s="3096"/>
      <c r="BM25" s="3096"/>
      <c r="BN25" s="3096"/>
      <c r="BO25" s="3096"/>
      <c r="BP25" s="3096"/>
      <c r="BQ25" s="3096"/>
      <c r="BR25" s="3096"/>
      <c r="BS25" s="3096"/>
      <c r="BT25" s="3096"/>
      <c r="BU25" s="3096"/>
      <c r="BV25" s="3096"/>
      <c r="BW25" s="3096"/>
      <c r="BX25" s="3096"/>
      <c r="BY25" s="3096"/>
      <c r="BZ25" s="3096"/>
      <c r="CA25" s="3096"/>
      <c r="CB25" s="3096"/>
      <c r="CC25" s="3096"/>
      <c r="CD25" s="3096"/>
      <c r="CE25" s="3096"/>
      <c r="CF25" s="3096"/>
      <c r="CG25" s="3096"/>
      <c r="CH25" s="3096"/>
      <c r="CI25" s="3096"/>
      <c r="CJ25" s="3096"/>
      <c r="CK25" s="3096"/>
      <c r="CL25" s="3096"/>
      <c r="CM25" s="3096"/>
      <c r="CN25" s="3096"/>
      <c r="CO25" s="3096"/>
      <c r="CP25" s="3096"/>
      <c r="CQ25" s="3096"/>
      <c r="CR25" s="3096"/>
      <c r="CS25" s="3096"/>
      <c r="CT25" s="3096"/>
      <c r="CU25" s="3096"/>
      <c r="CV25" s="3096"/>
      <c r="CW25" s="3096"/>
      <c r="CX25" s="3096"/>
      <c r="CY25" s="3096"/>
      <c r="CZ25" s="3096"/>
      <c r="DA25" s="3096"/>
      <c r="DB25" s="3096"/>
      <c r="DC25" s="3096"/>
      <c r="DD25" s="3096"/>
      <c r="DE25" s="3096"/>
      <c r="DF25" s="3096"/>
      <c r="DG25" s="3096"/>
      <c r="DH25" s="3096"/>
      <c r="DI25" s="3096"/>
      <c r="DJ25" s="3096"/>
      <c r="DK25" s="3096"/>
      <c r="DL25" s="3096"/>
      <c r="DM25" s="3096"/>
      <c r="DN25" s="3096"/>
      <c r="DO25" s="3096"/>
      <c r="DP25" s="3096"/>
      <c r="DQ25" s="3096"/>
      <c r="DR25" s="3096"/>
      <c r="DS25" s="3096"/>
      <c r="DT25" s="3096"/>
      <c r="DU25" s="3096"/>
      <c r="DV25" s="3096"/>
      <c r="DW25" s="3096"/>
      <c r="DX25" s="3096"/>
      <c r="DY25" s="3096"/>
      <c r="DZ25" s="3096"/>
      <c r="EA25" s="3096"/>
      <c r="EB25" s="3096"/>
      <c r="EC25" s="3096"/>
      <c r="ED25" s="3096"/>
      <c r="EE25" s="3096"/>
      <c r="EF25" s="3096"/>
      <c r="EG25" s="3096"/>
      <c r="EH25" s="3096"/>
      <c r="EI25" s="3096"/>
      <c r="EJ25" s="3096"/>
      <c r="EK25" s="3096"/>
      <c r="EL25" s="3096"/>
      <c r="EM25" s="3096"/>
      <c r="EN25" s="3096"/>
      <c r="EO25" s="3096"/>
      <c r="EP25" s="3096"/>
      <c r="EQ25" s="3096"/>
      <c r="ER25" s="3096"/>
      <c r="ES25" s="3096"/>
      <c r="ET25" s="3096"/>
      <c r="EU25" s="3096"/>
      <c r="EV25" s="3096"/>
      <c r="EW25" s="3096"/>
      <c r="EX25" s="3096"/>
      <c r="EY25" s="3096"/>
      <c r="EZ25" s="3096"/>
      <c r="FA25" s="3096"/>
      <c r="FB25" s="3096"/>
      <c r="FC25" s="3096"/>
      <c r="FD25" s="3096"/>
      <c r="FE25" s="3096"/>
      <c r="FF25" s="3096"/>
      <c r="FG25" s="3096"/>
      <c r="FH25" s="3096"/>
      <c r="FI25" s="3096"/>
      <c r="FJ25" s="3096"/>
      <c r="FK25" s="3096"/>
      <c r="FL25" s="3096"/>
      <c r="FM25" s="3096"/>
      <c r="FN25" s="3096"/>
      <c r="FO25" s="3096"/>
      <c r="FP25" s="3096"/>
      <c r="FQ25" s="3096"/>
      <c r="FR25" s="3096"/>
      <c r="FS25" s="3096"/>
      <c r="FT25" s="3096"/>
      <c r="FU25" s="3096"/>
      <c r="FV25" s="3096"/>
      <c r="FW25" s="3096"/>
      <c r="FX25" s="3096"/>
      <c r="FY25" s="3096"/>
      <c r="FZ25" s="3096"/>
      <c r="GA25" s="3096"/>
      <c r="GB25" s="3096"/>
      <c r="GC25" s="3096"/>
      <c r="GD25" s="3096"/>
      <c r="GE25" s="3096"/>
      <c r="GF25" s="3096"/>
      <c r="GG25" s="3096"/>
      <c r="GH25" s="3096"/>
      <c r="GI25" s="3096"/>
      <c r="GJ25" s="3096"/>
      <c r="GK25" s="3096"/>
      <c r="GL25" s="3096"/>
      <c r="GM25" s="3096"/>
      <c r="GN25" s="3096"/>
      <c r="GO25" s="3096"/>
      <c r="GP25" s="3096"/>
      <c r="GQ25" s="3096"/>
      <c r="GR25" s="3096"/>
      <c r="GS25" s="3096"/>
      <c r="GT25" s="3096"/>
      <c r="GU25" s="3096"/>
      <c r="GV25" s="3096"/>
      <c r="GW25" s="3096"/>
      <c r="GX25" s="3096"/>
      <c r="GY25" s="3096"/>
      <c r="GZ25" s="3096"/>
      <c r="HA25" s="3096"/>
      <c r="HB25" s="3096"/>
      <c r="HC25" s="3096"/>
      <c r="HD25" s="3096"/>
      <c r="HE25" s="3096"/>
      <c r="HF25" s="3096"/>
      <c r="HG25" s="3096"/>
      <c r="HH25" s="3096"/>
      <c r="HI25" s="3096"/>
      <c r="HJ25" s="3096"/>
      <c r="HK25" s="3096"/>
      <c r="HL25" s="3096"/>
      <c r="HM25" s="3096"/>
      <c r="HN25" s="3096"/>
      <c r="HO25" s="3096"/>
      <c r="HP25" s="3096"/>
      <c r="HQ25" s="3096"/>
      <c r="HR25" s="3096"/>
      <c r="HS25" s="3096"/>
      <c r="HT25" s="3096"/>
      <c r="HU25" s="3096"/>
      <c r="HV25" s="3096"/>
      <c r="HW25" s="3096"/>
      <c r="HX25" s="3096"/>
      <c r="HY25" s="3096"/>
      <c r="HZ25" s="3096"/>
      <c r="IA25" s="3096"/>
      <c r="IB25" s="3096"/>
      <c r="IC25" s="3096"/>
      <c r="ID25" s="3096"/>
      <c r="IE25" s="3096"/>
      <c r="IF25" s="3096"/>
      <c r="IG25" s="3096"/>
      <c r="IH25" s="3096"/>
      <c r="II25" s="3096"/>
      <c r="IJ25" s="3096"/>
      <c r="IK25" s="3096"/>
      <c r="IL25" s="3096"/>
      <c r="IM25" s="3096"/>
      <c r="IN25" s="3096"/>
      <c r="IO25" s="3096"/>
      <c r="IP25" s="3096"/>
      <c r="IQ25" s="3096"/>
      <c r="IR25" s="3096"/>
      <c r="IS25" s="3096"/>
      <c r="IT25" s="3096"/>
      <c r="IU25" s="3096"/>
      <c r="IV25" s="3096"/>
    </row>
    <row r="26" spans="1:256" ht="31.5">
      <c r="A26" s="3498" t="s">
        <v>3294</v>
      </c>
      <c r="B26" s="3152" t="s">
        <v>3285</v>
      </c>
      <c r="C26" s="3152" t="s">
        <v>3258</v>
      </c>
      <c r="D26" s="3163" t="s">
        <v>3295</v>
      </c>
      <c r="E26" s="3152" t="s">
        <v>3260</v>
      </c>
      <c r="F26" s="3514" t="s">
        <v>3296</v>
      </c>
      <c r="G26" s="3514"/>
      <c r="H26" s="3514" t="s">
        <v>3297</v>
      </c>
      <c r="I26" s="3514"/>
      <c r="J26" s="3168" t="s">
        <v>3265</v>
      </c>
      <c r="K26" s="3096"/>
      <c r="L26" s="3096"/>
      <c r="M26" s="3096"/>
      <c r="N26" s="3096"/>
      <c r="O26" s="3096"/>
      <c r="P26" s="3096"/>
      <c r="Q26" s="3096"/>
      <c r="R26" s="3096"/>
      <c r="S26" s="3096"/>
      <c r="T26" s="3096"/>
      <c r="U26" s="3096"/>
      <c r="V26" s="3096"/>
      <c r="W26" s="3096"/>
      <c r="X26" s="3096"/>
      <c r="Y26" s="3096"/>
      <c r="Z26" s="3096"/>
      <c r="AA26" s="3096"/>
      <c r="AB26" s="3096"/>
      <c r="AC26" s="3096"/>
      <c r="AD26" s="3096"/>
      <c r="AE26" s="3096"/>
      <c r="AF26" s="3096"/>
      <c r="AG26" s="3096"/>
      <c r="AH26" s="3096"/>
      <c r="AI26" s="3096"/>
      <c r="AJ26" s="3096"/>
      <c r="AK26" s="3096"/>
      <c r="AL26" s="3096"/>
      <c r="AM26" s="3096"/>
      <c r="AN26" s="3096"/>
      <c r="AO26" s="3096"/>
      <c r="AP26" s="3096"/>
      <c r="AQ26" s="3096"/>
      <c r="AR26" s="3096"/>
      <c r="AS26" s="3096"/>
      <c r="AT26" s="3096"/>
      <c r="AU26" s="3096"/>
      <c r="AV26" s="3096"/>
      <c r="AW26" s="3096"/>
      <c r="AX26" s="3096"/>
      <c r="AY26" s="3096"/>
      <c r="AZ26" s="3096"/>
      <c r="BA26" s="3096"/>
      <c r="BB26" s="3096"/>
      <c r="BC26" s="3096"/>
      <c r="BD26" s="3096"/>
      <c r="BE26" s="3096"/>
      <c r="BF26" s="3096"/>
      <c r="BG26" s="3096"/>
      <c r="BH26" s="3096"/>
      <c r="BI26" s="3096"/>
      <c r="BJ26" s="3096"/>
      <c r="BK26" s="3096"/>
      <c r="BL26" s="3096"/>
      <c r="BM26" s="3096"/>
      <c r="BN26" s="3096"/>
      <c r="BO26" s="3096"/>
      <c r="BP26" s="3096"/>
      <c r="BQ26" s="3096"/>
      <c r="BR26" s="3096"/>
      <c r="BS26" s="3096"/>
      <c r="BT26" s="3096"/>
      <c r="BU26" s="3096"/>
      <c r="BV26" s="3096"/>
      <c r="BW26" s="3096"/>
      <c r="BX26" s="3096"/>
      <c r="BY26" s="3096"/>
      <c r="BZ26" s="3096"/>
      <c r="CA26" s="3096"/>
      <c r="CB26" s="3096"/>
      <c r="CC26" s="3096"/>
      <c r="CD26" s="3096"/>
      <c r="CE26" s="3096"/>
      <c r="CF26" s="3096"/>
      <c r="CG26" s="3096"/>
      <c r="CH26" s="3096"/>
      <c r="CI26" s="3096"/>
      <c r="CJ26" s="3096"/>
      <c r="CK26" s="3096"/>
      <c r="CL26" s="3096"/>
      <c r="CM26" s="3096"/>
      <c r="CN26" s="3096"/>
      <c r="CO26" s="3096"/>
      <c r="CP26" s="3096"/>
      <c r="CQ26" s="3096"/>
      <c r="CR26" s="3096"/>
      <c r="CS26" s="3096"/>
      <c r="CT26" s="3096"/>
      <c r="CU26" s="3096"/>
      <c r="CV26" s="3096"/>
      <c r="CW26" s="3096"/>
      <c r="CX26" s="3096"/>
      <c r="CY26" s="3096"/>
      <c r="CZ26" s="3096"/>
      <c r="DA26" s="3096"/>
      <c r="DB26" s="3096"/>
      <c r="DC26" s="3096"/>
      <c r="DD26" s="3096"/>
      <c r="DE26" s="3096"/>
      <c r="DF26" s="3096"/>
      <c r="DG26" s="3096"/>
      <c r="DH26" s="3096"/>
      <c r="DI26" s="3096"/>
      <c r="DJ26" s="3096"/>
      <c r="DK26" s="3096"/>
      <c r="DL26" s="3096"/>
      <c r="DM26" s="3096"/>
      <c r="DN26" s="3096"/>
      <c r="DO26" s="3096"/>
      <c r="DP26" s="3096"/>
      <c r="DQ26" s="3096"/>
      <c r="DR26" s="3096"/>
      <c r="DS26" s="3096"/>
      <c r="DT26" s="3096"/>
      <c r="DU26" s="3096"/>
      <c r="DV26" s="3096"/>
      <c r="DW26" s="3096"/>
      <c r="DX26" s="3096"/>
      <c r="DY26" s="3096"/>
      <c r="DZ26" s="3096"/>
      <c r="EA26" s="3096"/>
      <c r="EB26" s="3096"/>
      <c r="EC26" s="3096"/>
      <c r="ED26" s="3096"/>
      <c r="EE26" s="3096"/>
      <c r="EF26" s="3096"/>
      <c r="EG26" s="3096"/>
      <c r="EH26" s="3096"/>
      <c r="EI26" s="3096"/>
      <c r="EJ26" s="3096"/>
      <c r="EK26" s="3096"/>
      <c r="EL26" s="3096"/>
      <c r="EM26" s="3096"/>
      <c r="EN26" s="3096"/>
      <c r="EO26" s="3096"/>
      <c r="EP26" s="3096"/>
      <c r="EQ26" s="3096"/>
      <c r="ER26" s="3096"/>
      <c r="ES26" s="3096"/>
      <c r="ET26" s="3096"/>
      <c r="EU26" s="3096"/>
      <c r="EV26" s="3096"/>
      <c r="EW26" s="3096"/>
      <c r="EX26" s="3096"/>
      <c r="EY26" s="3096"/>
      <c r="EZ26" s="3096"/>
      <c r="FA26" s="3096"/>
      <c r="FB26" s="3096"/>
      <c r="FC26" s="3096"/>
      <c r="FD26" s="3096"/>
      <c r="FE26" s="3096"/>
      <c r="FF26" s="3096"/>
      <c r="FG26" s="3096"/>
      <c r="FH26" s="3096"/>
      <c r="FI26" s="3096"/>
      <c r="FJ26" s="3096"/>
      <c r="FK26" s="3096"/>
      <c r="FL26" s="3096"/>
      <c r="FM26" s="3096"/>
      <c r="FN26" s="3096"/>
      <c r="FO26" s="3096"/>
      <c r="FP26" s="3096"/>
      <c r="FQ26" s="3096"/>
      <c r="FR26" s="3096"/>
      <c r="FS26" s="3096"/>
      <c r="FT26" s="3096"/>
      <c r="FU26" s="3096"/>
      <c r="FV26" s="3096"/>
      <c r="FW26" s="3096"/>
      <c r="FX26" s="3096"/>
      <c r="FY26" s="3096"/>
      <c r="FZ26" s="3096"/>
      <c r="GA26" s="3096"/>
      <c r="GB26" s="3096"/>
      <c r="GC26" s="3096"/>
      <c r="GD26" s="3096"/>
      <c r="GE26" s="3096"/>
      <c r="GF26" s="3096"/>
      <c r="GG26" s="3096"/>
      <c r="GH26" s="3096"/>
      <c r="GI26" s="3096"/>
      <c r="GJ26" s="3096"/>
      <c r="GK26" s="3096"/>
      <c r="GL26" s="3096"/>
      <c r="GM26" s="3096"/>
      <c r="GN26" s="3096"/>
      <c r="GO26" s="3096"/>
      <c r="GP26" s="3096"/>
      <c r="GQ26" s="3096"/>
      <c r="GR26" s="3096"/>
      <c r="GS26" s="3096"/>
      <c r="GT26" s="3096"/>
      <c r="GU26" s="3096"/>
      <c r="GV26" s="3096"/>
      <c r="GW26" s="3096"/>
      <c r="GX26" s="3096"/>
      <c r="GY26" s="3096"/>
      <c r="GZ26" s="3096"/>
      <c r="HA26" s="3096"/>
      <c r="HB26" s="3096"/>
      <c r="HC26" s="3096"/>
      <c r="HD26" s="3096"/>
      <c r="HE26" s="3096"/>
      <c r="HF26" s="3096"/>
      <c r="HG26" s="3096"/>
      <c r="HH26" s="3096"/>
      <c r="HI26" s="3096"/>
      <c r="HJ26" s="3096"/>
      <c r="HK26" s="3096"/>
      <c r="HL26" s="3096"/>
      <c r="HM26" s="3096"/>
      <c r="HN26" s="3096"/>
      <c r="HO26" s="3096"/>
      <c r="HP26" s="3096"/>
      <c r="HQ26" s="3096"/>
      <c r="HR26" s="3096"/>
      <c r="HS26" s="3096"/>
      <c r="HT26" s="3096"/>
      <c r="HU26" s="3096"/>
      <c r="HV26" s="3096"/>
      <c r="HW26" s="3096"/>
      <c r="HX26" s="3096"/>
      <c r="HY26" s="3096"/>
      <c r="HZ26" s="3096"/>
      <c r="IA26" s="3096"/>
      <c r="IB26" s="3096"/>
      <c r="IC26" s="3096"/>
      <c r="ID26" s="3096"/>
      <c r="IE26" s="3096"/>
      <c r="IF26" s="3096"/>
      <c r="IG26" s="3096"/>
      <c r="IH26" s="3096"/>
      <c r="II26" s="3096"/>
      <c r="IJ26" s="3096"/>
      <c r="IK26" s="3096"/>
      <c r="IL26" s="3096"/>
      <c r="IM26" s="3096"/>
      <c r="IN26" s="3096"/>
      <c r="IO26" s="3096"/>
      <c r="IP26" s="3096"/>
      <c r="IQ26" s="3096"/>
      <c r="IR26" s="3096"/>
      <c r="IS26" s="3096"/>
      <c r="IT26" s="3096"/>
      <c r="IU26" s="3096"/>
      <c r="IV26" s="3096"/>
    </row>
    <row r="27" spans="1:256">
      <c r="A27" s="3499"/>
      <c r="B27" s="3157" t="s">
        <v>3239</v>
      </c>
      <c r="C27" s="3157"/>
      <c r="D27" s="3165"/>
      <c r="E27" s="3165"/>
      <c r="F27" s="3509"/>
      <c r="G27" s="3509"/>
      <c r="H27" s="3509"/>
      <c r="I27" s="3509"/>
      <c r="J27" s="3169"/>
      <c r="K27" s="3096"/>
      <c r="L27" s="3096"/>
      <c r="M27" s="3096"/>
      <c r="N27" s="3096"/>
      <c r="O27" s="3096"/>
      <c r="P27" s="3096"/>
      <c r="Q27" s="3096"/>
      <c r="R27" s="3096"/>
      <c r="S27" s="3096"/>
      <c r="T27" s="3096"/>
      <c r="U27" s="3096"/>
      <c r="V27" s="3096"/>
      <c r="W27" s="3096"/>
      <c r="X27" s="3096"/>
      <c r="Y27" s="3096"/>
      <c r="Z27" s="3096"/>
      <c r="AA27" s="3096"/>
      <c r="AB27" s="3096"/>
      <c r="AC27" s="3096"/>
      <c r="AD27" s="3096"/>
      <c r="AE27" s="3096"/>
      <c r="AF27" s="3096"/>
      <c r="AG27" s="3096"/>
      <c r="AH27" s="3096"/>
      <c r="AI27" s="3096"/>
      <c r="AJ27" s="3096"/>
      <c r="AK27" s="3096"/>
      <c r="AL27" s="3096"/>
      <c r="AM27" s="3096"/>
      <c r="AN27" s="3096"/>
      <c r="AO27" s="3096"/>
      <c r="AP27" s="3096"/>
      <c r="AQ27" s="3096"/>
      <c r="AR27" s="3096"/>
      <c r="AS27" s="3096"/>
      <c r="AT27" s="3096"/>
      <c r="AU27" s="3096"/>
      <c r="AV27" s="3096"/>
      <c r="AW27" s="3096"/>
      <c r="AX27" s="3096"/>
      <c r="AY27" s="3096"/>
      <c r="AZ27" s="3096"/>
      <c r="BA27" s="3096"/>
      <c r="BB27" s="3096"/>
      <c r="BC27" s="3096"/>
      <c r="BD27" s="3096"/>
      <c r="BE27" s="3096"/>
      <c r="BF27" s="3096"/>
      <c r="BG27" s="3096"/>
      <c r="BH27" s="3096"/>
      <c r="BI27" s="3096"/>
      <c r="BJ27" s="3096"/>
      <c r="BK27" s="3096"/>
      <c r="BL27" s="3096"/>
      <c r="BM27" s="3096"/>
      <c r="BN27" s="3096"/>
      <c r="BO27" s="3096"/>
      <c r="BP27" s="3096"/>
      <c r="BQ27" s="3096"/>
      <c r="BR27" s="3096"/>
      <c r="BS27" s="3096"/>
      <c r="BT27" s="3096"/>
      <c r="BU27" s="3096"/>
      <c r="BV27" s="3096"/>
      <c r="BW27" s="3096"/>
      <c r="BX27" s="3096"/>
      <c r="BY27" s="3096"/>
      <c r="BZ27" s="3096"/>
      <c r="CA27" s="3096"/>
      <c r="CB27" s="3096"/>
      <c r="CC27" s="3096"/>
      <c r="CD27" s="3096"/>
      <c r="CE27" s="3096"/>
      <c r="CF27" s="3096"/>
      <c r="CG27" s="3096"/>
      <c r="CH27" s="3096"/>
      <c r="CI27" s="3096"/>
      <c r="CJ27" s="3096"/>
      <c r="CK27" s="3096"/>
      <c r="CL27" s="3096"/>
      <c r="CM27" s="3096"/>
      <c r="CN27" s="3096"/>
      <c r="CO27" s="3096"/>
      <c r="CP27" s="3096"/>
      <c r="CQ27" s="3096"/>
      <c r="CR27" s="3096"/>
      <c r="CS27" s="3096"/>
      <c r="CT27" s="3096"/>
      <c r="CU27" s="3096"/>
      <c r="CV27" s="3096"/>
      <c r="CW27" s="3096"/>
      <c r="CX27" s="3096"/>
      <c r="CY27" s="3096"/>
      <c r="CZ27" s="3096"/>
      <c r="DA27" s="3096"/>
      <c r="DB27" s="3096"/>
      <c r="DC27" s="3096"/>
      <c r="DD27" s="3096"/>
      <c r="DE27" s="3096"/>
      <c r="DF27" s="3096"/>
      <c r="DG27" s="3096"/>
      <c r="DH27" s="3096"/>
      <c r="DI27" s="3096"/>
      <c r="DJ27" s="3096"/>
      <c r="DK27" s="3096"/>
      <c r="DL27" s="3096"/>
      <c r="DM27" s="3096"/>
      <c r="DN27" s="3096"/>
      <c r="DO27" s="3096"/>
      <c r="DP27" s="3096"/>
      <c r="DQ27" s="3096"/>
      <c r="DR27" s="3096"/>
      <c r="DS27" s="3096"/>
      <c r="DT27" s="3096"/>
      <c r="DU27" s="3096"/>
      <c r="DV27" s="3096"/>
      <c r="DW27" s="3096"/>
      <c r="DX27" s="3096"/>
      <c r="DY27" s="3096"/>
      <c r="DZ27" s="3096"/>
      <c r="EA27" s="3096"/>
      <c r="EB27" s="3096"/>
      <c r="EC27" s="3096"/>
      <c r="ED27" s="3096"/>
      <c r="EE27" s="3096"/>
      <c r="EF27" s="3096"/>
      <c r="EG27" s="3096"/>
      <c r="EH27" s="3096"/>
      <c r="EI27" s="3096"/>
      <c r="EJ27" s="3096"/>
      <c r="EK27" s="3096"/>
      <c r="EL27" s="3096"/>
      <c r="EM27" s="3096"/>
      <c r="EN27" s="3096"/>
      <c r="EO27" s="3096"/>
      <c r="EP27" s="3096"/>
      <c r="EQ27" s="3096"/>
      <c r="ER27" s="3096"/>
      <c r="ES27" s="3096"/>
      <c r="ET27" s="3096"/>
      <c r="EU27" s="3096"/>
      <c r="EV27" s="3096"/>
      <c r="EW27" s="3096"/>
      <c r="EX27" s="3096"/>
      <c r="EY27" s="3096"/>
      <c r="EZ27" s="3096"/>
      <c r="FA27" s="3096"/>
      <c r="FB27" s="3096"/>
      <c r="FC27" s="3096"/>
      <c r="FD27" s="3096"/>
      <c r="FE27" s="3096"/>
      <c r="FF27" s="3096"/>
      <c r="FG27" s="3096"/>
      <c r="FH27" s="3096"/>
      <c r="FI27" s="3096"/>
      <c r="FJ27" s="3096"/>
      <c r="FK27" s="3096"/>
      <c r="FL27" s="3096"/>
      <c r="FM27" s="3096"/>
      <c r="FN27" s="3096"/>
      <c r="FO27" s="3096"/>
      <c r="FP27" s="3096"/>
      <c r="FQ27" s="3096"/>
      <c r="FR27" s="3096"/>
      <c r="FS27" s="3096"/>
      <c r="FT27" s="3096"/>
      <c r="FU27" s="3096"/>
      <c r="FV27" s="3096"/>
      <c r="FW27" s="3096"/>
      <c r="FX27" s="3096"/>
      <c r="FY27" s="3096"/>
      <c r="FZ27" s="3096"/>
      <c r="GA27" s="3096"/>
      <c r="GB27" s="3096"/>
      <c r="GC27" s="3096"/>
      <c r="GD27" s="3096"/>
      <c r="GE27" s="3096"/>
      <c r="GF27" s="3096"/>
      <c r="GG27" s="3096"/>
      <c r="GH27" s="3096"/>
      <c r="GI27" s="3096"/>
      <c r="GJ27" s="3096"/>
      <c r="GK27" s="3096"/>
      <c r="GL27" s="3096"/>
      <c r="GM27" s="3096"/>
      <c r="GN27" s="3096"/>
      <c r="GO27" s="3096"/>
      <c r="GP27" s="3096"/>
      <c r="GQ27" s="3096"/>
      <c r="GR27" s="3096"/>
      <c r="GS27" s="3096"/>
      <c r="GT27" s="3096"/>
      <c r="GU27" s="3096"/>
      <c r="GV27" s="3096"/>
      <c r="GW27" s="3096"/>
      <c r="GX27" s="3096"/>
      <c r="GY27" s="3096"/>
      <c r="GZ27" s="3096"/>
      <c r="HA27" s="3096"/>
      <c r="HB27" s="3096"/>
      <c r="HC27" s="3096"/>
      <c r="HD27" s="3096"/>
      <c r="HE27" s="3096"/>
      <c r="HF27" s="3096"/>
      <c r="HG27" s="3096"/>
      <c r="HH27" s="3096"/>
      <c r="HI27" s="3096"/>
      <c r="HJ27" s="3096"/>
      <c r="HK27" s="3096"/>
      <c r="HL27" s="3096"/>
      <c r="HM27" s="3096"/>
      <c r="HN27" s="3096"/>
      <c r="HO27" s="3096"/>
      <c r="HP27" s="3096"/>
      <c r="HQ27" s="3096"/>
      <c r="HR27" s="3096"/>
      <c r="HS27" s="3096"/>
      <c r="HT27" s="3096"/>
      <c r="HU27" s="3096"/>
      <c r="HV27" s="3096"/>
      <c r="HW27" s="3096"/>
      <c r="HX27" s="3096"/>
      <c r="HY27" s="3096"/>
      <c r="HZ27" s="3096"/>
      <c r="IA27" s="3096"/>
      <c r="IB27" s="3096"/>
      <c r="IC27" s="3096"/>
      <c r="ID27" s="3096"/>
      <c r="IE27" s="3096"/>
      <c r="IF27" s="3096"/>
      <c r="IG27" s="3096"/>
      <c r="IH27" s="3096"/>
      <c r="II27" s="3096"/>
      <c r="IJ27" s="3096"/>
      <c r="IK27" s="3096"/>
      <c r="IL27" s="3096"/>
      <c r="IM27" s="3096"/>
      <c r="IN27" s="3096"/>
      <c r="IO27" s="3096"/>
      <c r="IP27" s="3096"/>
      <c r="IQ27" s="3096"/>
      <c r="IR27" s="3096"/>
      <c r="IS27" s="3096"/>
      <c r="IT27" s="3096"/>
      <c r="IU27" s="3096"/>
      <c r="IV27" s="3096"/>
    </row>
    <row r="28" spans="1:256">
      <c r="A28" s="3499"/>
      <c r="B28" s="3157"/>
      <c r="C28" s="3157"/>
      <c r="D28" s="3165"/>
      <c r="E28" s="3165"/>
      <c r="F28" s="3509"/>
      <c r="G28" s="3509"/>
      <c r="H28" s="3509"/>
      <c r="I28" s="3509"/>
      <c r="J28" s="3169"/>
      <c r="K28" s="3096"/>
      <c r="L28" s="3096"/>
      <c r="M28" s="3096"/>
      <c r="N28" s="3096"/>
      <c r="O28" s="3096"/>
      <c r="P28" s="3096"/>
      <c r="Q28" s="3096"/>
      <c r="R28" s="3096"/>
      <c r="S28" s="3096"/>
      <c r="T28" s="3096"/>
      <c r="U28" s="3096"/>
      <c r="V28" s="3096"/>
      <c r="W28" s="3096"/>
      <c r="X28" s="3096"/>
      <c r="Y28" s="3096"/>
      <c r="Z28" s="3096"/>
      <c r="AA28" s="3096"/>
      <c r="AB28" s="3096"/>
      <c r="AC28" s="3096"/>
      <c r="AD28" s="3096"/>
      <c r="AE28" s="3096"/>
      <c r="AF28" s="3096"/>
      <c r="AG28" s="3096"/>
      <c r="AH28" s="3096"/>
      <c r="AI28" s="3096"/>
      <c r="AJ28" s="3096"/>
      <c r="AK28" s="3096"/>
      <c r="AL28" s="3096"/>
      <c r="AM28" s="3096"/>
      <c r="AN28" s="3096"/>
      <c r="AO28" s="3096"/>
      <c r="AP28" s="3096"/>
      <c r="AQ28" s="3096"/>
      <c r="AR28" s="3096"/>
      <c r="AS28" s="3096"/>
      <c r="AT28" s="3096"/>
      <c r="AU28" s="3096"/>
      <c r="AV28" s="3096"/>
      <c r="AW28" s="3096"/>
      <c r="AX28" s="3096"/>
      <c r="AY28" s="3096"/>
      <c r="AZ28" s="3096"/>
      <c r="BA28" s="3096"/>
      <c r="BB28" s="3096"/>
      <c r="BC28" s="3096"/>
      <c r="BD28" s="3096"/>
      <c r="BE28" s="3096"/>
      <c r="BF28" s="3096"/>
      <c r="BG28" s="3096"/>
      <c r="BH28" s="3096"/>
      <c r="BI28" s="3096"/>
      <c r="BJ28" s="3096"/>
      <c r="BK28" s="3096"/>
      <c r="BL28" s="3096"/>
      <c r="BM28" s="3096"/>
      <c r="BN28" s="3096"/>
      <c r="BO28" s="3096"/>
      <c r="BP28" s="3096"/>
      <c r="BQ28" s="3096"/>
      <c r="BR28" s="3096"/>
      <c r="BS28" s="3096"/>
      <c r="BT28" s="3096"/>
      <c r="BU28" s="3096"/>
      <c r="BV28" s="3096"/>
      <c r="BW28" s="3096"/>
      <c r="BX28" s="3096"/>
      <c r="BY28" s="3096"/>
      <c r="BZ28" s="3096"/>
      <c r="CA28" s="3096"/>
      <c r="CB28" s="3096"/>
      <c r="CC28" s="3096"/>
      <c r="CD28" s="3096"/>
      <c r="CE28" s="3096"/>
      <c r="CF28" s="3096"/>
      <c r="CG28" s="3096"/>
      <c r="CH28" s="3096"/>
      <c r="CI28" s="3096"/>
      <c r="CJ28" s="3096"/>
      <c r="CK28" s="3096"/>
      <c r="CL28" s="3096"/>
      <c r="CM28" s="3096"/>
      <c r="CN28" s="3096"/>
      <c r="CO28" s="3096"/>
      <c r="CP28" s="3096"/>
      <c r="CQ28" s="3096"/>
      <c r="CR28" s="3096"/>
      <c r="CS28" s="3096"/>
      <c r="CT28" s="3096"/>
      <c r="CU28" s="3096"/>
      <c r="CV28" s="3096"/>
      <c r="CW28" s="3096"/>
      <c r="CX28" s="3096"/>
      <c r="CY28" s="3096"/>
      <c r="CZ28" s="3096"/>
      <c r="DA28" s="3096"/>
      <c r="DB28" s="3096"/>
      <c r="DC28" s="3096"/>
      <c r="DD28" s="3096"/>
      <c r="DE28" s="3096"/>
      <c r="DF28" s="3096"/>
      <c r="DG28" s="3096"/>
      <c r="DH28" s="3096"/>
      <c r="DI28" s="3096"/>
      <c r="DJ28" s="3096"/>
      <c r="DK28" s="3096"/>
      <c r="DL28" s="3096"/>
      <c r="DM28" s="3096"/>
      <c r="DN28" s="3096"/>
      <c r="DO28" s="3096"/>
      <c r="DP28" s="3096"/>
      <c r="DQ28" s="3096"/>
      <c r="DR28" s="3096"/>
      <c r="DS28" s="3096"/>
      <c r="DT28" s="3096"/>
      <c r="DU28" s="3096"/>
      <c r="DV28" s="3096"/>
      <c r="DW28" s="3096"/>
      <c r="DX28" s="3096"/>
      <c r="DY28" s="3096"/>
      <c r="DZ28" s="3096"/>
      <c r="EA28" s="3096"/>
      <c r="EB28" s="3096"/>
      <c r="EC28" s="3096"/>
      <c r="ED28" s="3096"/>
      <c r="EE28" s="3096"/>
      <c r="EF28" s="3096"/>
      <c r="EG28" s="3096"/>
      <c r="EH28" s="3096"/>
      <c r="EI28" s="3096"/>
      <c r="EJ28" s="3096"/>
      <c r="EK28" s="3096"/>
      <c r="EL28" s="3096"/>
      <c r="EM28" s="3096"/>
      <c r="EN28" s="3096"/>
      <c r="EO28" s="3096"/>
      <c r="EP28" s="3096"/>
      <c r="EQ28" s="3096"/>
      <c r="ER28" s="3096"/>
      <c r="ES28" s="3096"/>
      <c r="ET28" s="3096"/>
      <c r="EU28" s="3096"/>
      <c r="EV28" s="3096"/>
      <c r="EW28" s="3096"/>
      <c r="EX28" s="3096"/>
      <c r="EY28" s="3096"/>
      <c r="EZ28" s="3096"/>
      <c r="FA28" s="3096"/>
      <c r="FB28" s="3096"/>
      <c r="FC28" s="3096"/>
      <c r="FD28" s="3096"/>
      <c r="FE28" s="3096"/>
      <c r="FF28" s="3096"/>
      <c r="FG28" s="3096"/>
      <c r="FH28" s="3096"/>
      <c r="FI28" s="3096"/>
      <c r="FJ28" s="3096"/>
      <c r="FK28" s="3096"/>
      <c r="FL28" s="3096"/>
      <c r="FM28" s="3096"/>
      <c r="FN28" s="3096"/>
      <c r="FO28" s="3096"/>
      <c r="FP28" s="3096"/>
      <c r="FQ28" s="3096"/>
      <c r="FR28" s="3096"/>
      <c r="FS28" s="3096"/>
      <c r="FT28" s="3096"/>
      <c r="FU28" s="3096"/>
      <c r="FV28" s="3096"/>
      <c r="FW28" s="3096"/>
      <c r="FX28" s="3096"/>
      <c r="FY28" s="3096"/>
      <c r="FZ28" s="3096"/>
      <c r="GA28" s="3096"/>
      <c r="GB28" s="3096"/>
      <c r="GC28" s="3096"/>
      <c r="GD28" s="3096"/>
      <c r="GE28" s="3096"/>
      <c r="GF28" s="3096"/>
      <c r="GG28" s="3096"/>
      <c r="GH28" s="3096"/>
      <c r="GI28" s="3096"/>
      <c r="GJ28" s="3096"/>
      <c r="GK28" s="3096"/>
      <c r="GL28" s="3096"/>
      <c r="GM28" s="3096"/>
      <c r="GN28" s="3096"/>
      <c r="GO28" s="3096"/>
      <c r="GP28" s="3096"/>
      <c r="GQ28" s="3096"/>
      <c r="GR28" s="3096"/>
      <c r="GS28" s="3096"/>
      <c r="GT28" s="3096"/>
      <c r="GU28" s="3096"/>
      <c r="GV28" s="3096"/>
      <c r="GW28" s="3096"/>
      <c r="GX28" s="3096"/>
      <c r="GY28" s="3096"/>
      <c r="GZ28" s="3096"/>
      <c r="HA28" s="3096"/>
      <c r="HB28" s="3096"/>
      <c r="HC28" s="3096"/>
      <c r="HD28" s="3096"/>
      <c r="HE28" s="3096"/>
      <c r="HF28" s="3096"/>
      <c r="HG28" s="3096"/>
      <c r="HH28" s="3096"/>
      <c r="HI28" s="3096"/>
      <c r="HJ28" s="3096"/>
      <c r="HK28" s="3096"/>
      <c r="HL28" s="3096"/>
      <c r="HM28" s="3096"/>
      <c r="HN28" s="3096"/>
      <c r="HO28" s="3096"/>
      <c r="HP28" s="3096"/>
      <c r="HQ28" s="3096"/>
      <c r="HR28" s="3096"/>
      <c r="HS28" s="3096"/>
      <c r="HT28" s="3096"/>
      <c r="HU28" s="3096"/>
      <c r="HV28" s="3096"/>
      <c r="HW28" s="3096"/>
      <c r="HX28" s="3096"/>
      <c r="HY28" s="3096"/>
      <c r="HZ28" s="3096"/>
      <c r="IA28" s="3096"/>
      <c r="IB28" s="3096"/>
      <c r="IC28" s="3096"/>
      <c r="ID28" s="3096"/>
      <c r="IE28" s="3096"/>
      <c r="IF28" s="3096"/>
      <c r="IG28" s="3096"/>
      <c r="IH28" s="3096"/>
      <c r="II28" s="3096"/>
      <c r="IJ28" s="3096"/>
      <c r="IK28" s="3096"/>
      <c r="IL28" s="3096"/>
      <c r="IM28" s="3096"/>
      <c r="IN28" s="3096"/>
      <c r="IO28" s="3096"/>
      <c r="IP28" s="3096"/>
      <c r="IQ28" s="3096"/>
      <c r="IR28" s="3096"/>
      <c r="IS28" s="3096"/>
      <c r="IT28" s="3096"/>
      <c r="IU28" s="3096"/>
      <c r="IV28" s="3096"/>
    </row>
    <row r="29" spans="1:256" ht="16.5" thickBot="1">
      <c r="A29" s="3500"/>
      <c r="B29" s="3160"/>
      <c r="C29" s="3160"/>
      <c r="D29" s="3166"/>
      <c r="E29" s="3166"/>
      <c r="F29" s="3512"/>
      <c r="G29" s="3512"/>
      <c r="H29" s="3512"/>
      <c r="I29" s="3512"/>
      <c r="J29" s="3170"/>
      <c r="K29" s="3096"/>
      <c r="L29" s="3096"/>
      <c r="M29" s="3096"/>
      <c r="N29" s="3096"/>
      <c r="O29" s="3096"/>
      <c r="P29" s="3096"/>
      <c r="Q29" s="3096"/>
      <c r="R29" s="3096"/>
      <c r="S29" s="3096"/>
      <c r="T29" s="3096"/>
      <c r="U29" s="3096"/>
      <c r="V29" s="3096"/>
      <c r="W29" s="3096"/>
      <c r="X29" s="3096"/>
      <c r="Y29" s="3096"/>
      <c r="Z29" s="3096"/>
      <c r="AA29" s="3096"/>
      <c r="AB29" s="3096"/>
      <c r="AC29" s="3096"/>
      <c r="AD29" s="3096"/>
      <c r="AE29" s="3096"/>
      <c r="AF29" s="3096"/>
      <c r="AG29" s="3096"/>
      <c r="AH29" s="3096"/>
      <c r="AI29" s="3096"/>
      <c r="AJ29" s="3096"/>
      <c r="AK29" s="3096"/>
      <c r="AL29" s="3096"/>
      <c r="AM29" s="3096"/>
      <c r="AN29" s="3096"/>
      <c r="AO29" s="3096"/>
      <c r="AP29" s="3096"/>
      <c r="AQ29" s="3096"/>
      <c r="AR29" s="3096"/>
      <c r="AS29" s="3096"/>
      <c r="AT29" s="3096"/>
      <c r="AU29" s="3096"/>
      <c r="AV29" s="3096"/>
      <c r="AW29" s="3096"/>
      <c r="AX29" s="3096"/>
      <c r="AY29" s="3096"/>
      <c r="AZ29" s="3096"/>
      <c r="BA29" s="3096"/>
      <c r="BB29" s="3096"/>
      <c r="BC29" s="3096"/>
      <c r="BD29" s="3096"/>
      <c r="BE29" s="3096"/>
      <c r="BF29" s="3096"/>
      <c r="BG29" s="3096"/>
      <c r="BH29" s="3096"/>
      <c r="BI29" s="3096"/>
      <c r="BJ29" s="3096"/>
      <c r="BK29" s="3096"/>
      <c r="BL29" s="3096"/>
      <c r="BM29" s="3096"/>
      <c r="BN29" s="3096"/>
      <c r="BO29" s="3096"/>
      <c r="BP29" s="3096"/>
      <c r="BQ29" s="3096"/>
      <c r="BR29" s="3096"/>
      <c r="BS29" s="3096"/>
      <c r="BT29" s="3096"/>
      <c r="BU29" s="3096"/>
      <c r="BV29" s="3096"/>
      <c r="BW29" s="3096"/>
      <c r="BX29" s="3096"/>
      <c r="BY29" s="3096"/>
      <c r="BZ29" s="3096"/>
      <c r="CA29" s="3096"/>
      <c r="CB29" s="3096"/>
      <c r="CC29" s="3096"/>
      <c r="CD29" s="3096"/>
      <c r="CE29" s="3096"/>
      <c r="CF29" s="3096"/>
      <c r="CG29" s="3096"/>
      <c r="CH29" s="3096"/>
      <c r="CI29" s="3096"/>
      <c r="CJ29" s="3096"/>
      <c r="CK29" s="3096"/>
      <c r="CL29" s="3096"/>
      <c r="CM29" s="3096"/>
      <c r="CN29" s="3096"/>
      <c r="CO29" s="3096"/>
      <c r="CP29" s="3096"/>
      <c r="CQ29" s="3096"/>
      <c r="CR29" s="3096"/>
      <c r="CS29" s="3096"/>
      <c r="CT29" s="3096"/>
      <c r="CU29" s="3096"/>
      <c r="CV29" s="3096"/>
      <c r="CW29" s="3096"/>
      <c r="CX29" s="3096"/>
      <c r="CY29" s="3096"/>
      <c r="CZ29" s="3096"/>
      <c r="DA29" s="3096"/>
      <c r="DB29" s="3096"/>
      <c r="DC29" s="3096"/>
      <c r="DD29" s="3096"/>
      <c r="DE29" s="3096"/>
      <c r="DF29" s="3096"/>
      <c r="DG29" s="3096"/>
      <c r="DH29" s="3096"/>
      <c r="DI29" s="3096"/>
      <c r="DJ29" s="3096"/>
      <c r="DK29" s="3096"/>
      <c r="DL29" s="3096"/>
      <c r="DM29" s="3096"/>
      <c r="DN29" s="3096"/>
      <c r="DO29" s="3096"/>
      <c r="DP29" s="3096"/>
      <c r="DQ29" s="3096"/>
      <c r="DR29" s="3096"/>
      <c r="DS29" s="3096"/>
      <c r="DT29" s="3096"/>
      <c r="DU29" s="3096"/>
      <c r="DV29" s="3096"/>
      <c r="DW29" s="3096"/>
      <c r="DX29" s="3096"/>
      <c r="DY29" s="3096"/>
      <c r="DZ29" s="3096"/>
      <c r="EA29" s="3096"/>
      <c r="EB29" s="3096"/>
      <c r="EC29" s="3096"/>
      <c r="ED29" s="3096"/>
      <c r="EE29" s="3096"/>
      <c r="EF29" s="3096"/>
      <c r="EG29" s="3096"/>
      <c r="EH29" s="3096"/>
      <c r="EI29" s="3096"/>
      <c r="EJ29" s="3096"/>
      <c r="EK29" s="3096"/>
      <c r="EL29" s="3096"/>
      <c r="EM29" s="3096"/>
      <c r="EN29" s="3096"/>
      <c r="EO29" s="3096"/>
      <c r="EP29" s="3096"/>
      <c r="EQ29" s="3096"/>
      <c r="ER29" s="3096"/>
      <c r="ES29" s="3096"/>
      <c r="ET29" s="3096"/>
      <c r="EU29" s="3096"/>
      <c r="EV29" s="3096"/>
      <c r="EW29" s="3096"/>
      <c r="EX29" s="3096"/>
      <c r="EY29" s="3096"/>
      <c r="EZ29" s="3096"/>
      <c r="FA29" s="3096"/>
      <c r="FB29" s="3096"/>
      <c r="FC29" s="3096"/>
      <c r="FD29" s="3096"/>
      <c r="FE29" s="3096"/>
      <c r="FF29" s="3096"/>
      <c r="FG29" s="3096"/>
      <c r="FH29" s="3096"/>
      <c r="FI29" s="3096"/>
      <c r="FJ29" s="3096"/>
      <c r="FK29" s="3096"/>
      <c r="FL29" s="3096"/>
      <c r="FM29" s="3096"/>
      <c r="FN29" s="3096"/>
      <c r="FO29" s="3096"/>
      <c r="FP29" s="3096"/>
      <c r="FQ29" s="3096"/>
      <c r="FR29" s="3096"/>
      <c r="FS29" s="3096"/>
      <c r="FT29" s="3096"/>
      <c r="FU29" s="3096"/>
      <c r="FV29" s="3096"/>
      <c r="FW29" s="3096"/>
      <c r="FX29" s="3096"/>
      <c r="FY29" s="3096"/>
      <c r="FZ29" s="3096"/>
      <c r="GA29" s="3096"/>
      <c r="GB29" s="3096"/>
      <c r="GC29" s="3096"/>
      <c r="GD29" s="3096"/>
      <c r="GE29" s="3096"/>
      <c r="GF29" s="3096"/>
      <c r="GG29" s="3096"/>
      <c r="GH29" s="3096"/>
      <c r="GI29" s="3096"/>
      <c r="GJ29" s="3096"/>
      <c r="GK29" s="3096"/>
      <c r="GL29" s="3096"/>
      <c r="GM29" s="3096"/>
      <c r="GN29" s="3096"/>
      <c r="GO29" s="3096"/>
      <c r="GP29" s="3096"/>
      <c r="GQ29" s="3096"/>
      <c r="GR29" s="3096"/>
      <c r="GS29" s="3096"/>
      <c r="GT29" s="3096"/>
      <c r="GU29" s="3096"/>
      <c r="GV29" s="3096"/>
      <c r="GW29" s="3096"/>
      <c r="GX29" s="3096"/>
      <c r="GY29" s="3096"/>
      <c r="GZ29" s="3096"/>
      <c r="HA29" s="3096"/>
      <c r="HB29" s="3096"/>
      <c r="HC29" s="3096"/>
      <c r="HD29" s="3096"/>
      <c r="HE29" s="3096"/>
      <c r="HF29" s="3096"/>
      <c r="HG29" s="3096"/>
      <c r="HH29" s="3096"/>
      <c r="HI29" s="3096"/>
      <c r="HJ29" s="3096"/>
      <c r="HK29" s="3096"/>
      <c r="HL29" s="3096"/>
      <c r="HM29" s="3096"/>
      <c r="HN29" s="3096"/>
      <c r="HO29" s="3096"/>
      <c r="HP29" s="3096"/>
      <c r="HQ29" s="3096"/>
      <c r="HR29" s="3096"/>
      <c r="HS29" s="3096"/>
      <c r="HT29" s="3096"/>
      <c r="HU29" s="3096"/>
      <c r="HV29" s="3096"/>
      <c r="HW29" s="3096"/>
      <c r="HX29" s="3096"/>
      <c r="HY29" s="3096"/>
      <c r="HZ29" s="3096"/>
      <c r="IA29" s="3096"/>
      <c r="IB29" s="3096"/>
      <c r="IC29" s="3096"/>
      <c r="ID29" s="3096"/>
      <c r="IE29" s="3096"/>
      <c r="IF29" s="3096"/>
      <c r="IG29" s="3096"/>
      <c r="IH29" s="3096"/>
      <c r="II29" s="3096"/>
      <c r="IJ29" s="3096"/>
      <c r="IK29" s="3096"/>
      <c r="IL29" s="3096"/>
      <c r="IM29" s="3096"/>
      <c r="IN29" s="3096"/>
      <c r="IO29" s="3096"/>
      <c r="IP29" s="3096"/>
      <c r="IQ29" s="3096"/>
      <c r="IR29" s="3096"/>
      <c r="IS29" s="3096"/>
      <c r="IT29" s="3096"/>
      <c r="IU29" s="3096"/>
      <c r="IV29" s="3096"/>
    </row>
    <row r="30" spans="1:256">
      <c r="F30" s="3136" t="s">
        <v>3298</v>
      </c>
    </row>
  </sheetData>
  <mergeCells count="22">
    <mergeCell ref="A26:A29"/>
    <mergeCell ref="F26:G26"/>
    <mergeCell ref="H26:I26"/>
    <mergeCell ref="F27:G27"/>
    <mergeCell ref="H27:I27"/>
    <mergeCell ref="F28:G28"/>
    <mergeCell ref="H28:I28"/>
    <mergeCell ref="F29:G29"/>
    <mergeCell ref="H29:I29"/>
    <mergeCell ref="A22:A25"/>
    <mergeCell ref="G23:H23"/>
    <mergeCell ref="I23:J23"/>
    <mergeCell ref="G24:H24"/>
    <mergeCell ref="I24:J24"/>
    <mergeCell ref="G25:H25"/>
    <mergeCell ref="I25:J25"/>
    <mergeCell ref="A18:A21"/>
    <mergeCell ref="A1:J1"/>
    <mergeCell ref="A3:D3"/>
    <mergeCell ref="B4:D4"/>
    <mergeCell ref="B5:D5"/>
    <mergeCell ref="A12:A17"/>
  </mergeCells>
  <phoneticPr fontId="140" type="noConversion"/>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1"/>
      <c r="M2" s="2942"/>
      <c r="N2" s="2942"/>
      <c r="O2" s="2942"/>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8042.29</v>
      </c>
      <c r="E3" s="1038"/>
      <c r="F3" s="2074"/>
      <c r="G3" s="1038"/>
      <c r="H3" s="1038"/>
      <c r="I3" s="1038"/>
      <c r="J3" s="1038"/>
      <c r="K3" s="2070"/>
      <c r="L3" s="2941"/>
      <c r="M3" s="2942"/>
      <c r="N3" s="2942"/>
      <c r="O3" s="2942"/>
      <c r="P3" s="2071"/>
      <c r="Q3" s="2072"/>
      <c r="R3" s="2072"/>
      <c r="S3" s="2072"/>
      <c r="T3" s="2072"/>
      <c r="U3" s="2072"/>
      <c r="V3" s="2072"/>
      <c r="W3" s="2072"/>
      <c r="X3" s="2072"/>
      <c r="Y3" s="2072"/>
      <c r="Z3" s="2072"/>
      <c r="AA3" s="2072"/>
      <c r="AB3" s="2072"/>
      <c r="AC3" s="1192"/>
    </row>
    <row r="4" spans="1:29" ht="15">
      <c r="A4" s="361" t="s">
        <v>2356</v>
      </c>
      <c r="B4" s="362"/>
      <c r="C4" s="3396" t="s">
        <v>2357</v>
      </c>
      <c r="D4" s="3397"/>
      <c r="E4" s="3398" t="s">
        <v>2358</v>
      </c>
      <c r="F4" s="3399"/>
      <c r="G4" s="3396" t="s">
        <v>2359</v>
      </c>
      <c r="H4" s="3397"/>
      <c r="I4" s="3396" t="s">
        <v>2360</v>
      </c>
      <c r="J4" s="3397"/>
      <c r="K4" s="2075" t="s">
        <v>2361</v>
      </c>
      <c r="L4" s="2943"/>
      <c r="M4" s="2944"/>
      <c r="N4" s="2944"/>
      <c r="O4" s="2944"/>
      <c r="P4" s="3519" t="s">
        <v>2362</v>
      </c>
      <c r="Q4" s="3520"/>
      <c r="R4" s="3516" t="s">
        <v>2358</v>
      </c>
      <c r="S4" s="3517"/>
      <c r="T4" s="3516" t="s">
        <v>2359</v>
      </c>
      <c r="U4" s="3517"/>
      <c r="V4" s="3409" t="s">
        <v>2360</v>
      </c>
      <c r="W4" s="3409"/>
      <c r="X4" s="1539"/>
      <c r="Y4" s="3516" t="s">
        <v>2362</v>
      </c>
      <c r="Z4" s="3517"/>
      <c r="AA4" s="3515" t="s">
        <v>2358</v>
      </c>
      <c r="AB4" s="3515" t="s">
        <v>2359</v>
      </c>
      <c r="AC4" s="3515" t="s">
        <v>2360</v>
      </c>
    </row>
    <row r="5" spans="1:29" ht="15">
      <c r="A5" s="364"/>
      <c r="B5" s="365"/>
      <c r="C5" s="3385" t="s">
        <v>2363</v>
      </c>
      <c r="D5" s="3386"/>
      <c r="E5" s="3518" t="s">
        <v>2364</v>
      </c>
      <c r="F5" s="3384"/>
      <c r="G5" s="3385" t="s">
        <v>2365</v>
      </c>
      <c r="H5" s="3386"/>
      <c r="I5" s="3385" t="s">
        <v>2366</v>
      </c>
      <c r="J5" s="3386"/>
      <c r="K5" s="2076"/>
      <c r="L5" s="2943"/>
      <c r="M5" s="2944"/>
      <c r="N5" s="2944"/>
      <c r="O5" s="2944"/>
      <c r="P5" s="3521"/>
      <c r="Q5" s="3403"/>
      <c r="R5" s="3381"/>
      <c r="S5" s="3382"/>
      <c r="T5" s="3381"/>
      <c r="U5" s="3382"/>
      <c r="V5" s="3409"/>
      <c r="W5" s="3409"/>
      <c r="X5" s="1539"/>
      <c r="Y5" s="3381"/>
      <c r="Z5" s="3382"/>
      <c r="AA5" s="3375"/>
      <c r="AB5" s="3375"/>
      <c r="AC5" s="3375"/>
    </row>
    <row r="6" spans="1:29" ht="15.75" thickBot="1">
      <c r="A6" s="366"/>
      <c r="B6" s="367"/>
      <c r="C6" s="3387" t="s">
        <v>2367</v>
      </c>
      <c r="D6" s="3388"/>
      <c r="E6" s="3390" t="s">
        <v>2367</v>
      </c>
      <c r="F6" s="3391"/>
      <c r="G6" s="3387" t="s">
        <v>2367</v>
      </c>
      <c r="H6" s="3388"/>
      <c r="I6" s="3387" t="s">
        <v>2367</v>
      </c>
      <c r="J6" s="3388"/>
      <c r="K6" s="2076" t="s">
        <v>2368</v>
      </c>
      <c r="L6" s="2943"/>
      <c r="M6" s="2944"/>
      <c r="N6" s="2944"/>
      <c r="O6" s="2944"/>
      <c r="P6" s="3522"/>
      <c r="Q6" s="3405"/>
      <c r="R6" s="3381"/>
      <c r="S6" s="3382"/>
      <c r="T6" s="3406"/>
      <c r="U6" s="3407"/>
      <c r="V6" s="3409"/>
      <c r="W6" s="3409"/>
      <c r="X6" s="1539"/>
      <c r="Y6" s="3406"/>
      <c r="Z6" s="3407"/>
      <c r="AA6" s="3376"/>
      <c r="AB6" s="3376"/>
      <c r="AC6" s="3376"/>
    </row>
    <row r="7" spans="1:29" s="113" customFormat="1" ht="15.75" thickBot="1">
      <c r="A7" s="368" t="s">
        <v>2369</v>
      </c>
      <c r="B7" s="369"/>
      <c r="C7" s="370">
        <f>'数据-取费表'!B2</f>
        <v>44396</v>
      </c>
      <c r="D7" s="371">
        <v>100</v>
      </c>
      <c r="E7" s="372"/>
      <c r="F7" s="373">
        <f>SUMIF(58:58,YEAR(E7)&amp;"-"&amp;MONTH(E7),59:59)</f>
        <v>0</v>
      </c>
      <c r="G7" s="372"/>
      <c r="H7" s="371">
        <f>SUMIF(58:58,YEAR(G7)&amp;"-"&amp;MONTH(G7),59:59)</f>
        <v>0</v>
      </c>
      <c r="I7" s="372"/>
      <c r="J7" s="371">
        <f>SUMIF(58:58,YEAR(I7)&amp;"-"&amp;MONTH(I7),59:59)</f>
        <v>0</v>
      </c>
      <c r="K7" s="2077"/>
      <c r="L7" s="2945"/>
      <c r="M7" s="2946"/>
      <c r="N7" s="2946"/>
      <c r="O7" s="2946"/>
      <c r="P7" s="3377" t="s">
        <v>2370</v>
      </c>
      <c r="Q7" s="3411"/>
      <c r="R7" s="710" t="s">
        <v>23</v>
      </c>
      <c r="S7" s="711">
        <f t="shared" ref="S7:S15" si="0">F7</f>
        <v>0</v>
      </c>
      <c r="T7" s="710" t="s">
        <v>23</v>
      </c>
      <c r="U7" s="711">
        <f t="shared" ref="U7:U15" si="1">H7</f>
        <v>0</v>
      </c>
      <c r="V7" s="710" t="s">
        <v>23</v>
      </c>
      <c r="W7" s="711">
        <f t="shared" ref="W7:W15" si="2">J7</f>
        <v>0</v>
      </c>
      <c r="X7" s="712"/>
      <c r="Y7" s="3377" t="s">
        <v>2370</v>
      </c>
      <c r="Z7" s="3378"/>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5"/>
      <c r="M8" s="2946"/>
      <c r="N8" s="2946"/>
      <c r="O8" s="2946"/>
      <c r="P8" s="3377" t="s">
        <v>2373</v>
      </c>
      <c r="Q8" s="3378"/>
      <c r="R8" s="710" t="s">
        <v>23</v>
      </c>
      <c r="S8" s="711">
        <f t="shared" si="0"/>
        <v>0</v>
      </c>
      <c r="T8" s="710" t="s">
        <v>23</v>
      </c>
      <c r="U8" s="711">
        <f t="shared" si="1"/>
        <v>0</v>
      </c>
      <c r="V8" s="710" t="s">
        <v>23</v>
      </c>
      <c r="W8" s="711">
        <f t="shared" si="2"/>
        <v>0</v>
      </c>
      <c r="X8" s="712"/>
      <c r="Y8" s="3377" t="s">
        <v>2373</v>
      </c>
      <c r="Z8" s="3378"/>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5"/>
      <c r="M9" s="2946"/>
      <c r="N9" s="2946"/>
      <c r="O9" s="2946"/>
      <c r="P9" s="3392" t="s">
        <v>2376</v>
      </c>
      <c r="Q9" s="1527" t="str">
        <f t="shared" ref="Q9:Q15" si="6">B9</f>
        <v>用途</v>
      </c>
      <c r="R9" s="710" t="s">
        <v>17</v>
      </c>
      <c r="S9" s="711">
        <f t="shared" si="0"/>
        <v>100</v>
      </c>
      <c r="T9" s="710" t="s">
        <v>17</v>
      </c>
      <c r="U9" s="711">
        <f t="shared" si="1"/>
        <v>100</v>
      </c>
      <c r="V9" s="710" t="s">
        <v>17</v>
      </c>
      <c r="W9" s="711">
        <f t="shared" si="2"/>
        <v>100</v>
      </c>
      <c r="X9" s="712"/>
      <c r="Y9" s="335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92"/>
      <c r="Q10" s="1527" t="str">
        <f t="shared" si="6"/>
        <v>土地使用年限（年）</v>
      </c>
      <c r="R10" s="710" t="s">
        <v>17</v>
      </c>
      <c r="S10" s="711">
        <f t="shared" si="0"/>
        <v>100</v>
      </c>
      <c r="T10" s="710" t="s">
        <v>17</v>
      </c>
      <c r="U10" s="711">
        <f t="shared" si="1"/>
        <v>100</v>
      </c>
      <c r="V10" s="710" t="s">
        <v>17</v>
      </c>
      <c r="W10" s="711">
        <f t="shared" si="2"/>
        <v>100</v>
      </c>
      <c r="X10" s="712"/>
      <c r="Y10" s="3350"/>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92"/>
      <c r="Q11" s="1527" t="str">
        <f t="shared" si="6"/>
        <v>容积率</v>
      </c>
      <c r="R11" s="710" t="s">
        <v>21</v>
      </c>
      <c r="S11" s="711" t="e">
        <f t="shared" si="0"/>
        <v>#N/A</v>
      </c>
      <c r="T11" s="710" t="s">
        <v>21</v>
      </c>
      <c r="U11" s="711" t="e">
        <f t="shared" si="1"/>
        <v>#N/A</v>
      </c>
      <c r="V11" s="710" t="s">
        <v>21</v>
      </c>
      <c r="W11" s="711" t="e">
        <f t="shared" si="2"/>
        <v>#N/A</v>
      </c>
      <c r="X11" s="712"/>
      <c r="Y11" s="3350"/>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5"/>
      <c r="M12" s="2946"/>
      <c r="N12" s="2946"/>
      <c r="O12" s="2946"/>
      <c r="P12" s="3392"/>
      <c r="Q12" s="1527">
        <f t="shared" si="6"/>
        <v>111</v>
      </c>
      <c r="R12" s="710" t="s">
        <v>21</v>
      </c>
      <c r="S12" s="711">
        <f t="shared" si="0"/>
        <v>100</v>
      </c>
      <c r="T12" s="710" t="s">
        <v>21</v>
      </c>
      <c r="U12" s="711">
        <f t="shared" si="1"/>
        <v>100</v>
      </c>
      <c r="V12" s="710" t="s">
        <v>21</v>
      </c>
      <c r="W12" s="711">
        <f t="shared" si="2"/>
        <v>100</v>
      </c>
      <c r="X12" s="712"/>
      <c r="Y12" s="335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0"/>
      <c r="M13" s="2944"/>
      <c r="N13" s="2944"/>
      <c r="O13" s="2944"/>
      <c r="P13" s="3392"/>
      <c r="Q13" s="1527">
        <f t="shared" si="6"/>
        <v>111</v>
      </c>
      <c r="R13" s="710" t="s">
        <v>21</v>
      </c>
      <c r="S13" s="711">
        <f t="shared" si="0"/>
        <v>100</v>
      </c>
      <c r="T13" s="710" t="s">
        <v>21</v>
      </c>
      <c r="U13" s="711">
        <f t="shared" si="1"/>
        <v>100</v>
      </c>
      <c r="V13" s="710" t="s">
        <v>21</v>
      </c>
      <c r="W13" s="711">
        <f t="shared" si="2"/>
        <v>100</v>
      </c>
      <c r="X13" s="712"/>
      <c r="Y13" s="3350"/>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0"/>
      <c r="M14" s="2944"/>
      <c r="N14" s="2944"/>
      <c r="O14" s="2944"/>
      <c r="P14" s="3392"/>
      <c r="Q14" s="1527">
        <f t="shared" si="6"/>
        <v>111</v>
      </c>
      <c r="R14" s="710" t="s">
        <v>21</v>
      </c>
      <c r="S14" s="711">
        <f t="shared" si="0"/>
        <v>100</v>
      </c>
      <c r="T14" s="710" t="s">
        <v>21</v>
      </c>
      <c r="U14" s="711">
        <f t="shared" si="1"/>
        <v>100</v>
      </c>
      <c r="V14" s="710" t="s">
        <v>21</v>
      </c>
      <c r="W14" s="711">
        <f t="shared" si="2"/>
        <v>100</v>
      </c>
      <c r="X14" s="712"/>
      <c r="Y14" s="3350"/>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412" t="s">
        <v>2381</v>
      </c>
      <c r="Q15" s="1536" t="str">
        <f t="shared" si="6"/>
        <v>居住社区成熟度</v>
      </c>
      <c r="R15" s="714" t="s">
        <v>21</v>
      </c>
      <c r="S15" s="715">
        <f t="shared" si="0"/>
        <v>100</v>
      </c>
      <c r="T15" s="714" t="s">
        <v>21</v>
      </c>
      <c r="U15" s="715">
        <f t="shared" si="1"/>
        <v>100</v>
      </c>
      <c r="V15" s="714" t="s">
        <v>21</v>
      </c>
      <c r="W15" s="715">
        <f t="shared" si="2"/>
        <v>100</v>
      </c>
      <c r="X15" s="1539"/>
      <c r="Y15" s="3414"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0"/>
      <c r="M16" s="2944"/>
      <c r="N16" s="2944"/>
      <c r="O16" s="2944"/>
      <c r="P16" s="3413"/>
      <c r="Q16" s="1536"/>
      <c r="R16" s="714"/>
      <c r="S16" s="715"/>
      <c r="T16" s="714"/>
      <c r="U16" s="715"/>
      <c r="V16" s="714"/>
      <c r="W16" s="715"/>
      <c r="X16" s="1539"/>
      <c r="Y16" s="3415"/>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413"/>
      <c r="Q17" s="1536" t="str">
        <f>B17</f>
        <v>交通便捷度</v>
      </c>
      <c r="R17" s="714" t="s">
        <v>21</v>
      </c>
      <c r="S17" s="715">
        <f>F17</f>
        <v>100</v>
      </c>
      <c r="T17" s="714" t="s">
        <v>21</v>
      </c>
      <c r="U17" s="715">
        <f>H17</f>
        <v>100</v>
      </c>
      <c r="V17" s="714" t="s">
        <v>21</v>
      </c>
      <c r="W17" s="715">
        <f>J17</f>
        <v>100</v>
      </c>
      <c r="X17" s="1539"/>
      <c r="Y17" s="3415"/>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0"/>
      <c r="M18" s="2944"/>
      <c r="N18" s="2944"/>
      <c r="O18" s="2944"/>
      <c r="P18" s="3413"/>
      <c r="Q18" s="1536"/>
      <c r="R18" s="714"/>
      <c r="S18" s="715"/>
      <c r="T18" s="714"/>
      <c r="U18" s="715"/>
      <c r="V18" s="714"/>
      <c r="W18" s="715"/>
      <c r="X18" s="1539"/>
      <c r="Y18" s="3415"/>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413"/>
      <c r="Q19" s="1536" t="str">
        <f>B19</f>
        <v>公共配套设施</v>
      </c>
      <c r="R19" s="714" t="s">
        <v>21</v>
      </c>
      <c r="S19" s="715">
        <f>F19</f>
        <v>100</v>
      </c>
      <c r="T19" s="714" t="s">
        <v>21</v>
      </c>
      <c r="U19" s="715">
        <f>H19</f>
        <v>100</v>
      </c>
      <c r="V19" s="714" t="s">
        <v>21</v>
      </c>
      <c r="W19" s="715">
        <f>J19</f>
        <v>100</v>
      </c>
      <c r="X19" s="1539"/>
      <c r="Y19" s="3415"/>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0"/>
      <c r="M20" s="2944"/>
      <c r="N20" s="2944"/>
      <c r="O20" s="2944"/>
      <c r="P20" s="3413"/>
      <c r="Q20" s="1536"/>
      <c r="R20" s="714"/>
      <c r="S20" s="715"/>
      <c r="T20" s="714"/>
      <c r="U20" s="715"/>
      <c r="V20" s="714"/>
      <c r="W20" s="715"/>
      <c r="X20" s="1539"/>
      <c r="Y20" s="3415"/>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413"/>
      <c r="Q21" s="1536" t="str">
        <f>B21</f>
        <v>基础设施水平</v>
      </c>
      <c r="R21" s="714" t="s">
        <v>17</v>
      </c>
      <c r="S21" s="715">
        <f>F21</f>
        <v>100</v>
      </c>
      <c r="T21" s="714" t="s">
        <v>17</v>
      </c>
      <c r="U21" s="715">
        <f>H21</f>
        <v>100</v>
      </c>
      <c r="V21" s="714" t="s">
        <v>17</v>
      </c>
      <c r="W21" s="715">
        <f>J21</f>
        <v>100</v>
      </c>
      <c r="X21" s="1539"/>
      <c r="Y21" s="3415"/>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0"/>
      <c r="M22" s="2944"/>
      <c r="N22" s="2944"/>
      <c r="O22" s="2944"/>
      <c r="P22" s="3413"/>
      <c r="Q22" s="1536"/>
      <c r="R22" s="714"/>
      <c r="S22" s="715"/>
      <c r="T22" s="714"/>
      <c r="U22" s="715"/>
      <c r="V22" s="714"/>
      <c r="W22" s="715"/>
      <c r="X22" s="1539"/>
      <c r="Y22" s="3415"/>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413"/>
      <c r="Q23" s="1536" t="str">
        <f>B23</f>
        <v>自然及人文环境</v>
      </c>
      <c r="R23" s="714" t="s">
        <v>21</v>
      </c>
      <c r="S23" s="715">
        <f>F23</f>
        <v>100</v>
      </c>
      <c r="T23" s="714" t="s">
        <v>21</v>
      </c>
      <c r="U23" s="715">
        <f>H23</f>
        <v>100</v>
      </c>
      <c r="V23" s="714" t="s">
        <v>21</v>
      </c>
      <c r="W23" s="715">
        <f>J23</f>
        <v>100</v>
      </c>
      <c r="X23" s="1539"/>
      <c r="Y23" s="3415"/>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0"/>
      <c r="M24" s="2944"/>
      <c r="N24" s="2944"/>
      <c r="O24" s="2944"/>
      <c r="P24" s="3413"/>
      <c r="Q24" s="1536"/>
      <c r="R24" s="714"/>
      <c r="S24" s="715"/>
      <c r="T24" s="714"/>
      <c r="U24" s="715"/>
      <c r="V24" s="714"/>
      <c r="W24" s="715"/>
      <c r="X24" s="1539"/>
      <c r="Y24" s="3415"/>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0"/>
      <c r="M25" s="2944"/>
      <c r="N25" s="2944"/>
      <c r="O25" s="2944"/>
      <c r="P25" s="3413"/>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415"/>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0"/>
      <c r="M26" s="2944"/>
      <c r="N26" s="2944"/>
      <c r="O26" s="2944"/>
      <c r="P26" s="3413"/>
      <c r="Q26" s="1536" t="str">
        <f t="shared" si="11"/>
        <v>朝向</v>
      </c>
      <c r="R26" s="714" t="s">
        <v>21</v>
      </c>
      <c r="S26" s="715">
        <f t="shared" si="12"/>
        <v>100</v>
      </c>
      <c r="T26" s="714" t="s">
        <v>21</v>
      </c>
      <c r="U26" s="715">
        <f t="shared" si="13"/>
        <v>100</v>
      </c>
      <c r="V26" s="714" t="s">
        <v>21</v>
      </c>
      <c r="W26" s="715">
        <f t="shared" si="14"/>
        <v>100</v>
      </c>
      <c r="X26" s="1539"/>
      <c r="Y26" s="3415"/>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5"/>
      <c r="M27" s="2946"/>
      <c r="N27" s="2946"/>
      <c r="O27" s="2946"/>
      <c r="P27" s="3413"/>
      <c r="Q27" s="1527">
        <f t="shared" si="11"/>
        <v>111</v>
      </c>
      <c r="R27" s="710" t="s">
        <v>21</v>
      </c>
      <c r="S27" s="711">
        <f t="shared" si="12"/>
        <v>100</v>
      </c>
      <c r="T27" s="710" t="s">
        <v>21</v>
      </c>
      <c r="U27" s="711">
        <f t="shared" si="13"/>
        <v>100</v>
      </c>
      <c r="V27" s="710" t="s">
        <v>21</v>
      </c>
      <c r="W27" s="711">
        <f t="shared" si="14"/>
        <v>100</v>
      </c>
      <c r="X27" s="712"/>
      <c r="Y27" s="3415"/>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0"/>
      <c r="M28" s="2944"/>
      <c r="N28" s="2944"/>
      <c r="O28" s="2944"/>
      <c r="P28" s="3413"/>
      <c r="Q28" s="1536">
        <f t="shared" si="11"/>
        <v>111</v>
      </c>
      <c r="R28" s="714" t="s">
        <v>21</v>
      </c>
      <c r="S28" s="715">
        <f t="shared" si="12"/>
        <v>100</v>
      </c>
      <c r="T28" s="714" t="s">
        <v>21</v>
      </c>
      <c r="U28" s="715">
        <f t="shared" si="13"/>
        <v>100</v>
      </c>
      <c r="V28" s="714" t="s">
        <v>21</v>
      </c>
      <c r="W28" s="715">
        <f t="shared" si="14"/>
        <v>100</v>
      </c>
      <c r="X28" s="1539"/>
      <c r="Y28" s="3415"/>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0"/>
      <c r="M29" s="2944"/>
      <c r="N29" s="2944"/>
      <c r="O29" s="2944"/>
      <c r="P29" s="3413"/>
      <c r="Q29" s="1536">
        <f t="shared" si="11"/>
        <v>111</v>
      </c>
      <c r="R29" s="714" t="s">
        <v>21</v>
      </c>
      <c r="S29" s="715">
        <f t="shared" si="12"/>
        <v>100</v>
      </c>
      <c r="T29" s="714" t="s">
        <v>21</v>
      </c>
      <c r="U29" s="715">
        <f t="shared" si="13"/>
        <v>100</v>
      </c>
      <c r="V29" s="714" t="s">
        <v>21</v>
      </c>
      <c r="W29" s="715">
        <f t="shared" si="14"/>
        <v>100</v>
      </c>
      <c r="X29" s="1539"/>
      <c r="Y29" s="3415"/>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0"/>
      <c r="M30" s="2944"/>
      <c r="N30" s="2944"/>
      <c r="O30" s="2944"/>
      <c r="P30" s="3413"/>
      <c r="Q30" s="1536">
        <f t="shared" si="11"/>
        <v>111</v>
      </c>
      <c r="R30" s="714" t="s">
        <v>21</v>
      </c>
      <c r="S30" s="715">
        <f t="shared" si="12"/>
        <v>100</v>
      </c>
      <c r="T30" s="714" t="s">
        <v>21</v>
      </c>
      <c r="U30" s="715">
        <f t="shared" si="13"/>
        <v>100</v>
      </c>
      <c r="V30" s="714" t="s">
        <v>21</v>
      </c>
      <c r="W30" s="715">
        <f t="shared" si="14"/>
        <v>100</v>
      </c>
      <c r="X30" s="1539"/>
      <c r="Y30" s="3415"/>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0"/>
      <c r="M31" s="2944"/>
      <c r="N31" s="2944"/>
      <c r="O31" s="2944"/>
      <c r="P31" s="3413"/>
      <c r="Q31" s="1536">
        <f t="shared" si="11"/>
        <v>111</v>
      </c>
      <c r="R31" s="714" t="s">
        <v>21</v>
      </c>
      <c r="S31" s="715">
        <f t="shared" si="12"/>
        <v>100</v>
      </c>
      <c r="T31" s="714" t="s">
        <v>21</v>
      </c>
      <c r="U31" s="715">
        <f t="shared" si="13"/>
        <v>100</v>
      </c>
      <c r="V31" s="714" t="s">
        <v>21</v>
      </c>
      <c r="W31" s="715">
        <f t="shared" si="14"/>
        <v>100</v>
      </c>
      <c r="X31" s="1539"/>
      <c r="Y31" s="3415"/>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0"/>
      <c r="M32" s="2944"/>
      <c r="N32" s="2944"/>
      <c r="O32" s="2944"/>
      <c r="P32" s="3416" t="s">
        <v>2386</v>
      </c>
      <c r="Q32" s="1536" t="str">
        <f t="shared" si="11"/>
        <v>建筑类型</v>
      </c>
      <c r="R32" s="714" t="s">
        <v>21</v>
      </c>
      <c r="S32" s="715">
        <f t="shared" si="12"/>
        <v>100</v>
      </c>
      <c r="T32" s="714" t="s">
        <v>21</v>
      </c>
      <c r="U32" s="715">
        <f t="shared" si="13"/>
        <v>100</v>
      </c>
      <c r="V32" s="714" t="s">
        <v>21</v>
      </c>
      <c r="W32" s="715">
        <f t="shared" si="14"/>
        <v>100</v>
      </c>
      <c r="X32" s="1539"/>
      <c r="Y32" s="3419"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9"/>
      <c r="M33" s="2951"/>
      <c r="N33" s="2951"/>
      <c r="O33" s="2951"/>
      <c r="P33" s="3417"/>
      <c r="Q33" s="716" t="str">
        <f t="shared" si="11"/>
        <v>项目建筑规模</v>
      </c>
      <c r="R33" s="717" t="s">
        <v>21</v>
      </c>
      <c r="S33" s="718" t="e">
        <f t="shared" si="12"/>
        <v>#N/A</v>
      </c>
      <c r="T33" s="717" t="s">
        <v>21</v>
      </c>
      <c r="U33" s="718" t="e">
        <f t="shared" si="13"/>
        <v>#N/A</v>
      </c>
      <c r="V33" s="717" t="s">
        <v>21</v>
      </c>
      <c r="W33" s="718" t="e">
        <f t="shared" si="14"/>
        <v>#N/A</v>
      </c>
      <c r="X33" s="719"/>
      <c r="Y33" s="3419"/>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0"/>
      <c r="M34" s="2944"/>
      <c r="N34" s="2944"/>
      <c r="O34" s="2944"/>
      <c r="P34" s="3417"/>
      <c r="Q34" s="1536" t="str">
        <f t="shared" si="11"/>
        <v>建筑结构</v>
      </c>
      <c r="R34" s="714" t="s">
        <v>21</v>
      </c>
      <c r="S34" s="715">
        <f t="shared" si="12"/>
        <v>100</v>
      </c>
      <c r="T34" s="714" t="s">
        <v>21</v>
      </c>
      <c r="U34" s="715">
        <f t="shared" si="13"/>
        <v>100</v>
      </c>
      <c r="V34" s="714" t="s">
        <v>21</v>
      </c>
      <c r="W34" s="715">
        <f t="shared" si="14"/>
        <v>100</v>
      </c>
      <c r="X34" s="1539"/>
      <c r="Y34" s="3419"/>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0"/>
      <c r="M35" s="2944"/>
      <c r="N35" s="2944"/>
      <c r="O35" s="2944"/>
      <c r="P35" s="3417"/>
      <c r="Q35" s="1536" t="str">
        <f t="shared" si="11"/>
        <v>建筑品质</v>
      </c>
      <c r="R35" s="714" t="s">
        <v>21</v>
      </c>
      <c r="S35" s="715">
        <f t="shared" si="12"/>
        <v>100</v>
      </c>
      <c r="T35" s="714" t="s">
        <v>21</v>
      </c>
      <c r="U35" s="715">
        <f t="shared" si="13"/>
        <v>100</v>
      </c>
      <c r="V35" s="714" t="s">
        <v>21</v>
      </c>
      <c r="W35" s="715">
        <f t="shared" si="14"/>
        <v>100</v>
      </c>
      <c r="X35" s="1539"/>
      <c r="Y35" s="3419"/>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0"/>
      <c r="M36" s="2944"/>
      <c r="N36" s="2944"/>
      <c r="O36" s="2944"/>
      <c r="P36" s="3417"/>
      <c r="Q36" s="1536" t="str">
        <f t="shared" si="11"/>
        <v>公共部分装修</v>
      </c>
      <c r="R36" s="714" t="s">
        <v>21</v>
      </c>
      <c r="S36" s="715">
        <f t="shared" si="12"/>
        <v>100</v>
      </c>
      <c r="T36" s="714" t="s">
        <v>21</v>
      </c>
      <c r="U36" s="715">
        <f t="shared" si="13"/>
        <v>100</v>
      </c>
      <c r="V36" s="714" t="s">
        <v>21</v>
      </c>
      <c r="W36" s="715">
        <f t="shared" si="14"/>
        <v>100</v>
      </c>
      <c r="X36" s="1539"/>
      <c r="Y36" s="3419"/>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417"/>
      <c r="Q37" s="1527" t="str">
        <f t="shared" si="11"/>
        <v>成新度</v>
      </c>
      <c r="R37" s="710" t="s">
        <v>21</v>
      </c>
      <c r="S37" s="711" t="e">
        <f t="shared" si="12"/>
        <v>#N/A</v>
      </c>
      <c r="T37" s="710" t="s">
        <v>21</v>
      </c>
      <c r="U37" s="711" t="e">
        <f t="shared" si="13"/>
        <v>#N/A</v>
      </c>
      <c r="V37" s="710" t="s">
        <v>21</v>
      </c>
      <c r="W37" s="711" t="e">
        <f t="shared" si="14"/>
        <v>#N/A</v>
      </c>
      <c r="X37" s="712"/>
      <c r="Y37" s="3419"/>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0"/>
      <c r="M38" s="2944"/>
      <c r="N38" s="2944"/>
      <c r="O38" s="2944"/>
      <c r="P38" s="3417" t="s">
        <v>2386</v>
      </c>
      <c r="Q38" s="1536" t="str">
        <f t="shared" si="11"/>
        <v>物业管理</v>
      </c>
      <c r="R38" s="714" t="s">
        <v>21</v>
      </c>
      <c r="S38" s="715">
        <f t="shared" si="12"/>
        <v>100</v>
      </c>
      <c r="T38" s="714" t="s">
        <v>21</v>
      </c>
      <c r="U38" s="715">
        <f t="shared" si="13"/>
        <v>100</v>
      </c>
      <c r="V38" s="714" t="s">
        <v>21</v>
      </c>
      <c r="W38" s="715">
        <f t="shared" si="14"/>
        <v>100</v>
      </c>
      <c r="X38" s="1539"/>
      <c r="Y38" s="3419"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0"/>
      <c r="M39" s="2944"/>
      <c r="N39" s="2944"/>
      <c r="O39" s="2944"/>
      <c r="P39" s="3417"/>
      <c r="Q39" s="1536" t="str">
        <f t="shared" si="11"/>
        <v>市政基础设施</v>
      </c>
      <c r="R39" s="714" t="s">
        <v>21</v>
      </c>
      <c r="S39" s="715">
        <f t="shared" si="12"/>
        <v>100</v>
      </c>
      <c r="T39" s="714" t="s">
        <v>21</v>
      </c>
      <c r="U39" s="715">
        <f t="shared" si="13"/>
        <v>100</v>
      </c>
      <c r="V39" s="714" t="s">
        <v>21</v>
      </c>
      <c r="W39" s="715">
        <f t="shared" si="14"/>
        <v>100</v>
      </c>
      <c r="X39" s="1539"/>
      <c r="Y39" s="3419"/>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0"/>
      <c r="M40" s="2944"/>
      <c r="N40" s="2944"/>
      <c r="O40" s="2944"/>
      <c r="P40" s="3417"/>
      <c r="Q40" s="1536" t="str">
        <f t="shared" si="11"/>
        <v>房型</v>
      </c>
      <c r="R40" s="714" t="s">
        <v>21</v>
      </c>
      <c r="S40" s="715">
        <f t="shared" si="12"/>
        <v>100</v>
      </c>
      <c r="T40" s="714" t="s">
        <v>21</v>
      </c>
      <c r="U40" s="715">
        <f t="shared" si="13"/>
        <v>100</v>
      </c>
      <c r="V40" s="714" t="s">
        <v>21</v>
      </c>
      <c r="W40" s="715">
        <f t="shared" si="14"/>
        <v>100</v>
      </c>
      <c r="X40" s="1539"/>
      <c r="Y40" s="3419"/>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9"/>
      <c r="M41" s="2951"/>
      <c r="N41" s="2951"/>
      <c r="O41" s="2951"/>
      <c r="P41" s="3417"/>
      <c r="Q41" s="716" t="str">
        <f t="shared" si="11"/>
        <v>单套/主力户型建筑面积</v>
      </c>
      <c r="R41" s="717" t="s">
        <v>21</v>
      </c>
      <c r="S41" s="718">
        <f t="shared" si="12"/>
        <v>100</v>
      </c>
      <c r="T41" s="717" t="s">
        <v>21</v>
      </c>
      <c r="U41" s="718">
        <f t="shared" si="13"/>
        <v>100</v>
      </c>
      <c r="V41" s="717" t="s">
        <v>21</v>
      </c>
      <c r="W41" s="718">
        <f t="shared" si="14"/>
        <v>100</v>
      </c>
      <c r="X41" s="719"/>
      <c r="Y41" s="3419"/>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0"/>
      <c r="M42" s="2944"/>
      <c r="N42" s="2944"/>
      <c r="O42" s="2944"/>
      <c r="P42" s="3417"/>
      <c r="Q42" s="1536" t="str">
        <f t="shared" si="11"/>
        <v>内部装修</v>
      </c>
      <c r="R42" s="714" t="s">
        <v>21</v>
      </c>
      <c r="S42" s="715">
        <f t="shared" si="12"/>
        <v>100</v>
      </c>
      <c r="T42" s="714" t="s">
        <v>21</v>
      </c>
      <c r="U42" s="715">
        <f t="shared" si="13"/>
        <v>100</v>
      </c>
      <c r="V42" s="714" t="s">
        <v>21</v>
      </c>
      <c r="W42" s="715">
        <f t="shared" si="14"/>
        <v>100</v>
      </c>
      <c r="X42" s="1539"/>
      <c r="Y42" s="3419"/>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0"/>
      <c r="M43" s="2944"/>
      <c r="N43" s="2944"/>
      <c r="O43" s="2944"/>
      <c r="P43" s="3417"/>
      <c r="Q43" s="1536" t="str">
        <f t="shared" si="11"/>
        <v>内部装修维护情况</v>
      </c>
      <c r="R43" s="714" t="s">
        <v>21</v>
      </c>
      <c r="S43" s="715">
        <f t="shared" si="12"/>
        <v>100</v>
      </c>
      <c r="T43" s="714" t="s">
        <v>21</v>
      </c>
      <c r="U43" s="715">
        <f t="shared" si="13"/>
        <v>100</v>
      </c>
      <c r="V43" s="714" t="s">
        <v>21</v>
      </c>
      <c r="W43" s="715">
        <f t="shared" si="14"/>
        <v>100</v>
      </c>
      <c r="X43" s="1539"/>
      <c r="Y43" s="3419"/>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5"/>
      <c r="M44" s="2946"/>
      <c r="N44" s="2946"/>
      <c r="O44" s="2946"/>
      <c r="P44" s="3417"/>
      <c r="Q44" s="1527">
        <f t="shared" si="11"/>
        <v>111</v>
      </c>
      <c r="R44" s="710" t="s">
        <v>21</v>
      </c>
      <c r="S44" s="711">
        <f t="shared" si="12"/>
        <v>100</v>
      </c>
      <c r="T44" s="710" t="s">
        <v>21</v>
      </c>
      <c r="U44" s="711">
        <f t="shared" si="13"/>
        <v>100</v>
      </c>
      <c r="V44" s="710" t="s">
        <v>21</v>
      </c>
      <c r="W44" s="711">
        <f t="shared" si="14"/>
        <v>100</v>
      </c>
      <c r="X44" s="712"/>
      <c r="Y44" s="3419"/>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0"/>
      <c r="M45" s="2944"/>
      <c r="N45" s="2944"/>
      <c r="O45" s="2944"/>
      <c r="P45" s="3417"/>
      <c r="Q45" s="1536">
        <f t="shared" si="11"/>
        <v>111</v>
      </c>
      <c r="R45" s="714" t="s">
        <v>21</v>
      </c>
      <c r="S45" s="715">
        <f t="shared" si="12"/>
        <v>100</v>
      </c>
      <c r="T45" s="714" t="s">
        <v>21</v>
      </c>
      <c r="U45" s="715">
        <f t="shared" si="13"/>
        <v>100</v>
      </c>
      <c r="V45" s="714" t="s">
        <v>21</v>
      </c>
      <c r="W45" s="715">
        <f t="shared" si="14"/>
        <v>100</v>
      </c>
      <c r="X45" s="1539"/>
      <c r="Y45" s="3419"/>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0"/>
      <c r="M46" s="2944"/>
      <c r="N46" s="2944"/>
      <c r="O46" s="2944"/>
      <c r="P46" s="3418"/>
      <c r="Q46" s="1536">
        <f t="shared" si="11"/>
        <v>111</v>
      </c>
      <c r="R46" s="714" t="s">
        <v>20</v>
      </c>
      <c r="S46" s="715">
        <f t="shared" si="12"/>
        <v>100</v>
      </c>
      <c r="T46" s="714" t="s">
        <v>20</v>
      </c>
      <c r="U46" s="715">
        <f t="shared" si="13"/>
        <v>100</v>
      </c>
      <c r="V46" s="714" t="s">
        <v>20</v>
      </c>
      <c r="W46" s="715">
        <f t="shared" si="14"/>
        <v>100</v>
      </c>
      <c r="X46" s="1539"/>
      <c r="Y46" s="3420"/>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2"/>
      <c r="M47" s="2953"/>
      <c r="N47" s="2944"/>
      <c r="O47" s="2953"/>
      <c r="P47" s="3421" t="str">
        <f>A47</f>
        <v>成交单价（元/平方米）</v>
      </c>
      <c r="Q47" s="3421"/>
      <c r="R47" s="3422">
        <f>E47</f>
        <v>0</v>
      </c>
      <c r="S47" s="3422"/>
      <c r="T47" s="3422">
        <f>G47</f>
        <v>0</v>
      </c>
      <c r="U47" s="3422"/>
      <c r="V47" s="3422">
        <f>I47</f>
        <v>0</v>
      </c>
      <c r="W47" s="3422"/>
      <c r="X47" s="699"/>
      <c r="Y47" s="721"/>
      <c r="Z47" s="699"/>
      <c r="AA47" s="699"/>
      <c r="AB47" s="699"/>
      <c r="AC47" s="699"/>
    </row>
    <row r="48" spans="1:29" ht="15.75" thickBot="1">
      <c r="A48" s="445" t="s">
        <v>2399</v>
      </c>
      <c r="B48" s="446"/>
      <c r="C48" s="1322" t="e">
        <f>R49</f>
        <v>#DIV/0!</v>
      </c>
      <c r="D48" s="2538" t="s">
        <v>2879</v>
      </c>
      <c r="E48" s="1323" t="e">
        <f>R48</f>
        <v>#DIV/0!</v>
      </c>
      <c r="F48" s="2539"/>
      <c r="G48" s="1322" t="e">
        <f>T48</f>
        <v>#DIV/0!</v>
      </c>
      <c r="H48" s="2539"/>
      <c r="I48" s="1323" t="e">
        <f>V48</f>
        <v>#DIV/0!</v>
      </c>
      <c r="J48" s="2539"/>
      <c r="K48" s="2540">
        <f>F48+H48+J48</f>
        <v>0</v>
      </c>
      <c r="L48" s="2952"/>
      <c r="M48" s="2953"/>
      <c r="N48" s="2953"/>
      <c r="O48" s="2953"/>
      <c r="P48" s="3421" t="str">
        <f>A48</f>
        <v>比较价值（元/平方米）</v>
      </c>
      <c r="Q48" s="3421"/>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2"/>
      <c r="M49" s="2953"/>
      <c r="N49" s="2953"/>
      <c r="O49" s="2953"/>
      <c r="P49" s="3523" t="str">
        <f>A49</f>
        <v>估价对象XX用房的比较价值（楼面单价，元/平方米）</v>
      </c>
      <c r="Q49" s="3524"/>
      <c r="R49" s="3525" t="e">
        <f>IF(F1="售价",ROUND(IF(D48="简单平均",AVERAGE(R48:V48),R48*F48+T48*H48+V48*J48),0),ROUND(IF(D48="简单平均",AVERAGE(R48:V48),R48*F48+T48*H48+V48*J48),1))</f>
        <v>#DIV/0!</v>
      </c>
      <c r="S49" s="3525"/>
      <c r="T49" s="3525"/>
      <c r="U49" s="3525"/>
      <c r="V49" s="3525"/>
      <c r="W49" s="3525"/>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3"/>
    </row>
    <row r="55" spans="1:29" s="459" customFormat="1">
      <c r="A55" s="2956"/>
      <c r="B55" s="2959"/>
      <c r="C55" s="2960"/>
      <c r="D55" s="2956"/>
      <c r="E55" s="2956"/>
      <c r="F55" s="2956"/>
      <c r="G55" s="2956"/>
      <c r="H55" s="2956"/>
      <c r="I55" s="2956"/>
      <c r="J55" s="2956"/>
      <c r="K55" s="2961"/>
      <c r="L55" s="2955"/>
      <c r="M55" s="2956"/>
      <c r="N55" s="2956"/>
      <c r="O55" s="2956"/>
      <c r="P55" s="2103"/>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2021-7</v>
      </c>
      <c r="D58" s="1347">
        <f>EDATE(C58,-1)</f>
        <v>44348</v>
      </c>
      <c r="E58" s="1347">
        <f>EDATE(D58,-1)</f>
        <v>44317</v>
      </c>
      <c r="F58" s="1347">
        <f t="shared" ref="F58:O58" si="19">EDATE(E58,-1)</f>
        <v>44287</v>
      </c>
      <c r="G58" s="1347">
        <f t="shared" si="19"/>
        <v>44256</v>
      </c>
      <c r="H58" s="1347">
        <f t="shared" si="19"/>
        <v>44228</v>
      </c>
      <c r="I58" s="1347">
        <f t="shared" si="19"/>
        <v>44197</v>
      </c>
      <c r="J58" s="1347">
        <f t="shared" si="19"/>
        <v>44166</v>
      </c>
      <c r="K58" s="1347">
        <f t="shared" si="19"/>
        <v>44136</v>
      </c>
      <c r="L58" s="1347">
        <f t="shared" si="19"/>
        <v>44105</v>
      </c>
      <c r="M58" s="1347">
        <f t="shared" si="19"/>
        <v>44075</v>
      </c>
      <c r="N58" s="1347">
        <f t="shared" si="19"/>
        <v>44044</v>
      </c>
      <c r="O58" s="1347">
        <f t="shared" si="19"/>
        <v>44013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9" priority="19" stopIfTrue="1" operator="containsText" text="超过">
      <formula>NOT(ISERROR(SEARCH("超过",F52)))</formula>
    </cfRule>
  </conditionalFormatting>
  <conditionalFormatting sqref="J54">
    <cfRule type="containsText" dxfId="128" priority="18" stopIfTrue="1" operator="containsText" text="超过">
      <formula>NOT(ISERROR(SEARCH("超过",J54)))</formula>
    </cfRule>
  </conditionalFormatting>
  <conditionalFormatting sqref="H54">
    <cfRule type="containsText" dxfId="127" priority="17" stopIfTrue="1" operator="containsText" text="超过">
      <formula>NOT(ISERROR(SEARCH("超过",H54)))</formula>
    </cfRule>
  </conditionalFormatting>
  <conditionalFormatting sqref="F54">
    <cfRule type="containsText" dxfId="126" priority="16" stopIfTrue="1" operator="containsText" text="超过">
      <formula>NOT(ISERROR(SEARCH("超过",F54)))</formula>
    </cfRule>
  </conditionalFormatting>
  <conditionalFormatting sqref="F53 H53 J53">
    <cfRule type="containsText" dxfId="125" priority="15" stopIfTrue="1" operator="containsText" text="超过">
      <formula>NOT(ISERROR(SEARCH("超过",F53)))</formula>
    </cfRule>
  </conditionalFormatting>
  <conditionalFormatting sqref="E52">
    <cfRule type="expression" dxfId="124" priority="14" stopIfTrue="1">
      <formula>$F$52="超过30%"</formula>
    </cfRule>
  </conditionalFormatting>
  <conditionalFormatting sqref="G54">
    <cfRule type="expression" dxfId="123" priority="12" stopIfTrue="1">
      <formula>$H$54="超过30%"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2"/>
      <c r="M2" s="2963"/>
      <c r="N2" s="2963"/>
      <c r="O2" s="2963"/>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8042.29</v>
      </c>
      <c r="E3" s="2140"/>
      <c r="F3" s="1040"/>
      <c r="G3" s="1039"/>
      <c r="H3" s="1039"/>
      <c r="I3" s="1039"/>
      <c r="J3" s="1039"/>
      <c r="K3" s="1041"/>
      <c r="L3" s="2962"/>
      <c r="M3" s="2963"/>
      <c r="N3" s="2963"/>
      <c r="O3" s="2963"/>
      <c r="P3" s="2138"/>
      <c r="Q3" s="1043"/>
      <c r="R3" s="1043"/>
      <c r="S3" s="1043"/>
      <c r="T3" s="1043"/>
      <c r="U3" s="1043"/>
      <c r="V3" s="1043"/>
      <c r="W3" s="1043"/>
      <c r="X3" s="1043"/>
      <c r="Y3" s="1043"/>
      <c r="Z3" s="1043"/>
      <c r="AA3" s="1043"/>
      <c r="AB3" s="1043"/>
      <c r="AC3" s="2140"/>
    </row>
    <row r="4" spans="1:29" ht="15">
      <c r="A4" s="361" t="s">
        <v>2466</v>
      </c>
      <c r="B4" s="362"/>
      <c r="C4" s="3396" t="s">
        <v>2467</v>
      </c>
      <c r="D4" s="3397"/>
      <c r="E4" s="3398" t="s">
        <v>2468</v>
      </c>
      <c r="F4" s="3399"/>
      <c r="G4" s="3396" t="s">
        <v>2469</v>
      </c>
      <c r="H4" s="3397"/>
      <c r="I4" s="3396" t="s">
        <v>2470</v>
      </c>
      <c r="J4" s="3397"/>
      <c r="K4" s="567" t="s">
        <v>2471</v>
      </c>
      <c r="L4" s="2943"/>
      <c r="M4" s="2944"/>
      <c r="N4" s="2944"/>
      <c r="O4" s="2944"/>
      <c r="P4" s="3519" t="s">
        <v>2472</v>
      </c>
      <c r="Q4" s="3520"/>
      <c r="R4" s="3516" t="s">
        <v>2468</v>
      </c>
      <c r="S4" s="3517"/>
      <c r="T4" s="3516" t="s">
        <v>2469</v>
      </c>
      <c r="U4" s="3517"/>
      <c r="V4" s="3409" t="s">
        <v>2470</v>
      </c>
      <c r="W4" s="3409"/>
      <c r="X4" s="1539"/>
      <c r="Y4" s="3516" t="s">
        <v>2472</v>
      </c>
      <c r="Z4" s="3517"/>
      <c r="AA4" s="3515" t="s">
        <v>2468</v>
      </c>
      <c r="AB4" s="3409" t="s">
        <v>2469</v>
      </c>
      <c r="AC4" s="3515" t="s">
        <v>2470</v>
      </c>
    </row>
    <row r="5" spans="1:29" ht="15">
      <c r="A5" s="364"/>
      <c r="B5" s="365"/>
      <c r="C5" s="3385" t="s">
        <v>2363</v>
      </c>
      <c r="D5" s="3386"/>
      <c r="E5" s="3518" t="s">
        <v>2364</v>
      </c>
      <c r="F5" s="3384"/>
      <c r="G5" s="3385" t="s">
        <v>2365</v>
      </c>
      <c r="H5" s="3386"/>
      <c r="I5" s="3385" t="s">
        <v>2366</v>
      </c>
      <c r="J5" s="3386"/>
      <c r="K5" s="567"/>
      <c r="L5" s="2943"/>
      <c r="M5" s="2944"/>
      <c r="N5" s="2944"/>
      <c r="O5" s="2944"/>
      <c r="P5" s="3521"/>
      <c r="Q5" s="3403"/>
      <c r="R5" s="3381"/>
      <c r="S5" s="3382"/>
      <c r="T5" s="3381"/>
      <c r="U5" s="3382"/>
      <c r="V5" s="3409"/>
      <c r="W5" s="3409"/>
      <c r="X5" s="1539"/>
      <c r="Y5" s="3381"/>
      <c r="Z5" s="3382"/>
      <c r="AA5" s="3375"/>
      <c r="AB5" s="3409"/>
      <c r="AC5" s="3375"/>
    </row>
    <row r="6" spans="1:29" ht="15.75" thickBot="1">
      <c r="A6" s="366"/>
      <c r="B6" s="367"/>
      <c r="C6" s="3387" t="s">
        <v>2367</v>
      </c>
      <c r="D6" s="3388"/>
      <c r="E6" s="3390" t="s">
        <v>2367</v>
      </c>
      <c r="F6" s="3391"/>
      <c r="G6" s="3387" t="s">
        <v>2367</v>
      </c>
      <c r="H6" s="3388"/>
      <c r="I6" s="3387" t="s">
        <v>2367</v>
      </c>
      <c r="J6" s="3388"/>
      <c r="K6" s="567" t="s">
        <v>2368</v>
      </c>
      <c r="L6" s="2943"/>
      <c r="M6" s="2944"/>
      <c r="N6" s="2944"/>
      <c r="O6" s="2944"/>
      <c r="P6" s="3522"/>
      <c r="Q6" s="3405"/>
      <c r="R6" s="3381"/>
      <c r="S6" s="3382"/>
      <c r="T6" s="3406"/>
      <c r="U6" s="3407"/>
      <c r="V6" s="3409"/>
      <c r="W6" s="3409"/>
      <c r="X6" s="1539"/>
      <c r="Y6" s="3406"/>
      <c r="Z6" s="3407"/>
      <c r="AA6" s="3376"/>
      <c r="AB6" s="3409"/>
      <c r="AC6" s="3376"/>
    </row>
    <row r="7" spans="1:29" s="113" customFormat="1" ht="15.75" thickBot="1">
      <c r="A7" s="368" t="s">
        <v>2369</v>
      </c>
      <c r="B7" s="369"/>
      <c r="C7" s="370">
        <f>'数据-取费表'!B2</f>
        <v>44396</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77" t="s">
        <v>2370</v>
      </c>
      <c r="Q7" s="3411"/>
      <c r="R7" s="710" t="s">
        <v>17</v>
      </c>
      <c r="S7" s="711">
        <f t="shared" ref="S7:S15" si="0">F7</f>
        <v>0</v>
      </c>
      <c r="T7" s="710" t="s">
        <v>17</v>
      </c>
      <c r="U7" s="711">
        <f t="shared" ref="U7:U15" si="1">H7</f>
        <v>0</v>
      </c>
      <c r="V7" s="710" t="s">
        <v>17</v>
      </c>
      <c r="W7" s="711">
        <f t="shared" ref="W7:W15" si="2">J7</f>
        <v>0</v>
      </c>
      <c r="X7" s="712"/>
      <c r="Y7" s="3377" t="s">
        <v>2370</v>
      </c>
      <c r="Z7" s="3378"/>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77" t="s">
        <v>2373</v>
      </c>
      <c r="Q8" s="3378"/>
      <c r="R8" s="710" t="s">
        <v>17</v>
      </c>
      <c r="S8" s="711">
        <f t="shared" si="0"/>
        <v>0</v>
      </c>
      <c r="T8" s="710" t="s">
        <v>17</v>
      </c>
      <c r="U8" s="711">
        <f t="shared" si="1"/>
        <v>0</v>
      </c>
      <c r="V8" s="710" t="s">
        <v>17</v>
      </c>
      <c r="W8" s="711">
        <f t="shared" si="2"/>
        <v>0</v>
      </c>
      <c r="X8" s="712"/>
      <c r="Y8" s="3377" t="s">
        <v>2373</v>
      </c>
      <c r="Z8" s="3378"/>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92" t="s">
        <v>2376</v>
      </c>
      <c r="Q9" s="1527" t="str">
        <f t="shared" ref="Q9:Q15" si="6">B9</f>
        <v>用途</v>
      </c>
      <c r="R9" s="710" t="s">
        <v>17</v>
      </c>
      <c r="S9" s="711">
        <f t="shared" si="0"/>
        <v>100</v>
      </c>
      <c r="T9" s="710" t="s">
        <v>17</v>
      </c>
      <c r="U9" s="711">
        <f t="shared" si="1"/>
        <v>100</v>
      </c>
      <c r="V9" s="710" t="s">
        <v>17</v>
      </c>
      <c r="W9" s="711">
        <f t="shared" si="2"/>
        <v>100</v>
      </c>
      <c r="X9" s="712"/>
      <c r="Y9" s="335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92"/>
      <c r="Q10" s="1527" t="str">
        <f t="shared" si="6"/>
        <v>土地使用年限（年）</v>
      </c>
      <c r="R10" s="710" t="s">
        <v>17</v>
      </c>
      <c r="S10" s="711">
        <f t="shared" si="0"/>
        <v>100</v>
      </c>
      <c r="T10" s="710" t="s">
        <v>17</v>
      </c>
      <c r="U10" s="711">
        <f t="shared" si="1"/>
        <v>100</v>
      </c>
      <c r="V10" s="710" t="s">
        <v>17</v>
      </c>
      <c r="W10" s="711">
        <f t="shared" si="2"/>
        <v>100</v>
      </c>
      <c r="X10" s="712"/>
      <c r="Y10" s="3350"/>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92"/>
      <c r="Q11" s="1527" t="str">
        <f t="shared" si="6"/>
        <v>容积率</v>
      </c>
      <c r="R11" s="710" t="s">
        <v>17</v>
      </c>
      <c r="S11" s="711" t="e">
        <f t="shared" si="0"/>
        <v>#N/A</v>
      </c>
      <c r="T11" s="710" t="s">
        <v>17</v>
      </c>
      <c r="U11" s="711" t="e">
        <f t="shared" si="1"/>
        <v>#N/A</v>
      </c>
      <c r="V11" s="710" t="s">
        <v>17</v>
      </c>
      <c r="W11" s="711" t="e">
        <f t="shared" si="2"/>
        <v>#N/A</v>
      </c>
      <c r="X11" s="712"/>
      <c r="Y11" s="3350"/>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92"/>
      <c r="Q12" s="1527">
        <f t="shared" si="6"/>
        <v>111</v>
      </c>
      <c r="R12" s="710" t="s">
        <v>17</v>
      </c>
      <c r="S12" s="711">
        <f t="shared" si="0"/>
        <v>100</v>
      </c>
      <c r="T12" s="710" t="s">
        <v>17</v>
      </c>
      <c r="U12" s="711">
        <f t="shared" si="1"/>
        <v>100</v>
      </c>
      <c r="V12" s="710" t="s">
        <v>17</v>
      </c>
      <c r="W12" s="711">
        <f t="shared" si="2"/>
        <v>100</v>
      </c>
      <c r="X12" s="712"/>
      <c r="Y12" s="335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92"/>
      <c r="Q13" s="1527">
        <f t="shared" si="6"/>
        <v>111</v>
      </c>
      <c r="R13" s="710" t="s">
        <v>17</v>
      </c>
      <c r="S13" s="711">
        <f t="shared" si="0"/>
        <v>100</v>
      </c>
      <c r="T13" s="710" t="s">
        <v>17</v>
      </c>
      <c r="U13" s="711">
        <f t="shared" si="1"/>
        <v>100</v>
      </c>
      <c r="V13" s="710" t="s">
        <v>17</v>
      </c>
      <c r="W13" s="711">
        <f t="shared" si="2"/>
        <v>100</v>
      </c>
      <c r="X13" s="712"/>
      <c r="Y13" s="3350"/>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92"/>
      <c r="Q14" s="1527">
        <f t="shared" si="6"/>
        <v>111</v>
      </c>
      <c r="R14" s="710" t="s">
        <v>17</v>
      </c>
      <c r="S14" s="711">
        <f t="shared" si="0"/>
        <v>100</v>
      </c>
      <c r="T14" s="710" t="s">
        <v>17</v>
      </c>
      <c r="U14" s="711">
        <f t="shared" si="1"/>
        <v>100</v>
      </c>
      <c r="V14" s="710" t="s">
        <v>17</v>
      </c>
      <c r="W14" s="711">
        <f t="shared" si="2"/>
        <v>100</v>
      </c>
      <c r="X14" s="712"/>
      <c r="Y14" s="3350"/>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412" t="s">
        <v>2381</v>
      </c>
      <c r="Q15" s="1536" t="str">
        <f t="shared" si="6"/>
        <v>商业繁华度</v>
      </c>
      <c r="R15" s="714" t="s">
        <v>17</v>
      </c>
      <c r="S15" s="715">
        <f t="shared" si="0"/>
        <v>100</v>
      </c>
      <c r="T15" s="714" t="s">
        <v>17</v>
      </c>
      <c r="U15" s="715">
        <f t="shared" si="1"/>
        <v>100</v>
      </c>
      <c r="V15" s="714" t="s">
        <v>17</v>
      </c>
      <c r="W15" s="715">
        <f t="shared" si="2"/>
        <v>100</v>
      </c>
      <c r="X15" s="1539"/>
      <c r="Y15" s="3414"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0"/>
      <c r="M16" s="2944"/>
      <c r="N16" s="2944"/>
      <c r="O16" s="2944"/>
      <c r="P16" s="3413"/>
      <c r="Q16" s="1536"/>
      <c r="R16" s="714"/>
      <c r="S16" s="715"/>
      <c r="T16" s="714"/>
      <c r="U16" s="715"/>
      <c r="V16" s="714"/>
      <c r="W16" s="715"/>
      <c r="X16" s="1539"/>
      <c r="Y16" s="3415"/>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413"/>
      <c r="Q17" s="1536" t="str">
        <f>B17</f>
        <v>交通便捷度</v>
      </c>
      <c r="R17" s="714" t="s">
        <v>17</v>
      </c>
      <c r="S17" s="715">
        <f>F17</f>
        <v>100</v>
      </c>
      <c r="T17" s="714" t="s">
        <v>17</v>
      </c>
      <c r="U17" s="715">
        <f>H17</f>
        <v>100</v>
      </c>
      <c r="V17" s="714" t="s">
        <v>17</v>
      </c>
      <c r="W17" s="715">
        <f>J17</f>
        <v>100</v>
      </c>
      <c r="X17" s="1539"/>
      <c r="Y17" s="3415"/>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0"/>
      <c r="M18" s="2944"/>
      <c r="N18" s="2944"/>
      <c r="O18" s="2944"/>
      <c r="P18" s="3413"/>
      <c r="Q18" s="1536"/>
      <c r="R18" s="714"/>
      <c r="S18" s="715"/>
      <c r="T18" s="714"/>
      <c r="U18" s="715"/>
      <c r="V18" s="714"/>
      <c r="W18" s="715"/>
      <c r="X18" s="1539"/>
      <c r="Y18" s="3415"/>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413"/>
      <c r="Q19" s="1536" t="str">
        <f>B19</f>
        <v>公共配套设施</v>
      </c>
      <c r="R19" s="714" t="s">
        <v>17</v>
      </c>
      <c r="S19" s="715">
        <f>F19</f>
        <v>100</v>
      </c>
      <c r="T19" s="714" t="s">
        <v>17</v>
      </c>
      <c r="U19" s="715">
        <f>H19</f>
        <v>100</v>
      </c>
      <c r="V19" s="714" t="s">
        <v>17</v>
      </c>
      <c r="W19" s="715">
        <f>J19</f>
        <v>100</v>
      </c>
      <c r="X19" s="1539"/>
      <c r="Y19" s="3415"/>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0"/>
      <c r="M20" s="2944"/>
      <c r="N20" s="2944"/>
      <c r="O20" s="2944"/>
      <c r="P20" s="3413"/>
      <c r="Q20" s="1536"/>
      <c r="R20" s="714"/>
      <c r="S20" s="715"/>
      <c r="T20" s="714"/>
      <c r="U20" s="715"/>
      <c r="V20" s="714"/>
      <c r="W20" s="715"/>
      <c r="X20" s="1539"/>
      <c r="Y20" s="3415"/>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413"/>
      <c r="Q21" s="1536" t="str">
        <f>B21</f>
        <v>基础设施水平</v>
      </c>
      <c r="R21" s="714" t="s">
        <v>17</v>
      </c>
      <c r="S21" s="715">
        <f>F21</f>
        <v>100</v>
      </c>
      <c r="T21" s="714" t="s">
        <v>17</v>
      </c>
      <c r="U21" s="715">
        <f>H21</f>
        <v>100</v>
      </c>
      <c r="V21" s="714" t="s">
        <v>17</v>
      </c>
      <c r="W21" s="715">
        <f>J21</f>
        <v>100</v>
      </c>
      <c r="X21" s="1539"/>
      <c r="Y21" s="3415"/>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0"/>
      <c r="M22" s="2944"/>
      <c r="N22" s="2944"/>
      <c r="O22" s="2944"/>
      <c r="P22" s="3413"/>
      <c r="Q22" s="1536"/>
      <c r="R22" s="714"/>
      <c r="S22" s="715"/>
      <c r="T22" s="714"/>
      <c r="U22" s="715"/>
      <c r="V22" s="714"/>
      <c r="W22" s="715"/>
      <c r="X22" s="1539"/>
      <c r="Y22" s="3415"/>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413"/>
      <c r="Q23" s="1536" t="str">
        <f>B23</f>
        <v>自然及人文环境</v>
      </c>
      <c r="R23" s="714" t="s">
        <v>17</v>
      </c>
      <c r="S23" s="715">
        <f>F23</f>
        <v>100</v>
      </c>
      <c r="T23" s="714" t="s">
        <v>17</v>
      </c>
      <c r="U23" s="715">
        <f>H23</f>
        <v>100</v>
      </c>
      <c r="V23" s="714" t="s">
        <v>17</v>
      </c>
      <c r="W23" s="715">
        <f>J23</f>
        <v>100</v>
      </c>
      <c r="X23" s="1539"/>
      <c r="Y23" s="3415"/>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0"/>
      <c r="M24" s="2944"/>
      <c r="N24" s="2944"/>
      <c r="O24" s="2944"/>
      <c r="P24" s="3413"/>
      <c r="Q24" s="1536"/>
      <c r="R24" s="714"/>
      <c r="S24" s="715"/>
      <c r="T24" s="714"/>
      <c r="U24" s="715"/>
      <c r="V24" s="714"/>
      <c r="W24" s="715"/>
      <c r="X24" s="1539"/>
      <c r="Y24" s="3415"/>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413"/>
      <c r="Q25" s="1536" t="str">
        <f t="shared" ref="Q25:Q46" si="11">B25</f>
        <v>临街状况</v>
      </c>
      <c r="R25" s="714" t="s">
        <v>17</v>
      </c>
      <c r="S25" s="715">
        <f>F25</f>
        <v>100</v>
      </c>
      <c r="T25" s="714" t="s">
        <v>17</v>
      </c>
      <c r="U25" s="715">
        <f>H25</f>
        <v>100</v>
      </c>
      <c r="V25" s="714" t="s">
        <v>17</v>
      </c>
      <c r="W25" s="715">
        <f>J25</f>
        <v>100</v>
      </c>
      <c r="X25" s="1539"/>
      <c r="Y25" s="3415"/>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413"/>
      <c r="Q26" s="1536" t="str">
        <f t="shared" si="11"/>
        <v>平面位置/可视性</v>
      </c>
      <c r="R26" s="714" t="s">
        <v>17</v>
      </c>
      <c r="S26" s="715">
        <f>F26</f>
        <v>100</v>
      </c>
      <c r="T26" s="714" t="s">
        <v>17</v>
      </c>
      <c r="U26" s="715">
        <f>H26</f>
        <v>100</v>
      </c>
      <c r="V26" s="714" t="s">
        <v>17</v>
      </c>
      <c r="W26" s="715">
        <f>J26</f>
        <v>100</v>
      </c>
      <c r="X26" s="1539"/>
      <c r="Y26" s="3415"/>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5"/>
      <c r="M27" s="2946"/>
      <c r="N27" s="2946"/>
      <c r="O27" s="2946"/>
      <c r="P27" s="3413"/>
      <c r="Q27" s="1527" t="str">
        <f t="shared" si="11"/>
        <v>人流量</v>
      </c>
      <c r="R27" s="710" t="s">
        <v>17</v>
      </c>
      <c r="S27" s="711">
        <f>F27</f>
        <v>100</v>
      </c>
      <c r="T27" s="710" t="s">
        <v>17</v>
      </c>
      <c r="U27" s="711">
        <f>H27</f>
        <v>100</v>
      </c>
      <c r="V27" s="710" t="s">
        <v>17</v>
      </c>
      <c r="W27" s="711">
        <f>J27</f>
        <v>100</v>
      </c>
      <c r="X27" s="712"/>
      <c r="Y27" s="3415"/>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413"/>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415"/>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413"/>
      <c r="Q29" s="1536">
        <f t="shared" si="11"/>
        <v>111</v>
      </c>
      <c r="R29" s="714" t="s">
        <v>17</v>
      </c>
      <c r="S29" s="715">
        <f t="shared" si="12"/>
        <v>100</v>
      </c>
      <c r="T29" s="714" t="s">
        <v>17</v>
      </c>
      <c r="U29" s="715">
        <f t="shared" si="13"/>
        <v>100</v>
      </c>
      <c r="V29" s="714" t="s">
        <v>17</v>
      </c>
      <c r="W29" s="715">
        <f t="shared" si="14"/>
        <v>100</v>
      </c>
      <c r="X29" s="1539"/>
      <c r="Y29" s="3415"/>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413"/>
      <c r="Q30" s="1536">
        <f t="shared" si="11"/>
        <v>111</v>
      </c>
      <c r="R30" s="714" t="s">
        <v>17</v>
      </c>
      <c r="S30" s="715">
        <f t="shared" si="12"/>
        <v>100</v>
      </c>
      <c r="T30" s="714" t="s">
        <v>17</v>
      </c>
      <c r="U30" s="715">
        <f t="shared" si="13"/>
        <v>100</v>
      </c>
      <c r="V30" s="714" t="s">
        <v>17</v>
      </c>
      <c r="W30" s="715">
        <f t="shared" si="14"/>
        <v>100</v>
      </c>
      <c r="X30" s="1539"/>
      <c r="Y30" s="3415"/>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413"/>
      <c r="Q31" s="1536">
        <f t="shared" si="11"/>
        <v>111</v>
      </c>
      <c r="R31" s="714" t="s">
        <v>17</v>
      </c>
      <c r="S31" s="715">
        <f t="shared" si="12"/>
        <v>100</v>
      </c>
      <c r="T31" s="714" t="s">
        <v>17</v>
      </c>
      <c r="U31" s="715">
        <f t="shared" si="13"/>
        <v>100</v>
      </c>
      <c r="V31" s="714" t="s">
        <v>17</v>
      </c>
      <c r="W31" s="715">
        <f t="shared" si="14"/>
        <v>100</v>
      </c>
      <c r="X31" s="1539"/>
      <c r="Y31" s="3415"/>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0"/>
      <c r="M32" s="2944"/>
      <c r="N32" s="2944"/>
      <c r="O32" s="2944"/>
      <c r="P32" s="3416" t="s">
        <v>2386</v>
      </c>
      <c r="Q32" s="1536" t="str">
        <f t="shared" si="11"/>
        <v>商业类型</v>
      </c>
      <c r="R32" s="714" t="s">
        <v>17</v>
      </c>
      <c r="S32" s="715">
        <f t="shared" si="12"/>
        <v>100</v>
      </c>
      <c r="T32" s="714" t="s">
        <v>17</v>
      </c>
      <c r="U32" s="715">
        <f t="shared" si="13"/>
        <v>100</v>
      </c>
      <c r="V32" s="714" t="s">
        <v>17</v>
      </c>
      <c r="W32" s="715">
        <f t="shared" si="14"/>
        <v>100</v>
      </c>
      <c r="X32" s="1539"/>
      <c r="Y32" s="3419"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417"/>
      <c r="Q33" s="716" t="str">
        <f t="shared" si="11"/>
        <v>项目建筑规模</v>
      </c>
      <c r="R33" s="717" t="s">
        <v>17</v>
      </c>
      <c r="S33" s="718" t="e">
        <f t="shared" si="12"/>
        <v>#N/A</v>
      </c>
      <c r="T33" s="717" t="s">
        <v>17</v>
      </c>
      <c r="U33" s="718" t="e">
        <f t="shared" si="13"/>
        <v>#N/A</v>
      </c>
      <c r="V33" s="717" t="s">
        <v>17</v>
      </c>
      <c r="W33" s="718" t="e">
        <f t="shared" si="14"/>
        <v>#N/A</v>
      </c>
      <c r="X33" s="719"/>
      <c r="Y33" s="3419"/>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0"/>
      <c r="M34" s="2944"/>
      <c r="N34" s="2944"/>
      <c r="O34" s="2944"/>
      <c r="P34" s="3417"/>
      <c r="Q34" s="1536" t="str">
        <f t="shared" si="11"/>
        <v>建筑结构</v>
      </c>
      <c r="R34" s="714" t="s">
        <v>17</v>
      </c>
      <c r="S34" s="715">
        <f t="shared" si="12"/>
        <v>100</v>
      </c>
      <c r="T34" s="714" t="s">
        <v>17</v>
      </c>
      <c r="U34" s="715">
        <f t="shared" si="13"/>
        <v>100</v>
      </c>
      <c r="V34" s="714" t="s">
        <v>17</v>
      </c>
      <c r="W34" s="715">
        <f t="shared" si="14"/>
        <v>100</v>
      </c>
      <c r="X34" s="1539"/>
      <c r="Y34" s="3419"/>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0"/>
      <c r="M35" s="2944"/>
      <c r="N35" s="2944"/>
      <c r="O35" s="2944"/>
      <c r="P35" s="3417"/>
      <c r="Q35" s="1536" t="str">
        <f t="shared" si="11"/>
        <v>公共部分装修</v>
      </c>
      <c r="R35" s="714" t="s">
        <v>17</v>
      </c>
      <c r="S35" s="715">
        <f t="shared" si="12"/>
        <v>100</v>
      </c>
      <c r="T35" s="714" t="s">
        <v>17</v>
      </c>
      <c r="U35" s="715">
        <f t="shared" si="13"/>
        <v>100</v>
      </c>
      <c r="V35" s="714" t="s">
        <v>17</v>
      </c>
      <c r="W35" s="715">
        <f t="shared" si="14"/>
        <v>100</v>
      </c>
      <c r="X35" s="1539"/>
      <c r="Y35" s="3419"/>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417"/>
      <c r="Q36" s="1536" t="str">
        <f t="shared" si="11"/>
        <v>成新度</v>
      </c>
      <c r="R36" s="714" t="s">
        <v>17</v>
      </c>
      <c r="S36" s="715" t="e">
        <f t="shared" si="12"/>
        <v>#N/A</v>
      </c>
      <c r="T36" s="714" t="s">
        <v>17</v>
      </c>
      <c r="U36" s="715" t="e">
        <f t="shared" si="13"/>
        <v>#N/A</v>
      </c>
      <c r="V36" s="714" t="s">
        <v>17</v>
      </c>
      <c r="W36" s="715" t="e">
        <f t="shared" si="14"/>
        <v>#N/A</v>
      </c>
      <c r="X36" s="1539"/>
      <c r="Y36" s="3419"/>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5"/>
      <c r="M37" s="2946"/>
      <c r="N37" s="2946"/>
      <c r="O37" s="2946"/>
      <c r="P37" s="3417"/>
      <c r="Q37" s="1527" t="str">
        <f t="shared" si="11"/>
        <v>市政基础设施</v>
      </c>
      <c r="R37" s="710" t="s">
        <v>17</v>
      </c>
      <c r="S37" s="711">
        <f t="shared" si="12"/>
        <v>100</v>
      </c>
      <c r="T37" s="710" t="s">
        <v>17</v>
      </c>
      <c r="U37" s="711">
        <f t="shared" si="13"/>
        <v>100</v>
      </c>
      <c r="V37" s="710" t="s">
        <v>17</v>
      </c>
      <c r="W37" s="711">
        <f t="shared" si="14"/>
        <v>100</v>
      </c>
      <c r="X37" s="712"/>
      <c r="Y37" s="3419"/>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0"/>
      <c r="M38" s="2944"/>
      <c r="N38" s="2944"/>
      <c r="O38" s="2944"/>
      <c r="P38" s="3417" t="s">
        <v>2386</v>
      </c>
      <c r="Q38" s="1536" t="str">
        <f t="shared" si="11"/>
        <v>业态</v>
      </c>
      <c r="R38" s="714" t="s">
        <v>17</v>
      </c>
      <c r="S38" s="715">
        <f t="shared" si="12"/>
        <v>100</v>
      </c>
      <c r="T38" s="714" t="s">
        <v>17</v>
      </c>
      <c r="U38" s="715">
        <f t="shared" si="13"/>
        <v>100</v>
      </c>
      <c r="V38" s="714" t="s">
        <v>17</v>
      </c>
      <c r="W38" s="715">
        <f t="shared" si="14"/>
        <v>100</v>
      </c>
      <c r="X38" s="1539"/>
      <c r="Y38" s="3419"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0"/>
      <c r="M39" s="2944"/>
      <c r="N39" s="2944"/>
      <c r="O39" s="2944"/>
      <c r="P39" s="3417"/>
      <c r="Q39" s="1536" t="str">
        <f t="shared" si="11"/>
        <v>层高</v>
      </c>
      <c r="R39" s="714" t="s">
        <v>17</v>
      </c>
      <c r="S39" s="715">
        <f t="shared" si="12"/>
        <v>100</v>
      </c>
      <c r="T39" s="714" t="s">
        <v>17</v>
      </c>
      <c r="U39" s="715">
        <f t="shared" si="13"/>
        <v>100</v>
      </c>
      <c r="V39" s="714" t="s">
        <v>17</v>
      </c>
      <c r="W39" s="715">
        <f t="shared" si="14"/>
        <v>100</v>
      </c>
      <c r="X39" s="1539"/>
      <c r="Y39" s="3419"/>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417"/>
      <c r="Q40" s="1536" t="str">
        <f t="shared" si="11"/>
        <v>单套建筑面积</v>
      </c>
      <c r="R40" s="714" t="s">
        <v>17</v>
      </c>
      <c r="S40" s="715">
        <f t="shared" si="12"/>
        <v>100</v>
      </c>
      <c r="T40" s="714" t="s">
        <v>17</v>
      </c>
      <c r="U40" s="715">
        <f t="shared" si="13"/>
        <v>100</v>
      </c>
      <c r="V40" s="714" t="s">
        <v>17</v>
      </c>
      <c r="W40" s="715">
        <f t="shared" si="14"/>
        <v>100</v>
      </c>
      <c r="X40" s="1539"/>
      <c r="Y40" s="3419"/>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417"/>
      <c r="Q41" s="716" t="str">
        <f t="shared" si="11"/>
        <v>进深比</v>
      </c>
      <c r="R41" s="717" t="s">
        <v>17</v>
      </c>
      <c r="S41" s="718">
        <f t="shared" si="12"/>
        <v>100</v>
      </c>
      <c r="T41" s="717" t="s">
        <v>17</v>
      </c>
      <c r="U41" s="718">
        <f t="shared" si="13"/>
        <v>100</v>
      </c>
      <c r="V41" s="717" t="s">
        <v>17</v>
      </c>
      <c r="W41" s="718">
        <f t="shared" si="14"/>
        <v>100</v>
      </c>
      <c r="X41" s="719"/>
      <c r="Y41" s="3419"/>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0"/>
      <c r="M42" s="2944"/>
      <c r="N42" s="2944"/>
      <c r="O42" s="2944"/>
      <c r="P42" s="3417"/>
      <c r="Q42" s="1536" t="str">
        <f t="shared" si="11"/>
        <v>内部装修</v>
      </c>
      <c r="R42" s="714" t="s">
        <v>17</v>
      </c>
      <c r="S42" s="715">
        <f t="shared" si="12"/>
        <v>100</v>
      </c>
      <c r="T42" s="714" t="s">
        <v>17</v>
      </c>
      <c r="U42" s="715">
        <f t="shared" si="13"/>
        <v>100</v>
      </c>
      <c r="V42" s="714" t="s">
        <v>17</v>
      </c>
      <c r="W42" s="715">
        <f t="shared" si="14"/>
        <v>100</v>
      </c>
      <c r="X42" s="1539"/>
      <c r="Y42" s="3419"/>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0"/>
      <c r="M43" s="2944"/>
      <c r="N43" s="2944"/>
      <c r="O43" s="2944"/>
      <c r="P43" s="3417"/>
      <c r="Q43" s="1536" t="str">
        <f t="shared" si="11"/>
        <v>内部装修维护情况</v>
      </c>
      <c r="R43" s="714" t="s">
        <v>17</v>
      </c>
      <c r="S43" s="715">
        <f t="shared" si="12"/>
        <v>100</v>
      </c>
      <c r="T43" s="714" t="s">
        <v>17</v>
      </c>
      <c r="U43" s="715">
        <f t="shared" si="13"/>
        <v>100</v>
      </c>
      <c r="V43" s="714" t="s">
        <v>17</v>
      </c>
      <c r="W43" s="715">
        <f t="shared" si="14"/>
        <v>100</v>
      </c>
      <c r="X43" s="1539"/>
      <c r="Y43" s="3419"/>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417"/>
      <c r="Q44" s="1527">
        <f t="shared" si="11"/>
        <v>111</v>
      </c>
      <c r="R44" s="710" t="s">
        <v>17</v>
      </c>
      <c r="S44" s="711">
        <f t="shared" si="12"/>
        <v>100</v>
      </c>
      <c r="T44" s="710" t="s">
        <v>17</v>
      </c>
      <c r="U44" s="711">
        <f t="shared" si="13"/>
        <v>100</v>
      </c>
      <c r="V44" s="710" t="s">
        <v>17</v>
      </c>
      <c r="W44" s="711">
        <f t="shared" si="14"/>
        <v>100</v>
      </c>
      <c r="X44" s="712"/>
      <c r="Y44" s="3419"/>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417"/>
      <c r="Q45" s="1536">
        <f t="shared" si="11"/>
        <v>111</v>
      </c>
      <c r="R45" s="714" t="s">
        <v>17</v>
      </c>
      <c r="S45" s="715">
        <f t="shared" si="12"/>
        <v>100</v>
      </c>
      <c r="T45" s="714" t="s">
        <v>17</v>
      </c>
      <c r="U45" s="715">
        <f t="shared" si="13"/>
        <v>100</v>
      </c>
      <c r="V45" s="714" t="s">
        <v>17</v>
      </c>
      <c r="W45" s="715">
        <f t="shared" si="14"/>
        <v>100</v>
      </c>
      <c r="X45" s="1539"/>
      <c r="Y45" s="3419"/>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418"/>
      <c r="Q46" s="1536">
        <f t="shared" si="11"/>
        <v>111</v>
      </c>
      <c r="R46" s="714" t="s">
        <v>17</v>
      </c>
      <c r="S46" s="715">
        <f t="shared" si="12"/>
        <v>100</v>
      </c>
      <c r="T46" s="714" t="s">
        <v>17</v>
      </c>
      <c r="U46" s="715">
        <f t="shared" si="13"/>
        <v>100</v>
      </c>
      <c r="V46" s="714" t="s">
        <v>17</v>
      </c>
      <c r="W46" s="715">
        <f t="shared" si="14"/>
        <v>100</v>
      </c>
      <c r="X46" s="1539"/>
      <c r="Y46" s="3420"/>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2"/>
      <c r="M47" s="2953"/>
      <c r="N47" s="2944"/>
      <c r="O47" s="2953"/>
      <c r="P47" s="3421" t="str">
        <f>A47</f>
        <v>成交单价（元/平方米）</v>
      </c>
      <c r="Q47" s="3421"/>
      <c r="R47" s="3409">
        <f>E47</f>
        <v>0</v>
      </c>
      <c r="S47" s="3409"/>
      <c r="T47" s="3409">
        <f>G47</f>
        <v>0</v>
      </c>
      <c r="U47" s="3409"/>
      <c r="V47" s="3409">
        <f>I47</f>
        <v>0</v>
      </c>
      <c r="W47" s="3409"/>
      <c r="X47" s="699"/>
      <c r="Y47" s="721"/>
      <c r="Z47" s="699"/>
      <c r="AA47" s="699"/>
      <c r="AB47" s="699"/>
      <c r="AC47" s="699"/>
    </row>
    <row r="48" spans="1:29" ht="15.75" thickBot="1">
      <c r="A48" s="445" t="s">
        <v>2490</v>
      </c>
      <c r="B48" s="446"/>
      <c r="C48" s="1322" t="e">
        <f>R49</f>
        <v>#DIV/0!</v>
      </c>
      <c r="D48" s="2538" t="s">
        <v>2879</v>
      </c>
      <c r="E48" s="1323" t="e">
        <f>R48</f>
        <v>#DIV/0!</v>
      </c>
      <c r="F48" s="2539"/>
      <c r="G48" s="1322" t="e">
        <f>T48</f>
        <v>#DIV/0!</v>
      </c>
      <c r="H48" s="2539"/>
      <c r="I48" s="1323" t="e">
        <f>V48</f>
        <v>#DIV/0!</v>
      </c>
      <c r="J48" s="2539"/>
      <c r="K48" s="2541">
        <f>F48+H48+J48</f>
        <v>0</v>
      </c>
      <c r="L48" s="2952"/>
      <c r="M48" s="2953"/>
      <c r="N48" s="2944"/>
      <c r="O48" s="2953"/>
      <c r="P48" s="3421" t="str">
        <f>A48</f>
        <v>比较价值（元/平方米）</v>
      </c>
      <c r="Q48" s="3421"/>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2"/>
      <c r="M49" s="2953"/>
      <c r="N49" s="2944"/>
      <c r="O49" s="2953"/>
      <c r="P49" s="3523" t="str">
        <f>A49</f>
        <v>估价对象XX用房的比较价值（楼面单价，元/平方米）</v>
      </c>
      <c r="Q49" s="3524"/>
      <c r="R49" s="3525" t="e">
        <f>IF(F1="售价",ROUND(IF(D48="简单平均",AVERAGE(R48:V48),R48*F48+T48*H48+V48*J48),0),ROUND(IF(D48="简单平均",AVERAGE(R48:V48),R48*F48+T48*H48+V48*J48),1))</f>
        <v>#DIV/0!</v>
      </c>
      <c r="S49" s="3525"/>
      <c r="T49" s="3525"/>
      <c r="U49" s="3525"/>
      <c r="V49" s="3525"/>
      <c r="W49" s="3525"/>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2369</v>
      </c>
      <c r="B58" s="463"/>
      <c r="C58" s="1346" t="str">
        <f>YEAR(C7)&amp;"-"&amp;MONTH(C7)</f>
        <v>2021-7</v>
      </c>
      <c r="D58" s="1347">
        <f>EDATE(C58,-1)</f>
        <v>44348</v>
      </c>
      <c r="E58" s="1347">
        <f t="shared" ref="E58:N58" si="16">EDATE(D58,-1)</f>
        <v>44317</v>
      </c>
      <c r="F58" s="1347">
        <f t="shared" si="16"/>
        <v>44287</v>
      </c>
      <c r="G58" s="1347">
        <f t="shared" si="16"/>
        <v>44256</v>
      </c>
      <c r="H58" s="1347">
        <f t="shared" si="16"/>
        <v>44228</v>
      </c>
      <c r="I58" s="1347">
        <f t="shared" si="16"/>
        <v>44197</v>
      </c>
      <c r="J58" s="1347">
        <f t="shared" si="16"/>
        <v>44166</v>
      </c>
      <c r="K58" s="1347">
        <f t="shared" si="16"/>
        <v>44136</v>
      </c>
      <c r="L58" s="1347">
        <f t="shared" si="16"/>
        <v>44105</v>
      </c>
      <c r="M58" s="1347">
        <f t="shared" si="16"/>
        <v>44075</v>
      </c>
      <c r="N58" s="1347">
        <f t="shared" si="16"/>
        <v>44044</v>
      </c>
      <c r="O58" s="1347">
        <f>EDATE(N58,-1)</f>
        <v>44013</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0"/>
      <c r="O88" s="2980"/>
      <c r="P88" s="2972"/>
      <c r="Q88" s="2967"/>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2"/>
      <c r="O89" s="2982"/>
      <c r="P89" s="2972"/>
      <c r="Q89" s="2967"/>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4"/>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4"/>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1" priority="21" stopIfTrue="1" operator="containsText" text="超过">
      <formula>NOT(ISERROR(SEARCH("超过",F52)))</formula>
    </cfRule>
  </conditionalFormatting>
  <conditionalFormatting sqref="H54">
    <cfRule type="containsText" dxfId="110" priority="19" stopIfTrue="1" operator="containsText" text="超过">
      <formula>NOT(ISERROR(SEARCH("超过",H54)))</formula>
    </cfRule>
  </conditionalFormatting>
  <conditionalFormatting sqref="F54">
    <cfRule type="containsText" dxfId="109" priority="18" stopIfTrue="1" operator="containsText" text="超过">
      <formula>NOT(ISERROR(SEARCH("超过",F54)))</formula>
    </cfRule>
  </conditionalFormatting>
  <conditionalFormatting sqref="F53 H53">
    <cfRule type="containsText" dxfId="108" priority="17" stopIfTrue="1" operator="containsText" text="超过">
      <formula>NOT(ISERROR(SEARCH("超过",F53)))</formula>
    </cfRule>
  </conditionalFormatting>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G54">
    <cfRule type="expression" dxfId="104" priority="13" stopIfTrue="1">
      <formula>$H$54="超过30%"</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J52">
    <cfRule type="containsText" dxfId="101" priority="10" stopIfTrue="1" operator="containsText" text="超过">
      <formula>NOT(ISERROR(SEARCH("超过",J52)))</formula>
    </cfRule>
  </conditionalFormatting>
  <conditionalFormatting sqref="J54">
    <cfRule type="containsText" dxfId="100" priority="9" stopIfTrue="1" operator="containsText" text="超过">
      <formula>NOT(ISERROR(SEARCH("超过",J54)))</formula>
    </cfRule>
  </conditionalFormatting>
  <conditionalFormatting sqref="J53">
    <cfRule type="containsText" dxfId="99" priority="8" stopIfTrue="1" operator="containsText" text="超过">
      <formula>NOT(ISERROR(SEARCH("超过",J53)))</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F7:F46 H7:H46 J7:J46">
    <cfRule type="cellIs" dxfId="92"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8042.29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96" t="s">
        <v>2467</v>
      </c>
      <c r="D4" s="3397"/>
      <c r="E4" s="3398" t="s">
        <v>2468</v>
      </c>
      <c r="F4" s="3399"/>
      <c r="G4" s="3396" t="s">
        <v>2469</v>
      </c>
      <c r="H4" s="3397"/>
      <c r="I4" s="3396" t="s">
        <v>2470</v>
      </c>
      <c r="J4" s="3397"/>
      <c r="K4" s="567" t="s">
        <v>2471</v>
      </c>
      <c r="L4" s="1044"/>
      <c r="M4" s="1045"/>
      <c r="N4" s="1045"/>
      <c r="O4" s="1045"/>
      <c r="P4" s="3519" t="s">
        <v>2472</v>
      </c>
      <c r="Q4" s="3520"/>
      <c r="R4" s="3516" t="s">
        <v>2468</v>
      </c>
      <c r="S4" s="3517"/>
      <c r="T4" s="3516" t="s">
        <v>2469</v>
      </c>
      <c r="U4" s="3517"/>
      <c r="V4" s="3409" t="s">
        <v>2470</v>
      </c>
      <c r="W4" s="3409"/>
      <c r="X4" s="1539"/>
      <c r="Y4" s="3516" t="s">
        <v>2472</v>
      </c>
      <c r="Z4" s="3517"/>
      <c r="AA4" s="3515" t="s">
        <v>2468</v>
      </c>
      <c r="AB4" s="3375" t="s">
        <v>2469</v>
      </c>
      <c r="AC4" s="3515" t="s">
        <v>2470</v>
      </c>
    </row>
    <row r="5" spans="1:29" ht="15">
      <c r="A5" s="364"/>
      <c r="B5" s="365"/>
      <c r="C5" s="3385" t="s">
        <v>2363</v>
      </c>
      <c r="D5" s="3386"/>
      <c r="E5" s="3518" t="s">
        <v>2364</v>
      </c>
      <c r="F5" s="3384"/>
      <c r="G5" s="3385" t="s">
        <v>2365</v>
      </c>
      <c r="H5" s="3386"/>
      <c r="I5" s="3385" t="s">
        <v>2366</v>
      </c>
      <c r="J5" s="3386"/>
      <c r="K5" s="567"/>
      <c r="L5" s="1044"/>
      <c r="M5" s="1045"/>
      <c r="N5" s="1045"/>
      <c r="O5" s="1045"/>
      <c r="P5" s="3521"/>
      <c r="Q5" s="3403"/>
      <c r="R5" s="3381"/>
      <c r="S5" s="3382"/>
      <c r="T5" s="3381"/>
      <c r="U5" s="3382"/>
      <c r="V5" s="3409"/>
      <c r="W5" s="3409"/>
      <c r="X5" s="1539"/>
      <c r="Y5" s="3381"/>
      <c r="Z5" s="3382"/>
      <c r="AA5" s="3375"/>
      <c r="AB5" s="3375"/>
      <c r="AC5" s="3375"/>
    </row>
    <row r="6" spans="1:29" ht="15.75" thickBot="1">
      <c r="A6" s="366"/>
      <c r="B6" s="367"/>
      <c r="C6" s="3387" t="s">
        <v>2367</v>
      </c>
      <c r="D6" s="3388"/>
      <c r="E6" s="3390" t="s">
        <v>2367</v>
      </c>
      <c r="F6" s="3391"/>
      <c r="G6" s="3387" t="s">
        <v>2367</v>
      </c>
      <c r="H6" s="3388"/>
      <c r="I6" s="3387" t="s">
        <v>2367</v>
      </c>
      <c r="J6" s="3388"/>
      <c r="K6" s="567" t="s">
        <v>2368</v>
      </c>
      <c r="L6" s="1044"/>
      <c r="M6" s="1045"/>
      <c r="N6" s="1045"/>
      <c r="O6" s="1045"/>
      <c r="P6" s="3522"/>
      <c r="Q6" s="3405"/>
      <c r="R6" s="3381"/>
      <c r="S6" s="3382"/>
      <c r="T6" s="3406"/>
      <c r="U6" s="3407"/>
      <c r="V6" s="3409"/>
      <c r="W6" s="3409"/>
      <c r="X6" s="1539"/>
      <c r="Y6" s="3406"/>
      <c r="Z6" s="3407"/>
      <c r="AA6" s="3376"/>
      <c r="AB6" s="3376"/>
      <c r="AC6" s="3376"/>
    </row>
    <row r="7" spans="1:29" s="113" customFormat="1" ht="15.75" thickBot="1">
      <c r="A7" s="368" t="s">
        <v>2369</v>
      </c>
      <c r="B7" s="369"/>
      <c r="C7" s="370">
        <f>'数据-取费表'!B2</f>
        <v>44396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77" t="s">
        <v>2370</v>
      </c>
      <c r="Q7" s="3411"/>
      <c r="R7" s="710" t="s">
        <v>17</v>
      </c>
      <c r="S7" s="711">
        <f t="shared" ref="S7:S15" si="0">F7</f>
        <v>0</v>
      </c>
      <c r="T7" s="710" t="s">
        <v>17</v>
      </c>
      <c r="U7" s="711">
        <f t="shared" ref="U7:U15" si="1">H7</f>
        <v>0</v>
      </c>
      <c r="V7" s="710" t="s">
        <v>17</v>
      </c>
      <c r="W7" s="711">
        <f t="shared" ref="W7:W15" si="2">J7</f>
        <v>0</v>
      </c>
      <c r="X7" s="712"/>
      <c r="Y7" s="3377" t="s">
        <v>2370</v>
      </c>
      <c r="Z7" s="3378"/>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77" t="s">
        <v>2373</v>
      </c>
      <c r="Q8" s="3378"/>
      <c r="R8" s="710" t="s">
        <v>17</v>
      </c>
      <c r="S8" s="711">
        <f t="shared" si="0"/>
        <v>0</v>
      </c>
      <c r="T8" s="710" t="s">
        <v>17</v>
      </c>
      <c r="U8" s="711">
        <f t="shared" si="1"/>
        <v>0</v>
      </c>
      <c r="V8" s="710" t="s">
        <v>17</v>
      </c>
      <c r="W8" s="711">
        <f t="shared" si="2"/>
        <v>0</v>
      </c>
      <c r="X8" s="712"/>
      <c r="Y8" s="3377" t="s">
        <v>2373</v>
      </c>
      <c r="Z8" s="3378"/>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21" t="s">
        <v>2376</v>
      </c>
      <c r="Q9" s="1527" t="str">
        <f t="shared" ref="Q9:Q15" si="6">B9</f>
        <v>用途</v>
      </c>
      <c r="R9" s="710" t="s">
        <v>17</v>
      </c>
      <c r="S9" s="711">
        <f t="shared" si="0"/>
        <v>100</v>
      </c>
      <c r="T9" s="710" t="s">
        <v>17</v>
      </c>
      <c r="U9" s="711">
        <f t="shared" si="1"/>
        <v>100</v>
      </c>
      <c r="V9" s="710" t="s">
        <v>17</v>
      </c>
      <c r="W9" s="711">
        <f t="shared" si="2"/>
        <v>100</v>
      </c>
      <c r="X9" s="712"/>
      <c r="Y9" s="335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21"/>
      <c r="Q10" s="1527" t="str">
        <f t="shared" si="6"/>
        <v>土地使用年限（年）</v>
      </c>
      <c r="R10" s="710" t="s">
        <v>17</v>
      </c>
      <c r="S10" s="711">
        <f t="shared" si="0"/>
        <v>100</v>
      </c>
      <c r="T10" s="710" t="s">
        <v>17</v>
      </c>
      <c r="U10" s="711">
        <f t="shared" si="1"/>
        <v>100</v>
      </c>
      <c r="V10" s="710" t="s">
        <v>17</v>
      </c>
      <c r="W10" s="711">
        <f t="shared" si="2"/>
        <v>100</v>
      </c>
      <c r="X10" s="712"/>
      <c r="Y10" s="3350"/>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21"/>
      <c r="Q11" s="1527" t="str">
        <f t="shared" si="6"/>
        <v>容积率</v>
      </c>
      <c r="R11" s="710" t="s">
        <v>17</v>
      </c>
      <c r="S11" s="711" t="e">
        <f t="shared" si="0"/>
        <v>#N/A</v>
      </c>
      <c r="T11" s="710" t="s">
        <v>17</v>
      </c>
      <c r="U11" s="711" t="e">
        <f t="shared" si="1"/>
        <v>#N/A</v>
      </c>
      <c r="V11" s="710" t="s">
        <v>17</v>
      </c>
      <c r="W11" s="711" t="e">
        <f t="shared" si="2"/>
        <v>#N/A</v>
      </c>
      <c r="X11" s="712"/>
      <c r="Y11" s="3350"/>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421"/>
      <c r="Q12" s="1527">
        <f t="shared" si="6"/>
        <v>111</v>
      </c>
      <c r="R12" s="710" t="s">
        <v>17</v>
      </c>
      <c r="S12" s="711">
        <f t="shared" si="0"/>
        <v>100</v>
      </c>
      <c r="T12" s="710" t="s">
        <v>17</v>
      </c>
      <c r="U12" s="711">
        <f t="shared" si="1"/>
        <v>100</v>
      </c>
      <c r="V12" s="710" t="s">
        <v>17</v>
      </c>
      <c r="W12" s="711">
        <f t="shared" si="2"/>
        <v>100</v>
      </c>
      <c r="X12" s="712"/>
      <c r="Y12" s="3350"/>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421"/>
      <c r="Q13" s="1527">
        <f t="shared" si="6"/>
        <v>111</v>
      </c>
      <c r="R13" s="710" t="s">
        <v>17</v>
      </c>
      <c r="S13" s="711">
        <f t="shared" si="0"/>
        <v>100</v>
      </c>
      <c r="T13" s="710" t="s">
        <v>17</v>
      </c>
      <c r="U13" s="711">
        <f t="shared" si="1"/>
        <v>100</v>
      </c>
      <c r="V13" s="710" t="s">
        <v>17</v>
      </c>
      <c r="W13" s="711">
        <f t="shared" si="2"/>
        <v>100</v>
      </c>
      <c r="X13" s="712"/>
      <c r="Y13" s="3350"/>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421"/>
      <c r="Q14" s="1527">
        <f t="shared" si="6"/>
        <v>111</v>
      </c>
      <c r="R14" s="710" t="s">
        <v>17</v>
      </c>
      <c r="S14" s="711">
        <f t="shared" si="0"/>
        <v>100</v>
      </c>
      <c r="T14" s="710" t="s">
        <v>17</v>
      </c>
      <c r="U14" s="711">
        <f t="shared" si="1"/>
        <v>100</v>
      </c>
      <c r="V14" s="710" t="s">
        <v>17</v>
      </c>
      <c r="W14" s="711">
        <f t="shared" si="2"/>
        <v>100</v>
      </c>
      <c r="X14" s="712"/>
      <c r="Y14" s="3350"/>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14" t="s">
        <v>2381</v>
      </c>
      <c r="Q15" s="1536" t="str">
        <f t="shared" si="6"/>
        <v>产业集聚程度</v>
      </c>
      <c r="R15" s="714" t="s">
        <v>17</v>
      </c>
      <c r="S15" s="715">
        <f t="shared" si="0"/>
        <v>100</v>
      </c>
      <c r="T15" s="714" t="s">
        <v>17</v>
      </c>
      <c r="U15" s="715">
        <f t="shared" si="1"/>
        <v>100</v>
      </c>
      <c r="V15" s="714" t="s">
        <v>17</v>
      </c>
      <c r="W15" s="715">
        <f t="shared" si="2"/>
        <v>100</v>
      </c>
      <c r="X15" s="1539"/>
      <c r="Y15" s="3414"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415"/>
      <c r="Q16" s="1536"/>
      <c r="R16" s="714"/>
      <c r="S16" s="715"/>
      <c r="T16" s="714"/>
      <c r="U16" s="715"/>
      <c r="V16" s="714"/>
      <c r="W16" s="715"/>
      <c r="X16" s="1539"/>
      <c r="Y16" s="3415"/>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15"/>
      <c r="Q17" s="1536" t="str">
        <f>B17</f>
        <v>交通便捷度</v>
      </c>
      <c r="R17" s="714" t="s">
        <v>17</v>
      </c>
      <c r="S17" s="715">
        <f>F17</f>
        <v>100</v>
      </c>
      <c r="T17" s="714" t="s">
        <v>17</v>
      </c>
      <c r="U17" s="715">
        <f>H17</f>
        <v>100</v>
      </c>
      <c r="V17" s="714" t="s">
        <v>17</v>
      </c>
      <c r="W17" s="715">
        <f>J17</f>
        <v>100</v>
      </c>
      <c r="X17" s="1539"/>
      <c r="Y17" s="3415"/>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415"/>
      <c r="Q18" s="1536"/>
      <c r="R18" s="714"/>
      <c r="S18" s="715"/>
      <c r="T18" s="714"/>
      <c r="U18" s="715"/>
      <c r="V18" s="714"/>
      <c r="W18" s="715"/>
      <c r="X18" s="1539"/>
      <c r="Y18" s="3415"/>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15"/>
      <c r="Q19" s="1536" t="str">
        <f>B19</f>
        <v>公共配套设施</v>
      </c>
      <c r="R19" s="714" t="s">
        <v>17</v>
      </c>
      <c r="S19" s="715">
        <f>F19</f>
        <v>100</v>
      </c>
      <c r="T19" s="714" t="s">
        <v>17</v>
      </c>
      <c r="U19" s="715">
        <f>H19</f>
        <v>100</v>
      </c>
      <c r="V19" s="714" t="s">
        <v>17</v>
      </c>
      <c r="W19" s="715">
        <f>J19</f>
        <v>100</v>
      </c>
      <c r="X19" s="1539"/>
      <c r="Y19" s="3415"/>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415"/>
      <c r="Q20" s="1536"/>
      <c r="R20" s="714"/>
      <c r="S20" s="715"/>
      <c r="T20" s="714"/>
      <c r="U20" s="715"/>
      <c r="V20" s="714"/>
      <c r="W20" s="715"/>
      <c r="X20" s="1539"/>
      <c r="Y20" s="3415"/>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15"/>
      <c r="Q21" s="1536" t="str">
        <f>B21</f>
        <v>基础设施水平</v>
      </c>
      <c r="R21" s="714" t="s">
        <v>17</v>
      </c>
      <c r="S21" s="715">
        <f>F21</f>
        <v>100</v>
      </c>
      <c r="T21" s="714" t="s">
        <v>17</v>
      </c>
      <c r="U21" s="715">
        <f>H21</f>
        <v>100</v>
      </c>
      <c r="V21" s="714" t="s">
        <v>17</v>
      </c>
      <c r="W21" s="715">
        <f>J21</f>
        <v>100</v>
      </c>
      <c r="X21" s="1539"/>
      <c r="Y21" s="3415"/>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415"/>
      <c r="Q22" s="1536"/>
      <c r="R22" s="714"/>
      <c r="S22" s="715"/>
      <c r="T22" s="714"/>
      <c r="U22" s="715"/>
      <c r="V22" s="714"/>
      <c r="W22" s="715"/>
      <c r="X22" s="1539"/>
      <c r="Y22" s="3415"/>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15"/>
      <c r="Q23" s="1536" t="str">
        <f>B23</f>
        <v>环境质量</v>
      </c>
      <c r="R23" s="714" t="s">
        <v>17</v>
      </c>
      <c r="S23" s="715">
        <f>F23</f>
        <v>100</v>
      </c>
      <c r="T23" s="714" t="s">
        <v>17</v>
      </c>
      <c r="U23" s="715">
        <f>H23</f>
        <v>100</v>
      </c>
      <c r="V23" s="714" t="s">
        <v>17</v>
      </c>
      <c r="W23" s="715">
        <f>J23</f>
        <v>100</v>
      </c>
      <c r="X23" s="1539"/>
      <c r="Y23" s="3415"/>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415"/>
      <c r="Q24" s="1536"/>
      <c r="R24" s="714"/>
      <c r="S24" s="715"/>
      <c r="T24" s="714"/>
      <c r="U24" s="715"/>
      <c r="V24" s="714"/>
      <c r="W24" s="715"/>
      <c r="X24" s="1539"/>
      <c r="Y24" s="3415"/>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15"/>
      <c r="Q25" s="1536">
        <f>B25</f>
        <v>111</v>
      </c>
      <c r="R25" s="714" t="s">
        <v>17</v>
      </c>
      <c r="S25" s="715">
        <f>F25</f>
        <v>100</v>
      </c>
      <c r="T25" s="714" t="s">
        <v>17</v>
      </c>
      <c r="U25" s="715">
        <f>H25</f>
        <v>100</v>
      </c>
      <c r="V25" s="714" t="s">
        <v>17</v>
      </c>
      <c r="W25" s="715">
        <f>J25</f>
        <v>100</v>
      </c>
      <c r="X25" s="1539"/>
      <c r="Y25" s="3415"/>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15"/>
      <c r="Q26" s="1536">
        <f t="shared" ref="Q26:Q40" si="11">B26</f>
        <v>111</v>
      </c>
      <c r="R26" s="714" t="s">
        <v>17</v>
      </c>
      <c r="S26" s="715">
        <f>F26</f>
        <v>100</v>
      </c>
      <c r="T26" s="714" t="s">
        <v>17</v>
      </c>
      <c r="U26" s="715">
        <f>H26</f>
        <v>100</v>
      </c>
      <c r="V26" s="714" t="s">
        <v>17</v>
      </c>
      <c r="W26" s="715">
        <f>J26</f>
        <v>100</v>
      </c>
      <c r="X26" s="1539"/>
      <c r="Y26" s="3415"/>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15"/>
      <c r="Q27" s="1527">
        <f t="shared" si="11"/>
        <v>111</v>
      </c>
      <c r="R27" s="710" t="s">
        <v>17</v>
      </c>
      <c r="S27" s="711">
        <f>F27</f>
        <v>100</v>
      </c>
      <c r="T27" s="710" t="s">
        <v>17</v>
      </c>
      <c r="U27" s="711">
        <f>H27</f>
        <v>100</v>
      </c>
      <c r="V27" s="710" t="s">
        <v>17</v>
      </c>
      <c r="W27" s="711">
        <f>J27</f>
        <v>100</v>
      </c>
      <c r="X27" s="712"/>
      <c r="Y27" s="3415"/>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15"/>
      <c r="Q28" s="1536">
        <f t="shared" si="11"/>
        <v>111</v>
      </c>
      <c r="R28" s="714" t="s">
        <v>17</v>
      </c>
      <c r="S28" s="715">
        <f t="shared" ref="S28:S40" si="12">F28</f>
        <v>100</v>
      </c>
      <c r="T28" s="714" t="s">
        <v>17</v>
      </c>
      <c r="U28" s="715">
        <f t="shared" ref="U28:U40" si="13">H28</f>
        <v>100</v>
      </c>
      <c r="V28" s="714" t="s">
        <v>17</v>
      </c>
      <c r="W28" s="715">
        <f t="shared" ref="W28:W40" si="14">J28</f>
        <v>100</v>
      </c>
      <c r="X28" s="1539"/>
      <c r="Y28" s="3415"/>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526" t="s">
        <v>2386</v>
      </c>
      <c r="Q29" s="1536" t="str">
        <f t="shared" si="11"/>
        <v>建筑类型</v>
      </c>
      <c r="R29" s="714" t="s">
        <v>17</v>
      </c>
      <c r="S29" s="715">
        <f t="shared" si="12"/>
        <v>100</v>
      </c>
      <c r="T29" s="714" t="s">
        <v>17</v>
      </c>
      <c r="U29" s="715">
        <f t="shared" si="13"/>
        <v>100</v>
      </c>
      <c r="V29" s="714" t="s">
        <v>17</v>
      </c>
      <c r="W29" s="715">
        <f t="shared" si="14"/>
        <v>100</v>
      </c>
      <c r="X29" s="1539"/>
      <c r="Y29" s="3419"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19"/>
      <c r="Q30" s="716" t="str">
        <f t="shared" si="11"/>
        <v>项目建筑规模</v>
      </c>
      <c r="R30" s="717" t="s">
        <v>17</v>
      </c>
      <c r="S30" s="718" t="e">
        <f t="shared" si="12"/>
        <v>#N/A</v>
      </c>
      <c r="T30" s="717" t="s">
        <v>17</v>
      </c>
      <c r="U30" s="718" t="e">
        <f t="shared" si="13"/>
        <v>#N/A</v>
      </c>
      <c r="V30" s="717" t="s">
        <v>17</v>
      </c>
      <c r="W30" s="718" t="e">
        <f t="shared" si="14"/>
        <v>#N/A</v>
      </c>
      <c r="X30" s="719"/>
      <c r="Y30" s="3419"/>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19"/>
      <c r="Q31" s="1536" t="str">
        <f t="shared" si="11"/>
        <v>建筑结构</v>
      </c>
      <c r="R31" s="714" t="s">
        <v>17</v>
      </c>
      <c r="S31" s="715">
        <f t="shared" si="12"/>
        <v>100</v>
      </c>
      <c r="T31" s="714" t="s">
        <v>17</v>
      </c>
      <c r="U31" s="715">
        <f t="shared" si="13"/>
        <v>100</v>
      </c>
      <c r="V31" s="714" t="s">
        <v>17</v>
      </c>
      <c r="W31" s="715">
        <f t="shared" si="14"/>
        <v>100</v>
      </c>
      <c r="X31" s="1539"/>
      <c r="Y31" s="3419"/>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19"/>
      <c r="Q32" s="1536" t="str">
        <f t="shared" si="11"/>
        <v>公共部分装修</v>
      </c>
      <c r="R32" s="714" t="s">
        <v>17</v>
      </c>
      <c r="S32" s="715">
        <f t="shared" si="12"/>
        <v>100</v>
      </c>
      <c r="T32" s="714" t="s">
        <v>17</v>
      </c>
      <c r="U32" s="715">
        <f t="shared" si="13"/>
        <v>100</v>
      </c>
      <c r="V32" s="714" t="s">
        <v>17</v>
      </c>
      <c r="W32" s="715">
        <f t="shared" si="14"/>
        <v>100</v>
      </c>
      <c r="X32" s="1539"/>
      <c r="Y32" s="3419"/>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19"/>
      <c r="Q33" s="1536" t="str">
        <f t="shared" si="11"/>
        <v>成新度</v>
      </c>
      <c r="R33" s="714" t="s">
        <v>17</v>
      </c>
      <c r="S33" s="715" t="e">
        <f t="shared" si="12"/>
        <v>#N/A</v>
      </c>
      <c r="T33" s="714" t="s">
        <v>17</v>
      </c>
      <c r="U33" s="715" t="e">
        <f t="shared" si="13"/>
        <v>#N/A</v>
      </c>
      <c r="V33" s="714" t="s">
        <v>17</v>
      </c>
      <c r="W33" s="715" t="e">
        <f t="shared" si="14"/>
        <v>#N/A</v>
      </c>
      <c r="X33" s="1539"/>
      <c r="Y33" s="3419"/>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19"/>
      <c r="Q34" s="1527" t="str">
        <f t="shared" si="11"/>
        <v>物业管理</v>
      </c>
      <c r="R34" s="710" t="s">
        <v>17</v>
      </c>
      <c r="S34" s="711">
        <f t="shared" si="12"/>
        <v>100</v>
      </c>
      <c r="T34" s="710" t="s">
        <v>17</v>
      </c>
      <c r="U34" s="711">
        <f t="shared" si="13"/>
        <v>100</v>
      </c>
      <c r="V34" s="710" t="s">
        <v>17</v>
      </c>
      <c r="W34" s="711">
        <f t="shared" si="14"/>
        <v>100</v>
      </c>
      <c r="X34" s="712"/>
      <c r="Y34" s="3419"/>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19" t="s">
        <v>2386</v>
      </c>
      <c r="Q35" s="1536" t="str">
        <f t="shared" si="11"/>
        <v>市政基础设施</v>
      </c>
      <c r="R35" s="714" t="s">
        <v>17</v>
      </c>
      <c r="S35" s="715">
        <f t="shared" si="12"/>
        <v>100</v>
      </c>
      <c r="T35" s="714" t="s">
        <v>17</v>
      </c>
      <c r="U35" s="715">
        <f t="shared" si="13"/>
        <v>100</v>
      </c>
      <c r="V35" s="714" t="s">
        <v>17</v>
      </c>
      <c r="W35" s="715">
        <f t="shared" si="14"/>
        <v>100</v>
      </c>
      <c r="X35" s="1539"/>
      <c r="Y35" s="3419"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19"/>
      <c r="Q36" s="1536" t="str">
        <f t="shared" si="11"/>
        <v>内部装修</v>
      </c>
      <c r="R36" s="714" t="s">
        <v>17</v>
      </c>
      <c r="S36" s="715">
        <f t="shared" si="12"/>
        <v>100</v>
      </c>
      <c r="T36" s="714" t="s">
        <v>17</v>
      </c>
      <c r="U36" s="715">
        <f t="shared" si="13"/>
        <v>100</v>
      </c>
      <c r="V36" s="714" t="s">
        <v>17</v>
      </c>
      <c r="W36" s="715">
        <f t="shared" si="14"/>
        <v>100</v>
      </c>
      <c r="X36" s="1539"/>
      <c r="Y36" s="3419"/>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19"/>
      <c r="Q37" s="1536" t="str">
        <f t="shared" si="11"/>
        <v>内部装修状况</v>
      </c>
      <c r="R37" s="714" t="s">
        <v>17</v>
      </c>
      <c r="S37" s="715">
        <f t="shared" si="12"/>
        <v>100</v>
      </c>
      <c r="T37" s="714" t="s">
        <v>17</v>
      </c>
      <c r="U37" s="715">
        <f t="shared" si="13"/>
        <v>100</v>
      </c>
      <c r="V37" s="714" t="s">
        <v>17</v>
      </c>
      <c r="W37" s="715">
        <f t="shared" si="14"/>
        <v>100</v>
      </c>
      <c r="X37" s="1539"/>
      <c r="Y37" s="3419"/>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19"/>
      <c r="Q38" s="716">
        <f t="shared" si="11"/>
        <v>111</v>
      </c>
      <c r="R38" s="717" t="s">
        <v>17</v>
      </c>
      <c r="S38" s="718">
        <f t="shared" si="12"/>
        <v>100</v>
      </c>
      <c r="T38" s="717" t="s">
        <v>17</v>
      </c>
      <c r="U38" s="718">
        <f t="shared" si="13"/>
        <v>100</v>
      </c>
      <c r="V38" s="717" t="s">
        <v>17</v>
      </c>
      <c r="W38" s="718">
        <f t="shared" si="14"/>
        <v>100</v>
      </c>
      <c r="X38" s="719"/>
      <c r="Y38" s="3419"/>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19"/>
      <c r="Q39" s="1536">
        <f t="shared" si="11"/>
        <v>111</v>
      </c>
      <c r="R39" s="714" t="s">
        <v>17</v>
      </c>
      <c r="S39" s="715">
        <f t="shared" si="12"/>
        <v>100</v>
      </c>
      <c r="T39" s="714" t="s">
        <v>17</v>
      </c>
      <c r="U39" s="715">
        <f t="shared" si="13"/>
        <v>100</v>
      </c>
      <c r="V39" s="714" t="s">
        <v>17</v>
      </c>
      <c r="W39" s="715">
        <f t="shared" si="14"/>
        <v>100</v>
      </c>
      <c r="X39" s="1539"/>
      <c r="Y39" s="3419"/>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20"/>
      <c r="Q40" s="1536">
        <f t="shared" si="11"/>
        <v>111</v>
      </c>
      <c r="R40" s="714" t="s">
        <v>17</v>
      </c>
      <c r="S40" s="715">
        <f t="shared" si="12"/>
        <v>100</v>
      </c>
      <c r="T40" s="714" t="s">
        <v>17</v>
      </c>
      <c r="U40" s="715">
        <f t="shared" si="13"/>
        <v>100</v>
      </c>
      <c r="V40" s="714" t="s">
        <v>17</v>
      </c>
      <c r="W40" s="715">
        <f t="shared" si="14"/>
        <v>100</v>
      </c>
      <c r="X40" s="1539"/>
      <c r="Y40" s="3420"/>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421" t="str">
        <f>A41</f>
        <v>成交单价（元/平方米）</v>
      </c>
      <c r="Q41" s="3421"/>
      <c r="R41" s="3422">
        <f>E41</f>
        <v>0</v>
      </c>
      <c r="S41" s="3422"/>
      <c r="T41" s="3422">
        <f>G41</f>
        <v>0</v>
      </c>
      <c r="U41" s="3422"/>
      <c r="V41" s="3422">
        <f>I41</f>
        <v>0</v>
      </c>
      <c r="W41" s="3422"/>
      <c r="X41" s="699"/>
      <c r="Y41" s="721"/>
      <c r="Z41" s="699"/>
      <c r="AA41" s="699"/>
      <c r="AB41" s="699"/>
      <c r="AC41" s="699"/>
    </row>
    <row r="42" spans="1:29" ht="15.75" thickBot="1">
      <c r="A42" s="445" t="s">
        <v>2490</v>
      </c>
      <c r="B42" s="446"/>
      <c r="C42" s="1322" t="e">
        <f>R43</f>
        <v>#DIV/0!</v>
      </c>
      <c r="D42" s="2538" t="s">
        <v>2879</v>
      </c>
      <c r="E42" s="1323" t="e">
        <f>R42</f>
        <v>#DIV/0!</v>
      </c>
      <c r="F42" s="2539"/>
      <c r="G42" s="1322" t="e">
        <f>T42</f>
        <v>#DIV/0!</v>
      </c>
      <c r="H42" s="2539"/>
      <c r="I42" s="1323" t="e">
        <f>V42</f>
        <v>#DIV/0!</v>
      </c>
      <c r="J42" s="2539"/>
      <c r="K42" s="2541">
        <f>F42+H42+J42</f>
        <v>0</v>
      </c>
      <c r="L42" s="1057"/>
      <c r="M42" s="1058"/>
      <c r="N42" s="1045"/>
      <c r="O42" s="1058"/>
      <c r="P42" s="3421" t="str">
        <f>A42</f>
        <v>比较价值（元/平方米）</v>
      </c>
      <c r="Q42" s="3421"/>
      <c r="R42" s="3422" t="e">
        <f>IF(F1="售价",ROUND(PRODUCT(R41,AA7:AA40),0),ROUND(PRODUCT(R41,AA7:AA40),1))</f>
        <v>#DIV/0!</v>
      </c>
      <c r="S42" s="3422"/>
      <c r="T42" s="3422" t="e">
        <f>IF(F1="售价",ROUND(PRODUCT(T41,AB7:AB40),0),ROUND(PRODUCT(T41,AB7:AB40),1))</f>
        <v>#DIV/0!</v>
      </c>
      <c r="U42" s="3422"/>
      <c r="V42" s="3422" t="e">
        <f>IF(F1="售价",ROUND(PRODUCT(V41,AC7:AC40),0),ROUND(PRODUCT(V41,AC7:AC40),1))</f>
        <v>#DIV/0!</v>
      </c>
      <c r="W42" s="3422"/>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523" t="str">
        <f>A43</f>
        <v>估价对象XX用房的比较价值（楼面单价，元/平方米）</v>
      </c>
      <c r="Q43" s="3524"/>
      <c r="R43" s="3525" t="e">
        <f>IF(F1="售价",ROUND(IF(D42="简单平均",AVERAGE(R42:V42),R42*F42+T42*H42+V42*J42),0),ROUND(IF(D42="简单平均",AVERAGE(R42:V42),R42*F42+T42*H42+V42*J42),1))</f>
        <v>#DIV/0!</v>
      </c>
      <c r="S43" s="3525"/>
      <c r="T43" s="3525"/>
      <c r="U43" s="3525"/>
      <c r="V43" s="3525"/>
      <c r="W43" s="3525"/>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2021-7</v>
      </c>
      <c r="D52" s="1347">
        <f>EDATE(C52,-1)</f>
        <v>44348</v>
      </c>
      <c r="E52" s="1347">
        <f t="shared" ref="E52:O52" si="16">EDATE(D52,-1)</f>
        <v>44317</v>
      </c>
      <c r="F52" s="1347">
        <f t="shared" si="16"/>
        <v>44287</v>
      </c>
      <c r="G52" s="1347">
        <f t="shared" si="16"/>
        <v>44256</v>
      </c>
      <c r="H52" s="1347">
        <f t="shared" si="16"/>
        <v>44228</v>
      </c>
      <c r="I52" s="1347">
        <f t="shared" si="16"/>
        <v>44197</v>
      </c>
      <c r="J52" s="1347">
        <f t="shared" si="16"/>
        <v>44166</v>
      </c>
      <c r="K52" s="1347">
        <f t="shared" si="16"/>
        <v>44136</v>
      </c>
      <c r="L52" s="1347">
        <f t="shared" si="16"/>
        <v>44105</v>
      </c>
      <c r="M52" s="1347">
        <f t="shared" si="16"/>
        <v>44075</v>
      </c>
      <c r="N52" s="1347">
        <f t="shared" si="16"/>
        <v>44044</v>
      </c>
      <c r="O52" s="1347">
        <f t="shared" si="16"/>
        <v>44013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2466</v>
      </c>
      <c r="B4" s="362"/>
      <c r="C4" s="3396" t="s">
        <v>2467</v>
      </c>
      <c r="D4" s="3397"/>
      <c r="E4" s="3398" t="s">
        <v>2468</v>
      </c>
      <c r="F4" s="3399"/>
      <c r="G4" s="3396" t="s">
        <v>2469</v>
      </c>
      <c r="H4" s="3397"/>
      <c r="I4" s="3396" t="s">
        <v>2470</v>
      </c>
      <c r="J4" s="3397"/>
      <c r="K4" s="567" t="s">
        <v>2471</v>
      </c>
      <c r="L4" s="2943"/>
      <c r="M4" s="2944"/>
      <c r="N4" s="2944"/>
      <c r="O4" s="2944"/>
      <c r="P4" s="3519" t="s">
        <v>2472</v>
      </c>
      <c r="Q4" s="3520"/>
      <c r="R4" s="3516" t="s">
        <v>2468</v>
      </c>
      <c r="S4" s="3517"/>
      <c r="T4" s="3516" t="s">
        <v>2469</v>
      </c>
      <c r="U4" s="3517"/>
      <c r="V4" s="3409" t="s">
        <v>2470</v>
      </c>
      <c r="W4" s="3409"/>
      <c r="X4" s="1539"/>
      <c r="Y4" s="3516" t="s">
        <v>2472</v>
      </c>
      <c r="Z4" s="3517"/>
      <c r="AA4" s="3515" t="s">
        <v>2468</v>
      </c>
      <c r="AB4" s="3375" t="s">
        <v>2469</v>
      </c>
      <c r="AC4" s="3515" t="s">
        <v>2470</v>
      </c>
    </row>
    <row r="5" spans="1:29" ht="15">
      <c r="A5" s="364"/>
      <c r="B5" s="365"/>
      <c r="C5" s="3385" t="s">
        <v>2363</v>
      </c>
      <c r="D5" s="3386"/>
      <c r="E5" s="3518" t="s">
        <v>2364</v>
      </c>
      <c r="F5" s="3384"/>
      <c r="G5" s="3385" t="s">
        <v>2365</v>
      </c>
      <c r="H5" s="3386"/>
      <c r="I5" s="3385" t="s">
        <v>2366</v>
      </c>
      <c r="J5" s="3386"/>
      <c r="K5" s="567"/>
      <c r="L5" s="2943"/>
      <c r="M5" s="2944"/>
      <c r="N5" s="2944"/>
      <c r="O5" s="2944"/>
      <c r="P5" s="3521"/>
      <c r="Q5" s="3403"/>
      <c r="R5" s="3381"/>
      <c r="S5" s="3382"/>
      <c r="T5" s="3381"/>
      <c r="U5" s="3382"/>
      <c r="V5" s="3409"/>
      <c r="W5" s="3409"/>
      <c r="X5" s="1539"/>
      <c r="Y5" s="3381"/>
      <c r="Z5" s="3382"/>
      <c r="AA5" s="3375"/>
      <c r="AB5" s="3375"/>
      <c r="AC5" s="3375"/>
    </row>
    <row r="6" spans="1:29" ht="15.75" thickBot="1">
      <c r="A6" s="366"/>
      <c r="B6" s="367"/>
      <c r="C6" s="3387" t="s">
        <v>2367</v>
      </c>
      <c r="D6" s="3388"/>
      <c r="E6" s="3390" t="s">
        <v>2367</v>
      </c>
      <c r="F6" s="3391"/>
      <c r="G6" s="3387" t="s">
        <v>2367</v>
      </c>
      <c r="H6" s="3388"/>
      <c r="I6" s="3387" t="s">
        <v>2367</v>
      </c>
      <c r="J6" s="3388"/>
      <c r="K6" s="567" t="s">
        <v>2368</v>
      </c>
      <c r="L6" s="2943"/>
      <c r="M6" s="2944"/>
      <c r="N6" s="2944"/>
      <c r="O6" s="2944"/>
      <c r="P6" s="3522"/>
      <c r="Q6" s="3405"/>
      <c r="R6" s="3381"/>
      <c r="S6" s="3382"/>
      <c r="T6" s="3406"/>
      <c r="U6" s="3407"/>
      <c r="V6" s="3409"/>
      <c r="W6" s="3409"/>
      <c r="X6" s="1539"/>
      <c r="Y6" s="3406"/>
      <c r="Z6" s="3407"/>
      <c r="AA6" s="3376"/>
      <c r="AB6" s="3376"/>
      <c r="AC6" s="3376"/>
    </row>
    <row r="7" spans="1:29" s="113" customFormat="1" ht="15.75" thickBot="1">
      <c r="A7" s="368" t="s">
        <v>2369</v>
      </c>
      <c r="B7" s="369"/>
      <c r="C7" s="370">
        <f>'数据-取费表'!B2</f>
        <v>44396</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77" t="s">
        <v>2370</v>
      </c>
      <c r="Q7" s="3411"/>
      <c r="R7" s="710" t="s">
        <v>17</v>
      </c>
      <c r="S7" s="711">
        <f t="shared" ref="S7:S14" si="0">F7</f>
        <v>0</v>
      </c>
      <c r="T7" s="710" t="s">
        <v>17</v>
      </c>
      <c r="U7" s="711">
        <f t="shared" ref="U7:U14" si="1">H7</f>
        <v>0</v>
      </c>
      <c r="V7" s="710" t="s">
        <v>17</v>
      </c>
      <c r="W7" s="711">
        <f t="shared" ref="W7:W14" si="2">J7</f>
        <v>0</v>
      </c>
      <c r="X7" s="712"/>
      <c r="Y7" s="3377" t="s">
        <v>2370</v>
      </c>
      <c r="Z7" s="3378"/>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77" t="s">
        <v>2373</v>
      </c>
      <c r="Q8" s="3378"/>
      <c r="R8" s="710" t="s">
        <v>17</v>
      </c>
      <c r="S8" s="711">
        <f t="shared" si="0"/>
        <v>0</v>
      </c>
      <c r="T8" s="710" t="s">
        <v>17</v>
      </c>
      <c r="U8" s="711">
        <f t="shared" si="1"/>
        <v>0</v>
      </c>
      <c r="V8" s="710" t="s">
        <v>17</v>
      </c>
      <c r="W8" s="711">
        <f t="shared" si="2"/>
        <v>0</v>
      </c>
      <c r="X8" s="712"/>
      <c r="Y8" s="3377" t="s">
        <v>2373</v>
      </c>
      <c r="Z8" s="3378"/>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421" t="s">
        <v>2376</v>
      </c>
      <c r="Q9" s="1527" t="str">
        <f t="shared" ref="Q9:Q14" si="6">B9</f>
        <v>用途</v>
      </c>
      <c r="R9" s="710" t="s">
        <v>17</v>
      </c>
      <c r="S9" s="711">
        <f t="shared" si="0"/>
        <v>100</v>
      </c>
      <c r="T9" s="710" t="s">
        <v>17</v>
      </c>
      <c r="U9" s="711">
        <f t="shared" si="1"/>
        <v>100</v>
      </c>
      <c r="V9" s="710" t="s">
        <v>17</v>
      </c>
      <c r="W9" s="711">
        <f t="shared" si="2"/>
        <v>100</v>
      </c>
      <c r="X9" s="712"/>
      <c r="Y9" s="3350"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421"/>
      <c r="Q10" s="1527" t="str">
        <f t="shared" si="6"/>
        <v>土地使用年限（年）</v>
      </c>
      <c r="R10" s="710" t="s">
        <v>17</v>
      </c>
      <c r="S10" s="711">
        <f t="shared" si="0"/>
        <v>100</v>
      </c>
      <c r="T10" s="710" t="s">
        <v>17</v>
      </c>
      <c r="U10" s="711">
        <f t="shared" si="1"/>
        <v>100</v>
      </c>
      <c r="V10" s="710" t="s">
        <v>17</v>
      </c>
      <c r="W10" s="711">
        <f t="shared" si="2"/>
        <v>100</v>
      </c>
      <c r="X10" s="712"/>
      <c r="Y10" s="335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421"/>
      <c r="Q11" s="1527">
        <f t="shared" si="6"/>
        <v>111</v>
      </c>
      <c r="R11" s="710" t="s">
        <v>17</v>
      </c>
      <c r="S11" s="711">
        <f t="shared" si="0"/>
        <v>100</v>
      </c>
      <c r="T11" s="710" t="s">
        <v>17</v>
      </c>
      <c r="U11" s="711">
        <f t="shared" si="1"/>
        <v>100</v>
      </c>
      <c r="V11" s="710" t="s">
        <v>17</v>
      </c>
      <c r="W11" s="711">
        <f t="shared" si="2"/>
        <v>100</v>
      </c>
      <c r="X11" s="712"/>
      <c r="Y11" s="335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421"/>
      <c r="Q12" s="1527">
        <f t="shared" si="6"/>
        <v>111</v>
      </c>
      <c r="R12" s="710" t="s">
        <v>17</v>
      </c>
      <c r="S12" s="711">
        <f t="shared" si="0"/>
        <v>100</v>
      </c>
      <c r="T12" s="710" t="s">
        <v>17</v>
      </c>
      <c r="U12" s="711">
        <f t="shared" si="1"/>
        <v>100</v>
      </c>
      <c r="V12" s="710" t="s">
        <v>17</v>
      </c>
      <c r="W12" s="711">
        <f t="shared" si="2"/>
        <v>100</v>
      </c>
      <c r="X12" s="712"/>
      <c r="Y12" s="335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421"/>
      <c r="Q13" s="1527">
        <f t="shared" si="6"/>
        <v>111</v>
      </c>
      <c r="R13" s="710" t="s">
        <v>17</v>
      </c>
      <c r="S13" s="711">
        <f t="shared" si="0"/>
        <v>100</v>
      </c>
      <c r="T13" s="710" t="s">
        <v>17</v>
      </c>
      <c r="U13" s="711">
        <f t="shared" si="1"/>
        <v>100</v>
      </c>
      <c r="V13" s="710" t="s">
        <v>17</v>
      </c>
      <c r="W13" s="711">
        <f t="shared" si="2"/>
        <v>100</v>
      </c>
      <c r="X13" s="712"/>
      <c r="Y13" s="3350"/>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414" t="s">
        <v>2381</v>
      </c>
      <c r="Q14" s="1536" t="str">
        <f t="shared" si="6"/>
        <v>交通便捷度</v>
      </c>
      <c r="R14" s="714" t="s">
        <v>17</v>
      </c>
      <c r="S14" s="715">
        <f t="shared" si="0"/>
        <v>100</v>
      </c>
      <c r="T14" s="714" t="s">
        <v>17</v>
      </c>
      <c r="U14" s="715">
        <f t="shared" si="1"/>
        <v>100</v>
      </c>
      <c r="V14" s="714" t="s">
        <v>17</v>
      </c>
      <c r="W14" s="715">
        <f t="shared" si="2"/>
        <v>100</v>
      </c>
      <c r="X14" s="1539"/>
      <c r="Y14" s="3414"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0"/>
      <c r="M15" s="2944"/>
      <c r="N15" s="2944"/>
      <c r="O15" s="2944"/>
      <c r="P15" s="3415"/>
      <c r="Q15" s="1536"/>
      <c r="R15" s="714"/>
      <c r="S15" s="715"/>
      <c r="T15" s="714"/>
      <c r="U15" s="715"/>
      <c r="V15" s="714"/>
      <c r="W15" s="715"/>
      <c r="X15" s="1539"/>
      <c r="Y15" s="3415"/>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415"/>
      <c r="Q16" s="1536" t="str">
        <f>B16</f>
        <v>公共配套设施</v>
      </c>
      <c r="R16" s="714" t="s">
        <v>17</v>
      </c>
      <c r="S16" s="715">
        <f>F16</f>
        <v>100</v>
      </c>
      <c r="T16" s="714" t="s">
        <v>17</v>
      </c>
      <c r="U16" s="715">
        <f>H16</f>
        <v>100</v>
      </c>
      <c r="V16" s="714" t="s">
        <v>17</v>
      </c>
      <c r="W16" s="715">
        <f>J16</f>
        <v>100</v>
      </c>
      <c r="X16" s="1539"/>
      <c r="Y16" s="3415"/>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0"/>
      <c r="M17" s="2944"/>
      <c r="N17" s="2944"/>
      <c r="O17" s="2944"/>
      <c r="P17" s="3415"/>
      <c r="Q17" s="1536"/>
      <c r="R17" s="714"/>
      <c r="S17" s="715"/>
      <c r="T17" s="714"/>
      <c r="U17" s="715"/>
      <c r="V17" s="714"/>
      <c r="W17" s="715"/>
      <c r="X17" s="1539"/>
      <c r="Y17" s="3415"/>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415"/>
      <c r="Q18" s="1536" t="str">
        <f>B18</f>
        <v>基础设施水平</v>
      </c>
      <c r="R18" s="714" t="s">
        <v>17</v>
      </c>
      <c r="S18" s="715">
        <f>F18</f>
        <v>100</v>
      </c>
      <c r="T18" s="714" t="s">
        <v>17</v>
      </c>
      <c r="U18" s="715">
        <f>H18</f>
        <v>100</v>
      </c>
      <c r="V18" s="714" t="s">
        <v>17</v>
      </c>
      <c r="W18" s="715">
        <f>J18</f>
        <v>100</v>
      </c>
      <c r="X18" s="1539"/>
      <c r="Y18" s="3415"/>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0"/>
      <c r="M19" s="2944"/>
      <c r="N19" s="2944"/>
      <c r="O19" s="2944"/>
      <c r="P19" s="3415"/>
      <c r="Q19" s="1536"/>
      <c r="R19" s="714"/>
      <c r="S19" s="715"/>
      <c r="T19" s="714"/>
      <c r="U19" s="715"/>
      <c r="V19" s="714"/>
      <c r="W19" s="715"/>
      <c r="X19" s="1539"/>
      <c r="Y19" s="3415"/>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415"/>
      <c r="Q20" s="1536" t="str">
        <f>B20</f>
        <v>自然及人文环境</v>
      </c>
      <c r="R20" s="714" t="s">
        <v>17</v>
      </c>
      <c r="S20" s="715">
        <f>F20</f>
        <v>100</v>
      </c>
      <c r="T20" s="714" t="s">
        <v>17</v>
      </c>
      <c r="U20" s="715">
        <f>H20</f>
        <v>100</v>
      </c>
      <c r="V20" s="714" t="s">
        <v>17</v>
      </c>
      <c r="W20" s="715">
        <f>J20</f>
        <v>100</v>
      </c>
      <c r="X20" s="1539"/>
      <c r="Y20" s="3415"/>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0"/>
      <c r="M21" s="2944"/>
      <c r="N21" s="2944"/>
      <c r="O21" s="2944"/>
      <c r="P21" s="3415"/>
      <c r="Q21" s="1536"/>
      <c r="R21" s="714"/>
      <c r="S21" s="715"/>
      <c r="T21" s="714"/>
      <c r="U21" s="715"/>
      <c r="V21" s="714"/>
      <c r="W21" s="715"/>
      <c r="X21" s="1539"/>
      <c r="Y21" s="3415"/>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415"/>
      <c r="Q22" s="1536" t="str">
        <f>B22</f>
        <v>楼层</v>
      </c>
      <c r="R22" s="714" t="s">
        <v>17</v>
      </c>
      <c r="S22" s="715">
        <f>F22</f>
        <v>100</v>
      </c>
      <c r="T22" s="714" t="s">
        <v>17</v>
      </c>
      <c r="U22" s="715">
        <f>H22</f>
        <v>100</v>
      </c>
      <c r="V22" s="714" t="s">
        <v>17</v>
      </c>
      <c r="W22" s="715">
        <f>J22</f>
        <v>100</v>
      </c>
      <c r="X22" s="1539"/>
      <c r="Y22" s="3415"/>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415"/>
      <c r="Q23" s="1536">
        <f>B23</f>
        <v>111</v>
      </c>
      <c r="R23" s="714" t="s">
        <v>17</v>
      </c>
      <c r="S23" s="715">
        <f>F23</f>
        <v>100</v>
      </c>
      <c r="T23" s="714" t="s">
        <v>17</v>
      </c>
      <c r="U23" s="715">
        <f>H23</f>
        <v>100</v>
      </c>
      <c r="V23" s="714" t="s">
        <v>17</v>
      </c>
      <c r="W23" s="715">
        <f>J23</f>
        <v>100</v>
      </c>
      <c r="X23" s="1539"/>
      <c r="Y23" s="3415"/>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415"/>
      <c r="Q24" s="1536">
        <f t="shared" ref="Q24:Q36" si="11">B24</f>
        <v>111</v>
      </c>
      <c r="R24" s="714" t="s">
        <v>17</v>
      </c>
      <c r="S24" s="715">
        <f>F24</f>
        <v>100</v>
      </c>
      <c r="T24" s="714" t="s">
        <v>17</v>
      </c>
      <c r="U24" s="715">
        <f>H24</f>
        <v>100</v>
      </c>
      <c r="V24" s="714" t="s">
        <v>17</v>
      </c>
      <c r="W24" s="715">
        <f>J24</f>
        <v>100</v>
      </c>
      <c r="X24" s="1539"/>
      <c r="Y24" s="3415"/>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415"/>
      <c r="Q25" s="1527">
        <f t="shared" si="11"/>
        <v>111</v>
      </c>
      <c r="R25" s="710" t="s">
        <v>17</v>
      </c>
      <c r="S25" s="711">
        <f>F25</f>
        <v>100</v>
      </c>
      <c r="T25" s="710" t="s">
        <v>17</v>
      </c>
      <c r="U25" s="711">
        <f>H25</f>
        <v>100</v>
      </c>
      <c r="V25" s="710" t="s">
        <v>17</v>
      </c>
      <c r="W25" s="711">
        <f>J25</f>
        <v>100</v>
      </c>
      <c r="X25" s="712"/>
      <c r="Y25" s="3415"/>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526"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419"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419"/>
      <c r="Q27" s="716" t="str">
        <f t="shared" si="11"/>
        <v>项目停车位配比</v>
      </c>
      <c r="R27" s="717" t="s">
        <v>17</v>
      </c>
      <c r="S27" s="718">
        <f t="shared" si="12"/>
        <v>100</v>
      </c>
      <c r="T27" s="717" t="s">
        <v>17</v>
      </c>
      <c r="U27" s="718">
        <f t="shared" si="13"/>
        <v>100</v>
      </c>
      <c r="V27" s="717" t="s">
        <v>17</v>
      </c>
      <c r="W27" s="718">
        <f t="shared" si="14"/>
        <v>100</v>
      </c>
      <c r="X27" s="719"/>
      <c r="Y27" s="3419"/>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419"/>
      <c r="Q28" s="1536" t="str">
        <f t="shared" si="11"/>
        <v>公共部分装修</v>
      </c>
      <c r="R28" s="714" t="s">
        <v>17</v>
      </c>
      <c r="S28" s="715">
        <f t="shared" si="12"/>
        <v>100</v>
      </c>
      <c r="T28" s="714" t="s">
        <v>17</v>
      </c>
      <c r="U28" s="715">
        <f t="shared" si="13"/>
        <v>100</v>
      </c>
      <c r="V28" s="714" t="s">
        <v>17</v>
      </c>
      <c r="W28" s="715">
        <f t="shared" si="14"/>
        <v>100</v>
      </c>
      <c r="X28" s="1539"/>
      <c r="Y28" s="3419"/>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419"/>
      <c r="Q29" s="1536" t="str">
        <f t="shared" si="11"/>
        <v>成新率</v>
      </c>
      <c r="R29" s="714" t="s">
        <v>17</v>
      </c>
      <c r="S29" s="715" t="e">
        <f t="shared" si="12"/>
        <v>#N/A</v>
      </c>
      <c r="T29" s="714" t="s">
        <v>17</v>
      </c>
      <c r="U29" s="715" t="e">
        <f t="shared" si="13"/>
        <v>#N/A</v>
      </c>
      <c r="V29" s="714" t="s">
        <v>17</v>
      </c>
      <c r="W29" s="715" t="e">
        <f t="shared" si="14"/>
        <v>#N/A</v>
      </c>
      <c r="X29" s="1539"/>
      <c r="Y29" s="3419"/>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419"/>
      <c r="Q30" s="1536" t="str">
        <f t="shared" si="11"/>
        <v>物业等级</v>
      </c>
      <c r="R30" s="714" t="s">
        <v>17</v>
      </c>
      <c r="S30" s="715">
        <f t="shared" si="12"/>
        <v>100</v>
      </c>
      <c r="T30" s="714" t="s">
        <v>17</v>
      </c>
      <c r="U30" s="715">
        <f t="shared" si="13"/>
        <v>100</v>
      </c>
      <c r="V30" s="714" t="s">
        <v>17</v>
      </c>
      <c r="W30" s="715">
        <f t="shared" si="14"/>
        <v>100</v>
      </c>
      <c r="X30" s="1539"/>
      <c r="Y30" s="3419"/>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419"/>
      <c r="Q31" s="1527" t="str">
        <f t="shared" si="11"/>
        <v>停车位面积</v>
      </c>
      <c r="R31" s="710" t="s">
        <v>17</v>
      </c>
      <c r="S31" s="711" t="e">
        <f t="shared" si="12"/>
        <v>#N/A</v>
      </c>
      <c r="T31" s="710" t="s">
        <v>17</v>
      </c>
      <c r="U31" s="711" t="e">
        <f t="shared" si="13"/>
        <v>#N/A</v>
      </c>
      <c r="V31" s="710" t="s">
        <v>17</v>
      </c>
      <c r="W31" s="711" t="e">
        <f t="shared" si="14"/>
        <v>#N/A</v>
      </c>
      <c r="X31" s="712"/>
      <c r="Y31" s="3419"/>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419" t="s">
        <v>2386</v>
      </c>
      <c r="Q32" s="1536" t="str">
        <f t="shared" si="11"/>
        <v>车位类型</v>
      </c>
      <c r="R32" s="714" t="s">
        <v>17</v>
      </c>
      <c r="S32" s="715">
        <f t="shared" si="12"/>
        <v>100</v>
      </c>
      <c r="T32" s="714" t="s">
        <v>17</v>
      </c>
      <c r="U32" s="715">
        <f t="shared" si="13"/>
        <v>100</v>
      </c>
      <c r="V32" s="714" t="s">
        <v>17</v>
      </c>
      <c r="W32" s="715">
        <f t="shared" si="14"/>
        <v>100</v>
      </c>
      <c r="X32" s="1539"/>
      <c r="Y32" s="3419"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419"/>
      <c r="Q33" s="1536" t="str">
        <f t="shared" si="11"/>
        <v>是否直接入户</v>
      </c>
      <c r="R33" s="714" t="s">
        <v>17</v>
      </c>
      <c r="S33" s="715">
        <f t="shared" si="12"/>
        <v>100</v>
      </c>
      <c r="T33" s="714" t="s">
        <v>17</v>
      </c>
      <c r="U33" s="715">
        <f t="shared" si="13"/>
        <v>100</v>
      </c>
      <c r="V33" s="714" t="s">
        <v>17</v>
      </c>
      <c r="W33" s="715">
        <f t="shared" si="14"/>
        <v>100</v>
      </c>
      <c r="X33" s="1539"/>
      <c r="Y33" s="3419"/>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419"/>
      <c r="Q34" s="1536">
        <f t="shared" si="11"/>
        <v>111</v>
      </c>
      <c r="R34" s="714" t="s">
        <v>17</v>
      </c>
      <c r="S34" s="715">
        <f t="shared" si="12"/>
        <v>100</v>
      </c>
      <c r="T34" s="714" t="s">
        <v>17</v>
      </c>
      <c r="U34" s="715">
        <f t="shared" si="13"/>
        <v>100</v>
      </c>
      <c r="V34" s="714" t="s">
        <v>17</v>
      </c>
      <c r="W34" s="715">
        <f t="shared" si="14"/>
        <v>100</v>
      </c>
      <c r="X34" s="1539"/>
      <c r="Y34" s="3419"/>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419"/>
      <c r="Q35" s="716">
        <f t="shared" si="11"/>
        <v>111</v>
      </c>
      <c r="R35" s="717" t="s">
        <v>17</v>
      </c>
      <c r="S35" s="718">
        <f t="shared" si="12"/>
        <v>100</v>
      </c>
      <c r="T35" s="717" t="s">
        <v>17</v>
      </c>
      <c r="U35" s="718">
        <f t="shared" si="13"/>
        <v>100</v>
      </c>
      <c r="V35" s="717" t="s">
        <v>17</v>
      </c>
      <c r="W35" s="718">
        <f t="shared" si="14"/>
        <v>100</v>
      </c>
      <c r="X35" s="719"/>
      <c r="Y35" s="3419"/>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419"/>
      <c r="Q36" s="1536">
        <f t="shared" si="11"/>
        <v>111</v>
      </c>
      <c r="R36" s="714" t="s">
        <v>17</v>
      </c>
      <c r="S36" s="715">
        <f t="shared" si="12"/>
        <v>100</v>
      </c>
      <c r="T36" s="714" t="s">
        <v>17</v>
      </c>
      <c r="U36" s="715">
        <f t="shared" si="13"/>
        <v>100</v>
      </c>
      <c r="V36" s="714" t="s">
        <v>17</v>
      </c>
      <c r="W36" s="715">
        <f t="shared" si="14"/>
        <v>100</v>
      </c>
      <c r="X36" s="1539"/>
      <c r="Y36" s="3419"/>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2"/>
      <c r="M37" s="2953"/>
      <c r="N37" s="2944"/>
      <c r="O37" s="2953"/>
      <c r="P37" s="3421" t="str">
        <f>A37</f>
        <v>成交单价</v>
      </c>
      <c r="Q37" s="3421"/>
      <c r="R37" s="3422">
        <f>E37</f>
        <v>0</v>
      </c>
      <c r="S37" s="3422"/>
      <c r="T37" s="3422">
        <f>G37</f>
        <v>0</v>
      </c>
      <c r="U37" s="3422"/>
      <c r="V37" s="3422">
        <f>I37</f>
        <v>0</v>
      </c>
      <c r="W37" s="3422"/>
      <c r="X37" s="699"/>
      <c r="Y37" s="721"/>
      <c r="Z37" s="699"/>
      <c r="AA37" s="699"/>
      <c r="AB37" s="699"/>
      <c r="AC37" s="699"/>
    </row>
    <row r="38" spans="1:29" ht="15.75" thickBot="1">
      <c r="A38" s="445" t="s">
        <v>2543</v>
      </c>
      <c r="B38" s="446" t="str">
        <f>B37</f>
        <v>元/车位</v>
      </c>
      <c r="C38" s="1322" t="e">
        <f>R39</f>
        <v>#DIV/0!</v>
      </c>
      <c r="D38" s="2538" t="s">
        <v>2879</v>
      </c>
      <c r="E38" s="1323" t="e">
        <f>R38</f>
        <v>#DIV/0!</v>
      </c>
      <c r="F38" s="2539"/>
      <c r="G38" s="1322" t="e">
        <f>T38</f>
        <v>#DIV/0!</v>
      </c>
      <c r="H38" s="2539"/>
      <c r="I38" s="1323" t="e">
        <f>V38</f>
        <v>#DIV/0!</v>
      </c>
      <c r="J38" s="2539"/>
      <c r="K38" s="2541">
        <f>F38+H38+J38</f>
        <v>0</v>
      </c>
      <c r="L38" s="2952"/>
      <c r="M38" s="2953"/>
      <c r="N38" s="2953"/>
      <c r="O38" s="2953"/>
      <c r="P38" s="3421" t="str">
        <f>A38</f>
        <v>比较价值（元/平方米）</v>
      </c>
      <c r="Q38" s="3421"/>
      <c r="R38" s="3422" t="e">
        <f>IF(F1="售价",ROUND(PRODUCT(R37,AA7:AA36),0),ROUND(PRODUCT(R37,AA7:AA36),1))</f>
        <v>#DIV/0!</v>
      </c>
      <c r="S38" s="3422"/>
      <c r="T38" s="3422" t="e">
        <f>IF(F1="售价",ROUND(PRODUCT(T37,AB7:AB36),0),ROUND(PRODUCT(T37,AB7:AB36),1))</f>
        <v>#DIV/0!</v>
      </c>
      <c r="U38" s="3422"/>
      <c r="V38" s="3422" t="e">
        <f>IF(F1="售价",ROUND(PRODUCT(V37,AC7:AC36),0),ROUND(PRODUCT(V37,AC7:AC36),1))</f>
        <v>#DIV/0!</v>
      </c>
      <c r="W38" s="3422"/>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2"/>
      <c r="M39" s="2953"/>
      <c r="N39" s="2953"/>
      <c r="O39" s="2953"/>
      <c r="P39" s="3523" t="str">
        <f>A39</f>
        <v>估价对象XX用房的比较价值（楼面单价，元/平方米）</v>
      </c>
      <c r="Q39" s="3524"/>
      <c r="R39" s="3527" t="e">
        <f>IF(F1="售价",ROUND(IF(D38="简单平均",AVERAGE(R38:W38),R38*F38+T38*H38+V38*J38),0),ROUND(IF(D38="简单平均",AVERAGE(R38:V38),R38*F38+T38*H38+V38*J38),1))</f>
        <v>#DIV/0!</v>
      </c>
      <c r="S39" s="3527"/>
      <c r="T39" s="3527"/>
      <c r="U39" s="3527"/>
      <c r="V39" s="3527"/>
      <c r="W39" s="3527"/>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2548</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2549</v>
      </c>
      <c r="B48" s="463"/>
      <c r="C48" s="1346" t="str">
        <f>YEAR(C7)&amp;"-"&amp;MONTH(C7)</f>
        <v>2021-7</v>
      </c>
      <c r="D48" s="1347">
        <f>EDATE(C48,-1)</f>
        <v>44348</v>
      </c>
      <c r="E48" s="1347">
        <f t="shared" ref="E48:O48" si="16">EDATE(D48,-1)</f>
        <v>44317</v>
      </c>
      <c r="F48" s="1347">
        <f t="shared" si="16"/>
        <v>44287</v>
      </c>
      <c r="G48" s="1347">
        <f t="shared" si="16"/>
        <v>44256</v>
      </c>
      <c r="H48" s="1347">
        <f t="shared" si="16"/>
        <v>44228</v>
      </c>
      <c r="I48" s="1347">
        <f t="shared" si="16"/>
        <v>44197</v>
      </c>
      <c r="J48" s="1347">
        <f t="shared" si="16"/>
        <v>44166</v>
      </c>
      <c r="K48" s="1347">
        <f t="shared" si="16"/>
        <v>44136</v>
      </c>
      <c r="L48" s="1347">
        <f t="shared" si="16"/>
        <v>44105</v>
      </c>
      <c r="M48" s="1347">
        <f t="shared" si="16"/>
        <v>44075</v>
      </c>
      <c r="N48" s="1347">
        <f t="shared" si="16"/>
        <v>44044</v>
      </c>
      <c r="O48" s="1347">
        <f t="shared" si="16"/>
        <v>44013</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2"/>
      <c r="O74" s="2982"/>
      <c r="P74" s="2990"/>
      <c r="Q74" s="2967"/>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2"/>
      <c r="O76" s="2982"/>
      <c r="P76" s="2990"/>
      <c r="Q76" s="2967"/>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2552</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96" t="s">
        <v>2467</v>
      </c>
      <c r="D4" s="3397"/>
      <c r="E4" s="3398" t="s">
        <v>2468</v>
      </c>
      <c r="F4" s="3399"/>
      <c r="G4" s="3396" t="s">
        <v>2469</v>
      </c>
      <c r="H4" s="3397"/>
      <c r="I4" s="3396" t="s">
        <v>2470</v>
      </c>
      <c r="J4" s="3397"/>
      <c r="K4" s="567" t="s">
        <v>2471</v>
      </c>
      <c r="L4" s="2943"/>
      <c r="M4" s="2944"/>
      <c r="N4" s="2944"/>
      <c r="O4" s="2944"/>
      <c r="P4" s="3519" t="s">
        <v>2472</v>
      </c>
      <c r="Q4" s="3520"/>
      <c r="R4" s="3516" t="s">
        <v>2468</v>
      </c>
      <c r="S4" s="3517"/>
      <c r="T4" s="3516" t="s">
        <v>2469</v>
      </c>
      <c r="U4" s="3517"/>
      <c r="V4" s="3409" t="s">
        <v>2470</v>
      </c>
      <c r="W4" s="3409"/>
      <c r="X4" s="1539"/>
      <c r="Y4" s="3516" t="s">
        <v>2472</v>
      </c>
      <c r="Z4" s="3517"/>
      <c r="AA4" s="3515" t="s">
        <v>2468</v>
      </c>
      <c r="AB4" s="3375" t="s">
        <v>2469</v>
      </c>
      <c r="AC4" s="3515" t="s">
        <v>2470</v>
      </c>
    </row>
    <row r="5" spans="1:29" ht="15">
      <c r="A5" s="364"/>
      <c r="B5" s="365"/>
      <c r="C5" s="3385" t="s">
        <v>2363</v>
      </c>
      <c r="D5" s="3386"/>
      <c r="E5" s="3518" t="s">
        <v>2364</v>
      </c>
      <c r="F5" s="3384"/>
      <c r="G5" s="3385" t="s">
        <v>2365</v>
      </c>
      <c r="H5" s="3386"/>
      <c r="I5" s="3385" t="s">
        <v>2366</v>
      </c>
      <c r="J5" s="3386"/>
      <c r="K5" s="567"/>
      <c r="L5" s="2943"/>
      <c r="M5" s="2944"/>
      <c r="N5" s="2944"/>
      <c r="O5" s="2944"/>
      <c r="P5" s="3521"/>
      <c r="Q5" s="3403"/>
      <c r="R5" s="3381"/>
      <c r="S5" s="3382"/>
      <c r="T5" s="3381"/>
      <c r="U5" s="3382"/>
      <c r="V5" s="3409"/>
      <c r="W5" s="3409"/>
      <c r="X5" s="1539"/>
      <c r="Y5" s="3381"/>
      <c r="Z5" s="3382"/>
      <c r="AA5" s="3375"/>
      <c r="AB5" s="3375"/>
      <c r="AC5" s="3375"/>
    </row>
    <row r="6" spans="1:29" ht="15.75" thickBot="1">
      <c r="A6" s="366"/>
      <c r="B6" s="367"/>
      <c r="C6" s="3387" t="s">
        <v>2367</v>
      </c>
      <c r="D6" s="3388"/>
      <c r="E6" s="3390" t="s">
        <v>2367</v>
      </c>
      <c r="F6" s="3391"/>
      <c r="G6" s="3387" t="s">
        <v>2367</v>
      </c>
      <c r="H6" s="3388"/>
      <c r="I6" s="3387" t="s">
        <v>2367</v>
      </c>
      <c r="J6" s="3388"/>
      <c r="K6" s="567" t="s">
        <v>2368</v>
      </c>
      <c r="L6" s="2943"/>
      <c r="M6" s="2944"/>
      <c r="N6" s="2944"/>
      <c r="O6" s="2944"/>
      <c r="P6" s="3522"/>
      <c r="Q6" s="3405"/>
      <c r="R6" s="3381"/>
      <c r="S6" s="3382"/>
      <c r="T6" s="3406"/>
      <c r="U6" s="3407"/>
      <c r="V6" s="3409"/>
      <c r="W6" s="3409"/>
      <c r="X6" s="1539"/>
      <c r="Y6" s="3406"/>
      <c r="Z6" s="3407"/>
      <c r="AA6" s="3376"/>
      <c r="AB6" s="3376"/>
      <c r="AC6" s="3376"/>
    </row>
    <row r="7" spans="1:29" s="113" customFormat="1" ht="15.75" thickBot="1">
      <c r="A7" s="368" t="s">
        <v>2369</v>
      </c>
      <c r="B7" s="369"/>
      <c r="C7" s="370">
        <f>'数据-取费表'!B2</f>
        <v>44396</v>
      </c>
      <c r="D7" s="371">
        <v>100</v>
      </c>
      <c r="E7" s="372"/>
      <c r="F7" s="373">
        <f>SUMIF(46:46,YEAR(E7)&amp;"-"&amp;MONTH(E7),47:47)</f>
        <v>0</v>
      </c>
      <c r="G7" s="2160"/>
      <c r="H7" s="371">
        <f>SUMIF(46:46,YEAR(G7)&amp;"-"&amp;MONTH(G7),47:47)</f>
        <v>0</v>
      </c>
      <c r="I7" s="372"/>
      <c r="J7" s="371">
        <f>SUMIF(46:46,YEAR(I7)&amp;"-"&amp;MONTH(I7),47:47)</f>
        <v>0</v>
      </c>
      <c r="K7" s="568"/>
      <c r="L7" s="2945"/>
      <c r="M7" s="2946"/>
      <c r="N7" s="2946"/>
      <c r="O7" s="2946"/>
      <c r="P7" s="3377" t="s">
        <v>2370</v>
      </c>
      <c r="Q7" s="3411"/>
      <c r="R7" s="710" t="s">
        <v>17</v>
      </c>
      <c r="S7" s="711">
        <f t="shared" ref="S7:S14" si="0">F7</f>
        <v>0</v>
      </c>
      <c r="T7" s="710" t="s">
        <v>17</v>
      </c>
      <c r="U7" s="711">
        <f t="shared" ref="U7:U14" si="1">H7</f>
        <v>0</v>
      </c>
      <c r="V7" s="710" t="s">
        <v>17</v>
      </c>
      <c r="W7" s="711">
        <f t="shared" ref="W7:W14" si="2">J7</f>
        <v>0</v>
      </c>
      <c r="X7" s="712"/>
      <c r="Y7" s="3377" t="s">
        <v>2370</v>
      </c>
      <c r="Z7" s="3378"/>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77" t="s">
        <v>2373</v>
      </c>
      <c r="Q8" s="3378"/>
      <c r="R8" s="710" t="s">
        <v>17</v>
      </c>
      <c r="S8" s="711">
        <f t="shared" si="0"/>
        <v>0</v>
      </c>
      <c r="T8" s="710" t="s">
        <v>17</v>
      </c>
      <c r="U8" s="711">
        <f t="shared" si="1"/>
        <v>0</v>
      </c>
      <c r="V8" s="710" t="s">
        <v>17</v>
      </c>
      <c r="W8" s="711">
        <f t="shared" si="2"/>
        <v>0</v>
      </c>
      <c r="X8" s="712"/>
      <c r="Y8" s="3377" t="s">
        <v>2373</v>
      </c>
      <c r="Z8" s="3378"/>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421" t="s">
        <v>2376</v>
      </c>
      <c r="Q9" s="1527" t="str">
        <f t="shared" ref="Q9:Q14" si="6">B9</f>
        <v>用途</v>
      </c>
      <c r="R9" s="710" t="s">
        <v>17</v>
      </c>
      <c r="S9" s="711">
        <f t="shared" si="0"/>
        <v>100</v>
      </c>
      <c r="T9" s="710" t="s">
        <v>17</v>
      </c>
      <c r="U9" s="711">
        <f t="shared" si="1"/>
        <v>100</v>
      </c>
      <c r="V9" s="710" t="s">
        <v>17</v>
      </c>
      <c r="W9" s="711">
        <f t="shared" si="2"/>
        <v>100</v>
      </c>
      <c r="X9" s="712"/>
      <c r="Y9" s="3350"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421"/>
      <c r="Q10" s="1527" t="str">
        <f t="shared" si="6"/>
        <v>土地使用年限（年）</v>
      </c>
      <c r="R10" s="710" t="s">
        <v>17</v>
      </c>
      <c r="S10" s="711">
        <f t="shared" si="0"/>
        <v>100</v>
      </c>
      <c r="T10" s="710" t="s">
        <v>17</v>
      </c>
      <c r="U10" s="711">
        <f t="shared" si="1"/>
        <v>100</v>
      </c>
      <c r="V10" s="710" t="s">
        <v>17</v>
      </c>
      <c r="W10" s="711">
        <f t="shared" si="2"/>
        <v>100</v>
      </c>
      <c r="X10" s="712"/>
      <c r="Y10" s="3350"/>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421"/>
      <c r="Q11" s="1527">
        <f t="shared" si="6"/>
        <v>111</v>
      </c>
      <c r="R11" s="710" t="s">
        <v>17</v>
      </c>
      <c r="S11" s="711">
        <f t="shared" si="0"/>
        <v>100</v>
      </c>
      <c r="T11" s="710" t="s">
        <v>17</v>
      </c>
      <c r="U11" s="711">
        <f t="shared" si="1"/>
        <v>100</v>
      </c>
      <c r="V11" s="710" t="s">
        <v>17</v>
      </c>
      <c r="W11" s="711">
        <f t="shared" si="2"/>
        <v>100</v>
      </c>
      <c r="X11" s="712"/>
      <c r="Y11" s="3350"/>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421"/>
      <c r="Q12" s="1527">
        <f t="shared" si="6"/>
        <v>111</v>
      </c>
      <c r="R12" s="710" t="s">
        <v>17</v>
      </c>
      <c r="S12" s="711">
        <f t="shared" si="0"/>
        <v>100</v>
      </c>
      <c r="T12" s="710" t="s">
        <v>17</v>
      </c>
      <c r="U12" s="711">
        <f t="shared" si="1"/>
        <v>100</v>
      </c>
      <c r="V12" s="710" t="s">
        <v>17</v>
      </c>
      <c r="W12" s="711">
        <f t="shared" si="2"/>
        <v>100</v>
      </c>
      <c r="X12" s="712"/>
      <c r="Y12" s="3350"/>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0"/>
      <c r="M13" s="2944"/>
      <c r="N13" s="2944"/>
      <c r="O13" s="3002"/>
      <c r="P13" s="3421"/>
      <c r="Q13" s="1527">
        <f t="shared" si="6"/>
        <v>111</v>
      </c>
      <c r="R13" s="710" t="s">
        <v>17</v>
      </c>
      <c r="S13" s="711">
        <f t="shared" si="0"/>
        <v>100</v>
      </c>
      <c r="T13" s="710" t="s">
        <v>17</v>
      </c>
      <c r="U13" s="711">
        <f t="shared" si="1"/>
        <v>100</v>
      </c>
      <c r="V13" s="710" t="s">
        <v>17</v>
      </c>
      <c r="W13" s="711">
        <f t="shared" si="2"/>
        <v>100</v>
      </c>
      <c r="X13" s="712"/>
      <c r="Y13" s="3350"/>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414" t="s">
        <v>2381</v>
      </c>
      <c r="Q14" s="1536" t="str">
        <f t="shared" si="6"/>
        <v>交通便捷度</v>
      </c>
      <c r="R14" s="714" t="s">
        <v>17</v>
      </c>
      <c r="S14" s="715">
        <f t="shared" si="0"/>
        <v>100</v>
      </c>
      <c r="T14" s="714" t="s">
        <v>17</v>
      </c>
      <c r="U14" s="715">
        <f t="shared" si="1"/>
        <v>100</v>
      </c>
      <c r="V14" s="714" t="s">
        <v>17</v>
      </c>
      <c r="W14" s="715">
        <f t="shared" si="2"/>
        <v>100</v>
      </c>
      <c r="X14" s="1539"/>
      <c r="Y14" s="3414"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0"/>
      <c r="M15" s="2944"/>
      <c r="N15" s="2944"/>
      <c r="O15" s="3002"/>
      <c r="P15" s="3415"/>
      <c r="Q15" s="1536"/>
      <c r="R15" s="714"/>
      <c r="S15" s="715"/>
      <c r="T15" s="714"/>
      <c r="U15" s="715"/>
      <c r="V15" s="714"/>
      <c r="W15" s="715"/>
      <c r="X15" s="1539"/>
      <c r="Y15" s="3415"/>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415"/>
      <c r="Q16" s="1536" t="str">
        <f>B16</f>
        <v>公共配套设施</v>
      </c>
      <c r="R16" s="714" t="s">
        <v>17</v>
      </c>
      <c r="S16" s="715">
        <f>F16</f>
        <v>100</v>
      </c>
      <c r="T16" s="714" t="s">
        <v>17</v>
      </c>
      <c r="U16" s="715">
        <f>H16</f>
        <v>100</v>
      </c>
      <c r="V16" s="714" t="s">
        <v>17</v>
      </c>
      <c r="W16" s="715">
        <f>J16</f>
        <v>100</v>
      </c>
      <c r="X16" s="1539"/>
      <c r="Y16" s="3415"/>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0"/>
      <c r="M17" s="2944"/>
      <c r="N17" s="2944"/>
      <c r="O17" s="3002"/>
      <c r="P17" s="3415"/>
      <c r="Q17" s="1536"/>
      <c r="R17" s="714"/>
      <c r="S17" s="715"/>
      <c r="T17" s="714"/>
      <c r="U17" s="715"/>
      <c r="V17" s="714"/>
      <c r="W17" s="715"/>
      <c r="X17" s="1539"/>
      <c r="Y17" s="3415"/>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415"/>
      <c r="Q18" s="1536" t="str">
        <f>B18</f>
        <v>基础设施水平</v>
      </c>
      <c r="R18" s="714" t="s">
        <v>17</v>
      </c>
      <c r="S18" s="715">
        <f>F18</f>
        <v>100</v>
      </c>
      <c r="T18" s="714" t="s">
        <v>17</v>
      </c>
      <c r="U18" s="715">
        <f>H18</f>
        <v>100</v>
      </c>
      <c r="V18" s="714" t="s">
        <v>17</v>
      </c>
      <c r="W18" s="715">
        <f>J18</f>
        <v>100</v>
      </c>
      <c r="X18" s="1539"/>
      <c r="Y18" s="3415"/>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0"/>
      <c r="M19" s="2944"/>
      <c r="N19" s="2944"/>
      <c r="O19" s="3002"/>
      <c r="P19" s="3415"/>
      <c r="Q19" s="1536"/>
      <c r="R19" s="714"/>
      <c r="S19" s="715"/>
      <c r="T19" s="714"/>
      <c r="U19" s="715"/>
      <c r="V19" s="714"/>
      <c r="W19" s="715"/>
      <c r="X19" s="1539"/>
      <c r="Y19" s="3415"/>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415"/>
      <c r="Q20" s="1536" t="str">
        <f>B20</f>
        <v>自然及人文环境</v>
      </c>
      <c r="R20" s="714" t="s">
        <v>17</v>
      </c>
      <c r="S20" s="715">
        <f>F20</f>
        <v>100</v>
      </c>
      <c r="T20" s="714" t="s">
        <v>17</v>
      </c>
      <c r="U20" s="715">
        <f>H20</f>
        <v>100</v>
      </c>
      <c r="V20" s="714" t="s">
        <v>17</v>
      </c>
      <c r="W20" s="715">
        <f>J20</f>
        <v>100</v>
      </c>
      <c r="X20" s="1539"/>
      <c r="Y20" s="3415"/>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0"/>
      <c r="M21" s="2944"/>
      <c r="N21" s="2944"/>
      <c r="O21" s="3002"/>
      <c r="P21" s="3415"/>
      <c r="Q21" s="1536"/>
      <c r="R21" s="714"/>
      <c r="S21" s="715"/>
      <c r="T21" s="714"/>
      <c r="U21" s="715"/>
      <c r="V21" s="714"/>
      <c r="W21" s="715"/>
      <c r="X21" s="1539"/>
      <c r="Y21" s="3415"/>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415"/>
      <c r="Q22" s="1536" t="str">
        <f>B22</f>
        <v>楼层</v>
      </c>
      <c r="R22" s="714" t="s">
        <v>17</v>
      </c>
      <c r="S22" s="715">
        <f>F22</f>
        <v>100</v>
      </c>
      <c r="T22" s="714" t="s">
        <v>17</v>
      </c>
      <c r="U22" s="715">
        <f>H22</f>
        <v>100</v>
      </c>
      <c r="V22" s="714" t="s">
        <v>17</v>
      </c>
      <c r="W22" s="715">
        <f>J22</f>
        <v>100</v>
      </c>
      <c r="X22" s="1539"/>
      <c r="Y22" s="3415"/>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415"/>
      <c r="Q23" s="1536">
        <f>B23</f>
        <v>111</v>
      </c>
      <c r="R23" s="714" t="s">
        <v>17</v>
      </c>
      <c r="S23" s="715">
        <f>F23</f>
        <v>100</v>
      </c>
      <c r="T23" s="714" t="s">
        <v>17</v>
      </c>
      <c r="U23" s="715">
        <f>H23</f>
        <v>100</v>
      </c>
      <c r="V23" s="714" t="s">
        <v>17</v>
      </c>
      <c r="W23" s="715">
        <f>J23</f>
        <v>100</v>
      </c>
      <c r="X23" s="1539"/>
      <c r="Y23" s="3415"/>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415"/>
      <c r="Q24" s="1536">
        <f t="shared" ref="Q24:Q34" si="11">B24</f>
        <v>111</v>
      </c>
      <c r="R24" s="714" t="s">
        <v>17</v>
      </c>
      <c r="S24" s="715">
        <f>F24</f>
        <v>100</v>
      </c>
      <c r="T24" s="714" t="s">
        <v>17</v>
      </c>
      <c r="U24" s="715">
        <f>H24</f>
        <v>100</v>
      </c>
      <c r="V24" s="714" t="s">
        <v>17</v>
      </c>
      <c r="W24" s="715">
        <f>J24</f>
        <v>100</v>
      </c>
      <c r="X24" s="1539"/>
      <c r="Y24" s="3415"/>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5"/>
      <c r="M25" s="2946"/>
      <c r="N25" s="2946"/>
      <c r="O25" s="3000"/>
      <c r="P25" s="3415"/>
      <c r="Q25" s="1527">
        <f t="shared" si="11"/>
        <v>111</v>
      </c>
      <c r="R25" s="710" t="s">
        <v>17</v>
      </c>
      <c r="S25" s="711">
        <f>F25</f>
        <v>100</v>
      </c>
      <c r="T25" s="710" t="s">
        <v>17</v>
      </c>
      <c r="U25" s="711">
        <f>H25</f>
        <v>100</v>
      </c>
      <c r="V25" s="710" t="s">
        <v>17</v>
      </c>
      <c r="W25" s="711">
        <f>J25</f>
        <v>100</v>
      </c>
      <c r="X25" s="712"/>
      <c r="Y25" s="3415"/>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0"/>
      <c r="M26" s="2944"/>
      <c r="N26" s="2944"/>
      <c r="O26" s="3002"/>
      <c r="P26" s="3526"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419"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419"/>
      <c r="Q27" s="716" t="str">
        <f t="shared" si="11"/>
        <v>成新率</v>
      </c>
      <c r="R27" s="717" t="s">
        <v>17</v>
      </c>
      <c r="S27" s="718" t="e">
        <f t="shared" si="12"/>
        <v>#N/A</v>
      </c>
      <c r="T27" s="717" t="s">
        <v>17</v>
      </c>
      <c r="U27" s="718" t="e">
        <f t="shared" si="13"/>
        <v>#N/A</v>
      </c>
      <c r="V27" s="717" t="s">
        <v>17</v>
      </c>
      <c r="W27" s="718" t="e">
        <f t="shared" si="14"/>
        <v>#N/A</v>
      </c>
      <c r="X27" s="719"/>
      <c r="Y27" s="3419"/>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419"/>
      <c r="Q28" s="1536" t="str">
        <f t="shared" si="11"/>
        <v>物业等级</v>
      </c>
      <c r="R28" s="714" t="s">
        <v>17</v>
      </c>
      <c r="S28" s="715">
        <f t="shared" si="12"/>
        <v>100</v>
      </c>
      <c r="T28" s="714" t="s">
        <v>17</v>
      </c>
      <c r="U28" s="715">
        <f t="shared" si="13"/>
        <v>100</v>
      </c>
      <c r="V28" s="714" t="s">
        <v>17</v>
      </c>
      <c r="W28" s="715">
        <f t="shared" si="14"/>
        <v>100</v>
      </c>
      <c r="X28" s="1539"/>
      <c r="Y28" s="3419"/>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419"/>
      <c r="Q29" s="1536" t="str">
        <f t="shared" si="11"/>
        <v>有无电梯</v>
      </c>
      <c r="R29" s="714" t="s">
        <v>17</v>
      </c>
      <c r="S29" s="715">
        <f t="shared" si="12"/>
        <v>100</v>
      </c>
      <c r="T29" s="714" t="s">
        <v>17</v>
      </c>
      <c r="U29" s="715">
        <f t="shared" si="13"/>
        <v>100</v>
      </c>
      <c r="V29" s="714" t="s">
        <v>17</v>
      </c>
      <c r="W29" s="715">
        <f t="shared" si="14"/>
        <v>100</v>
      </c>
      <c r="X29" s="1539"/>
      <c r="Y29" s="3419"/>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419"/>
      <c r="Q30" s="1536" t="str">
        <f t="shared" si="11"/>
        <v>建筑面积</v>
      </c>
      <c r="R30" s="714" t="s">
        <v>17</v>
      </c>
      <c r="S30" s="715" t="e">
        <f t="shared" si="12"/>
        <v>#N/A</v>
      </c>
      <c r="T30" s="714" t="s">
        <v>17</v>
      </c>
      <c r="U30" s="715" t="e">
        <f t="shared" si="13"/>
        <v>#N/A</v>
      </c>
      <c r="V30" s="714" t="s">
        <v>17</v>
      </c>
      <c r="W30" s="715" t="e">
        <f t="shared" si="14"/>
        <v>#N/A</v>
      </c>
      <c r="X30" s="1539"/>
      <c r="Y30" s="3419"/>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419"/>
      <c r="Q31" s="1527" t="str">
        <f t="shared" si="11"/>
        <v>是否封闭</v>
      </c>
      <c r="R31" s="710" t="s">
        <v>17</v>
      </c>
      <c r="S31" s="711">
        <f t="shared" si="12"/>
        <v>100</v>
      </c>
      <c r="T31" s="710" t="s">
        <v>17</v>
      </c>
      <c r="U31" s="711">
        <f t="shared" si="13"/>
        <v>100</v>
      </c>
      <c r="V31" s="710" t="s">
        <v>17</v>
      </c>
      <c r="W31" s="711">
        <f t="shared" si="14"/>
        <v>100</v>
      </c>
      <c r="X31" s="712"/>
      <c r="Y31" s="3419"/>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419" t="s">
        <v>2386</v>
      </c>
      <c r="Q32" s="1536">
        <f t="shared" si="11"/>
        <v>111</v>
      </c>
      <c r="R32" s="714" t="s">
        <v>17</v>
      </c>
      <c r="S32" s="715">
        <f t="shared" si="12"/>
        <v>100</v>
      </c>
      <c r="T32" s="714" t="s">
        <v>17</v>
      </c>
      <c r="U32" s="715">
        <f t="shared" si="13"/>
        <v>100</v>
      </c>
      <c r="V32" s="714" t="s">
        <v>17</v>
      </c>
      <c r="W32" s="715">
        <f t="shared" si="14"/>
        <v>100</v>
      </c>
      <c r="X32" s="1539"/>
      <c r="Y32" s="3419"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419"/>
      <c r="Q33" s="1536">
        <f t="shared" si="11"/>
        <v>111</v>
      </c>
      <c r="R33" s="714" t="s">
        <v>17</v>
      </c>
      <c r="S33" s="715">
        <f t="shared" si="12"/>
        <v>100</v>
      </c>
      <c r="T33" s="714" t="s">
        <v>17</v>
      </c>
      <c r="U33" s="715">
        <f t="shared" si="13"/>
        <v>100</v>
      </c>
      <c r="V33" s="714" t="s">
        <v>17</v>
      </c>
      <c r="W33" s="715">
        <f t="shared" si="14"/>
        <v>100</v>
      </c>
      <c r="X33" s="1539"/>
      <c r="Y33" s="3419"/>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0"/>
      <c r="M34" s="2944"/>
      <c r="N34" s="2944"/>
      <c r="O34" s="3002"/>
      <c r="P34" s="3419"/>
      <c r="Q34" s="1536">
        <f t="shared" si="11"/>
        <v>111</v>
      </c>
      <c r="R34" s="714" t="s">
        <v>17</v>
      </c>
      <c r="S34" s="715">
        <f t="shared" si="12"/>
        <v>100</v>
      </c>
      <c r="T34" s="714" t="s">
        <v>17</v>
      </c>
      <c r="U34" s="715">
        <f t="shared" si="13"/>
        <v>100</v>
      </c>
      <c r="V34" s="714" t="s">
        <v>17</v>
      </c>
      <c r="W34" s="715">
        <f t="shared" si="14"/>
        <v>100</v>
      </c>
      <c r="X34" s="1539"/>
      <c r="Y34" s="3419"/>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2"/>
      <c r="M35" s="2953"/>
      <c r="N35" s="2944"/>
      <c r="O35" s="2953"/>
      <c r="P35" s="3421" t="str">
        <f>A35</f>
        <v>成交单价（元/平方米）</v>
      </c>
      <c r="Q35" s="3421"/>
      <c r="R35" s="3422">
        <f>E35</f>
        <v>0</v>
      </c>
      <c r="S35" s="3422"/>
      <c r="T35" s="3422">
        <f>G35</f>
        <v>0</v>
      </c>
      <c r="U35" s="3422"/>
      <c r="V35" s="3422">
        <f>I35</f>
        <v>0</v>
      </c>
      <c r="W35" s="3422"/>
      <c r="X35" s="699"/>
      <c r="Y35" s="721"/>
      <c r="Z35" s="699"/>
      <c r="AA35" s="699"/>
      <c r="AB35" s="699"/>
      <c r="AC35" s="699"/>
    </row>
    <row r="36" spans="1:30" ht="15.75" thickBot="1">
      <c r="A36" s="445" t="s">
        <v>2490</v>
      </c>
      <c r="B36" s="446"/>
      <c r="C36" s="1322" t="e">
        <f>R37</f>
        <v>#DIV/0!</v>
      </c>
      <c r="D36" s="2538" t="s">
        <v>2879</v>
      </c>
      <c r="E36" s="1323" t="e">
        <f>R36</f>
        <v>#DIV/0!</v>
      </c>
      <c r="F36" s="2539"/>
      <c r="G36" s="1322" t="e">
        <f>T36</f>
        <v>#DIV/0!</v>
      </c>
      <c r="H36" s="2539"/>
      <c r="I36" s="1323" t="e">
        <f>V36</f>
        <v>#DIV/0!</v>
      </c>
      <c r="J36" s="2539"/>
      <c r="K36" s="2541">
        <f>F36+H36+J36</f>
        <v>0</v>
      </c>
      <c r="L36" s="2952"/>
      <c r="M36" s="2953"/>
      <c r="N36" s="2944"/>
      <c r="O36" s="2953"/>
      <c r="P36" s="3421" t="str">
        <f>A36</f>
        <v>比较价值（元/平方米）</v>
      </c>
      <c r="Q36" s="3421"/>
      <c r="R36" s="3422" t="e">
        <f>IF(F1="售价",ROUND(PRODUCT(R35,AA7:AA34),0),ROUND(PRODUCT(R35,AA7:AA34),1))</f>
        <v>#DIV/0!</v>
      </c>
      <c r="S36" s="3422"/>
      <c r="T36" s="3422" t="e">
        <f>IF(F1="售价",ROUND(PRODUCT(T35,AB7:AB34),0),ROUND(PRODUCT(T35,AB7:AB34),1))</f>
        <v>#DIV/0!</v>
      </c>
      <c r="U36" s="3422"/>
      <c r="V36" s="3422" t="e">
        <f>IF(F1="售价",ROUND(PRODUCT(V35,AC7:AC34),0),ROUND(PRODUCT(V35,AC7:AC34),1))</f>
        <v>#DIV/0!</v>
      </c>
      <c r="W36" s="3422"/>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2"/>
      <c r="M37" s="2953"/>
      <c r="N37" s="2953"/>
      <c r="O37" s="2953"/>
      <c r="P37" s="3523" t="str">
        <f>A37</f>
        <v>估价对象XX用房的比较价值（楼面单价，元/平方米）</v>
      </c>
      <c r="Q37" s="3524"/>
      <c r="R37" s="3527" t="e">
        <f>IF(F1="售价",ROUND(IF(D36="简单平均",AVERAGE(R36:W36),R36*F36+T36*H36+V36*J36),0),ROUND(IF(D36="简单平均",AVERAGE(R36:V36),R36*F36+T36*H36+V36*J36),1))</f>
        <v>#DIV/0!</v>
      </c>
      <c r="S37" s="3527"/>
      <c r="T37" s="3527"/>
      <c r="U37" s="3527"/>
      <c r="V37" s="3527"/>
      <c r="W37" s="3527"/>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6" t="str">
        <f>YEAR(C7)&amp;"-"&amp;MONTH(C7)</f>
        <v>2021-7</v>
      </c>
      <c r="D46" s="1347">
        <f>EDATE(C46,-1)</f>
        <v>44348</v>
      </c>
      <c r="E46" s="1347">
        <f t="shared" ref="E46:O46" si="16">EDATE(D46,-1)</f>
        <v>44317</v>
      </c>
      <c r="F46" s="1347">
        <f t="shared" si="16"/>
        <v>44287</v>
      </c>
      <c r="G46" s="1347">
        <f t="shared" si="16"/>
        <v>44256</v>
      </c>
      <c r="H46" s="1347">
        <f t="shared" si="16"/>
        <v>44228</v>
      </c>
      <c r="I46" s="1347">
        <f t="shared" si="16"/>
        <v>44197</v>
      </c>
      <c r="J46" s="1347">
        <f t="shared" si="16"/>
        <v>44166</v>
      </c>
      <c r="K46" s="1347">
        <f t="shared" si="16"/>
        <v>44136</v>
      </c>
      <c r="L46" s="1347">
        <f t="shared" si="16"/>
        <v>44105</v>
      </c>
      <c r="M46" s="1347">
        <f t="shared" si="16"/>
        <v>44075</v>
      </c>
      <c r="N46" s="1347">
        <f t="shared" si="16"/>
        <v>44044</v>
      </c>
      <c r="O46" s="1347">
        <f t="shared" si="16"/>
        <v>44013</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2"/>
      <c r="O72" s="2982"/>
      <c r="P72" s="3006"/>
      <c r="Q72" s="2967"/>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2"/>
      <c r="O74" s="2982"/>
      <c r="P74" s="3006"/>
      <c r="Q74" s="2967"/>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2466</v>
      </c>
      <c r="B4" s="362"/>
      <c r="C4" s="3396" t="s">
        <v>2467</v>
      </c>
      <c r="D4" s="3397"/>
      <c r="E4" s="3398" t="s">
        <v>2468</v>
      </c>
      <c r="F4" s="3399"/>
      <c r="G4" s="3396" t="s">
        <v>2469</v>
      </c>
      <c r="H4" s="3397"/>
      <c r="I4" s="3396" t="s">
        <v>2470</v>
      </c>
      <c r="J4" s="3397"/>
      <c r="K4" s="567" t="s">
        <v>2471</v>
      </c>
      <c r="L4" s="2943"/>
      <c r="M4" s="2944"/>
      <c r="N4" s="2944"/>
      <c r="O4" s="2944"/>
      <c r="P4" s="3519" t="s">
        <v>2472</v>
      </c>
      <c r="Q4" s="3520"/>
      <c r="R4" s="3516" t="s">
        <v>2468</v>
      </c>
      <c r="S4" s="3517"/>
      <c r="T4" s="3516" t="s">
        <v>2469</v>
      </c>
      <c r="U4" s="3517"/>
      <c r="V4" s="3409" t="s">
        <v>2470</v>
      </c>
      <c r="W4" s="3409"/>
      <c r="X4" s="1539"/>
      <c r="Y4" s="3516" t="s">
        <v>2472</v>
      </c>
      <c r="Z4" s="3517"/>
      <c r="AA4" s="3515" t="s">
        <v>2468</v>
      </c>
      <c r="AB4" s="3375" t="s">
        <v>2469</v>
      </c>
      <c r="AC4" s="3515" t="s">
        <v>2470</v>
      </c>
    </row>
    <row r="5" spans="1:30" ht="15">
      <c r="A5" s="364"/>
      <c r="B5" s="365"/>
      <c r="C5" s="3385" t="s">
        <v>2363</v>
      </c>
      <c r="D5" s="3386"/>
      <c r="E5" s="3518" t="s">
        <v>2364</v>
      </c>
      <c r="F5" s="3384"/>
      <c r="G5" s="3385" t="s">
        <v>2365</v>
      </c>
      <c r="H5" s="3386"/>
      <c r="I5" s="3385" t="s">
        <v>2366</v>
      </c>
      <c r="J5" s="3386"/>
      <c r="K5" s="567"/>
      <c r="L5" s="2943"/>
      <c r="M5" s="2944"/>
      <c r="N5" s="2944"/>
      <c r="O5" s="2944"/>
      <c r="P5" s="3521"/>
      <c r="Q5" s="3403"/>
      <c r="R5" s="3381"/>
      <c r="S5" s="3382"/>
      <c r="T5" s="3381"/>
      <c r="U5" s="3382"/>
      <c r="V5" s="3409"/>
      <c r="W5" s="3409"/>
      <c r="X5" s="1539"/>
      <c r="Y5" s="3381"/>
      <c r="Z5" s="3382"/>
      <c r="AA5" s="3375"/>
      <c r="AB5" s="3375"/>
      <c r="AC5" s="3375"/>
    </row>
    <row r="6" spans="1:30" ht="15.75" thickBot="1">
      <c r="A6" s="366"/>
      <c r="B6" s="367"/>
      <c r="C6" s="3387" t="s">
        <v>2367</v>
      </c>
      <c r="D6" s="3388"/>
      <c r="E6" s="3390" t="s">
        <v>2367</v>
      </c>
      <c r="F6" s="3391"/>
      <c r="G6" s="3387" t="s">
        <v>2367</v>
      </c>
      <c r="H6" s="3388"/>
      <c r="I6" s="3387" t="s">
        <v>2367</v>
      </c>
      <c r="J6" s="3388"/>
      <c r="K6" s="567" t="s">
        <v>2368</v>
      </c>
      <c r="L6" s="2943"/>
      <c r="M6" s="2944"/>
      <c r="N6" s="2944"/>
      <c r="O6" s="2944"/>
      <c r="P6" s="3522"/>
      <c r="Q6" s="3405"/>
      <c r="R6" s="3381"/>
      <c r="S6" s="3382"/>
      <c r="T6" s="3406"/>
      <c r="U6" s="3407"/>
      <c r="V6" s="3409"/>
      <c r="W6" s="3409"/>
      <c r="X6" s="1539"/>
      <c r="Y6" s="3406"/>
      <c r="Z6" s="3407"/>
      <c r="AA6" s="3376"/>
      <c r="AB6" s="3376"/>
      <c r="AC6" s="3376"/>
    </row>
    <row r="7" spans="1:30" s="113" customFormat="1" ht="15.75" thickBot="1">
      <c r="A7" s="368" t="s">
        <v>2369</v>
      </c>
      <c r="B7" s="369"/>
      <c r="C7" s="370">
        <f>'数据-取费表'!B2</f>
        <v>44396</v>
      </c>
      <c r="D7" s="371">
        <v>100</v>
      </c>
      <c r="E7" s="372"/>
      <c r="F7" s="373">
        <f>SUMIF(70:70,YEAR(E7)&amp;"-"&amp;INT((MONTH(E7)+2)/3),71:71)</f>
        <v>0</v>
      </c>
      <c r="G7" s="2160"/>
      <c r="H7" s="371">
        <f>SUMIF(70:70,YEAR(G7)&amp;"-"&amp;INT((MONTH(G7)+2)/3),71:71)</f>
        <v>0</v>
      </c>
      <c r="I7" s="2160"/>
      <c r="J7" s="371">
        <f>SUMIF(70:70,YEAR(I7)&amp;"-"&amp;INT((MONTH(I7)+2)/3),71:71)</f>
        <v>0</v>
      </c>
      <c r="K7" s="568"/>
      <c r="L7" s="2945"/>
      <c r="M7" s="2946"/>
      <c r="N7" s="2946"/>
      <c r="O7" s="2946"/>
      <c r="P7" s="3377" t="s">
        <v>2370</v>
      </c>
      <c r="Q7" s="3411"/>
      <c r="R7" s="710" t="s">
        <v>17</v>
      </c>
      <c r="S7" s="711">
        <f t="shared" ref="S7:S15" si="0">F7</f>
        <v>0</v>
      </c>
      <c r="T7" s="710" t="s">
        <v>17</v>
      </c>
      <c r="U7" s="711">
        <f t="shared" ref="U7:U15" si="1">H7</f>
        <v>0</v>
      </c>
      <c r="V7" s="710" t="s">
        <v>17</v>
      </c>
      <c r="W7" s="711">
        <f t="shared" ref="W7:W15" si="2">J7</f>
        <v>0</v>
      </c>
      <c r="X7" s="712"/>
      <c r="Y7" s="3377" t="s">
        <v>2370</v>
      </c>
      <c r="Z7" s="3378"/>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77" t="s">
        <v>2373</v>
      </c>
      <c r="Q8" s="3378"/>
      <c r="R8" s="710" t="s">
        <v>17</v>
      </c>
      <c r="S8" s="711">
        <f t="shared" si="0"/>
        <v>0</v>
      </c>
      <c r="T8" s="710" t="s">
        <v>17</v>
      </c>
      <c r="U8" s="711">
        <f t="shared" si="1"/>
        <v>0</v>
      </c>
      <c r="V8" s="710" t="s">
        <v>17</v>
      </c>
      <c r="W8" s="711">
        <f t="shared" si="2"/>
        <v>0</v>
      </c>
      <c r="X8" s="712"/>
      <c r="Y8" s="3377" t="s">
        <v>2373</v>
      </c>
      <c r="Z8" s="3378"/>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5"/>
      <c r="M9" s="2946"/>
      <c r="N9" s="2946"/>
      <c r="O9" s="3000"/>
      <c r="P9" s="3421" t="s">
        <v>2376</v>
      </c>
      <c r="Q9" s="1527" t="str">
        <f t="shared" ref="Q9:Q15" si="6">B9</f>
        <v>用途</v>
      </c>
      <c r="R9" s="710" t="s">
        <v>17</v>
      </c>
      <c r="S9" s="711">
        <f t="shared" si="0"/>
        <v>100</v>
      </c>
      <c r="T9" s="710" t="s">
        <v>17</v>
      </c>
      <c r="U9" s="711">
        <f t="shared" si="1"/>
        <v>100</v>
      </c>
      <c r="V9" s="710" t="s">
        <v>17</v>
      </c>
      <c r="W9" s="711">
        <f t="shared" si="2"/>
        <v>100</v>
      </c>
      <c r="X9" s="712"/>
      <c r="Y9" s="3350"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110</v>
      </c>
      <c r="G10" s="422"/>
      <c r="H10" s="132">
        <f>ROUND(100/'数据-取费表'!G16,0)</f>
        <v>110</v>
      </c>
      <c r="I10" s="422"/>
      <c r="J10" s="132">
        <f>ROUND(100/'数据-取费表'!G16,0)</f>
        <v>110</v>
      </c>
      <c r="K10" s="628"/>
      <c r="L10" s="2947"/>
      <c r="M10" s="2948"/>
      <c r="N10" s="2948"/>
      <c r="O10" s="3001"/>
      <c r="P10" s="3421"/>
      <c r="Q10" s="1527" t="str">
        <f t="shared" si="6"/>
        <v>土地使用年限（年）</v>
      </c>
      <c r="R10" s="710" t="s">
        <v>17</v>
      </c>
      <c r="S10" s="711">
        <f t="shared" si="0"/>
        <v>110</v>
      </c>
      <c r="T10" s="710" t="s">
        <v>17</v>
      </c>
      <c r="U10" s="711">
        <f t="shared" si="1"/>
        <v>110</v>
      </c>
      <c r="V10" s="710" t="s">
        <v>17</v>
      </c>
      <c r="W10" s="711">
        <f t="shared" si="2"/>
        <v>110</v>
      </c>
      <c r="X10" s="712"/>
      <c r="Y10" s="3350"/>
      <c r="Z10" s="55" t="str">
        <f t="shared" si="7"/>
        <v>土地使用年限（年）</v>
      </c>
      <c r="AA10" s="713">
        <f t="shared" si="3"/>
        <v>0.90909090909090906</v>
      </c>
      <c r="AB10" s="713">
        <f t="shared" si="4"/>
        <v>0.90909090909090906</v>
      </c>
      <c r="AC10" s="713">
        <f t="shared" si="5"/>
        <v>0.90909090909090906</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421"/>
      <c r="Q11" s="1527" t="str">
        <f t="shared" si="6"/>
        <v>容积率</v>
      </c>
      <c r="R11" s="710" t="s">
        <v>17</v>
      </c>
      <c r="S11" s="711" t="e">
        <f t="shared" si="0"/>
        <v>#N/A</v>
      </c>
      <c r="T11" s="710" t="s">
        <v>17</v>
      </c>
      <c r="U11" s="711" t="e">
        <f t="shared" si="1"/>
        <v>#N/A</v>
      </c>
      <c r="V11" s="710" t="s">
        <v>17</v>
      </c>
      <c r="W11" s="711" t="e">
        <f t="shared" si="2"/>
        <v>#N/A</v>
      </c>
      <c r="X11" s="712"/>
      <c r="Y11" s="3350"/>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421"/>
      <c r="Q12" s="1527" t="str">
        <f t="shared" si="6"/>
        <v>配建</v>
      </c>
      <c r="R12" s="710" t="s">
        <v>17</v>
      </c>
      <c r="S12" s="711">
        <f t="shared" si="0"/>
        <v>100</v>
      </c>
      <c r="T12" s="710" t="s">
        <v>17</v>
      </c>
      <c r="U12" s="711">
        <f t="shared" si="1"/>
        <v>100</v>
      </c>
      <c r="V12" s="710" t="s">
        <v>17</v>
      </c>
      <c r="W12" s="711">
        <f t="shared" si="2"/>
        <v>100</v>
      </c>
      <c r="X12" s="712"/>
      <c r="Y12" s="3350"/>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421"/>
      <c r="Q13" s="1527">
        <f t="shared" si="6"/>
        <v>111</v>
      </c>
      <c r="R13" s="710" t="s">
        <v>17</v>
      </c>
      <c r="S13" s="711">
        <f t="shared" si="0"/>
        <v>100</v>
      </c>
      <c r="T13" s="710" t="s">
        <v>17</v>
      </c>
      <c r="U13" s="711">
        <f t="shared" si="1"/>
        <v>100</v>
      </c>
      <c r="V13" s="710" t="s">
        <v>17</v>
      </c>
      <c r="W13" s="711">
        <f t="shared" si="2"/>
        <v>100</v>
      </c>
      <c r="X13" s="712"/>
      <c r="Y13" s="3350"/>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421"/>
      <c r="Q14" s="1527">
        <f t="shared" si="6"/>
        <v>111</v>
      </c>
      <c r="R14" s="710" t="s">
        <v>17</v>
      </c>
      <c r="S14" s="711">
        <f t="shared" si="0"/>
        <v>100</v>
      </c>
      <c r="T14" s="710" t="s">
        <v>17</v>
      </c>
      <c r="U14" s="711">
        <f t="shared" si="1"/>
        <v>100</v>
      </c>
      <c r="V14" s="710" t="s">
        <v>17</v>
      </c>
      <c r="W14" s="711">
        <f t="shared" si="2"/>
        <v>100</v>
      </c>
      <c r="X14" s="712"/>
      <c r="Y14" s="3350"/>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414" t="s">
        <v>2381</v>
      </c>
      <c r="Q15" s="1536" t="str">
        <f t="shared" si="6"/>
        <v>居住社区成熟度</v>
      </c>
      <c r="R15" s="714" t="s">
        <v>17</v>
      </c>
      <c r="S15" s="715">
        <f t="shared" si="0"/>
        <v>100</v>
      </c>
      <c r="T15" s="714" t="s">
        <v>17</v>
      </c>
      <c r="U15" s="715">
        <f t="shared" si="1"/>
        <v>100</v>
      </c>
      <c r="V15" s="714" t="s">
        <v>17</v>
      </c>
      <c r="W15" s="715">
        <f t="shared" si="2"/>
        <v>100</v>
      </c>
      <c r="X15" s="1539"/>
      <c r="Y15" s="3414"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0"/>
      <c r="M16" s="2944"/>
      <c r="N16" s="2944"/>
      <c r="O16" s="3002"/>
      <c r="P16" s="3415"/>
      <c r="Q16" s="1536"/>
      <c r="R16" s="714"/>
      <c r="S16" s="715"/>
      <c r="T16" s="714"/>
      <c r="U16" s="715"/>
      <c r="V16" s="714"/>
      <c r="W16" s="715"/>
      <c r="X16" s="1539"/>
      <c r="Y16" s="3415"/>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415"/>
      <c r="Q17" s="1536" t="str">
        <f>B17</f>
        <v>商业繁华度</v>
      </c>
      <c r="R17" s="714" t="s">
        <v>17</v>
      </c>
      <c r="S17" s="715">
        <f>F17</f>
        <v>100</v>
      </c>
      <c r="T17" s="714" t="s">
        <v>17</v>
      </c>
      <c r="U17" s="715">
        <f>H17</f>
        <v>100</v>
      </c>
      <c r="V17" s="714" t="s">
        <v>17</v>
      </c>
      <c r="W17" s="715">
        <f>J17</f>
        <v>100</v>
      </c>
      <c r="X17" s="1539"/>
      <c r="Y17" s="3415"/>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0"/>
      <c r="M18" s="2944"/>
      <c r="N18" s="2944"/>
      <c r="O18" s="3002"/>
      <c r="P18" s="3415"/>
      <c r="Q18" s="1536"/>
      <c r="R18" s="714"/>
      <c r="S18" s="715"/>
      <c r="T18" s="714"/>
      <c r="U18" s="715"/>
      <c r="V18" s="714"/>
      <c r="W18" s="715"/>
      <c r="X18" s="1539"/>
      <c r="Y18" s="3415"/>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415"/>
      <c r="Q19" s="1536" t="str">
        <f>B19</f>
        <v>办公集聚程度</v>
      </c>
      <c r="R19" s="714" t="s">
        <v>17</v>
      </c>
      <c r="S19" s="715">
        <f>F19</f>
        <v>100</v>
      </c>
      <c r="T19" s="714" t="s">
        <v>17</v>
      </c>
      <c r="U19" s="715">
        <f>H19</f>
        <v>100</v>
      </c>
      <c r="V19" s="714" t="s">
        <v>17</v>
      </c>
      <c r="W19" s="715">
        <f>J19</f>
        <v>100</v>
      </c>
      <c r="X19" s="1539"/>
      <c r="Y19" s="3415"/>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0"/>
      <c r="M20" s="2944"/>
      <c r="N20" s="2944"/>
      <c r="O20" s="3002"/>
      <c r="P20" s="3415"/>
      <c r="Q20" s="1536"/>
      <c r="R20" s="714"/>
      <c r="S20" s="715"/>
      <c r="T20" s="714"/>
      <c r="U20" s="715"/>
      <c r="V20" s="714"/>
      <c r="W20" s="715"/>
      <c r="X20" s="1539"/>
      <c r="Y20" s="3415"/>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415"/>
      <c r="Q21" s="1536" t="str">
        <f>B21</f>
        <v>交通便捷度</v>
      </c>
      <c r="R21" s="714" t="s">
        <v>17</v>
      </c>
      <c r="S21" s="715">
        <f>F21</f>
        <v>100</v>
      </c>
      <c r="T21" s="714" t="s">
        <v>17</v>
      </c>
      <c r="U21" s="715">
        <f>H21</f>
        <v>100</v>
      </c>
      <c r="V21" s="714" t="s">
        <v>17</v>
      </c>
      <c r="W21" s="715">
        <f>J21</f>
        <v>100</v>
      </c>
      <c r="X21" s="1539"/>
      <c r="Y21" s="3415"/>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0"/>
      <c r="M22" s="2944"/>
      <c r="N22" s="2944"/>
      <c r="O22" s="3002"/>
      <c r="P22" s="3415"/>
      <c r="Q22" s="1536"/>
      <c r="R22" s="714"/>
      <c r="S22" s="715"/>
      <c r="T22" s="714"/>
      <c r="U22" s="715"/>
      <c r="V22" s="714"/>
      <c r="W22" s="715"/>
      <c r="X22" s="1539"/>
      <c r="Y22" s="3415"/>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415"/>
      <c r="Q23" s="1536" t="str">
        <f t="shared" ref="Q23:Q37" si="8">B23</f>
        <v>区域土地利用方向</v>
      </c>
      <c r="R23" s="714" t="s">
        <v>17</v>
      </c>
      <c r="S23" s="715">
        <f>F23</f>
        <v>100</v>
      </c>
      <c r="T23" s="714" t="s">
        <v>17</v>
      </c>
      <c r="U23" s="715">
        <f>H23</f>
        <v>100</v>
      </c>
      <c r="V23" s="714" t="s">
        <v>17</v>
      </c>
      <c r="W23" s="715">
        <f>J23</f>
        <v>100</v>
      </c>
      <c r="X23" s="1539"/>
      <c r="Y23" s="3415"/>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0"/>
      <c r="M24" s="2944"/>
      <c r="N24" s="2944"/>
      <c r="O24" s="3002"/>
      <c r="P24" s="3415"/>
      <c r="Q24" s="1536"/>
      <c r="R24" s="714"/>
      <c r="S24" s="715"/>
      <c r="T24" s="714"/>
      <c r="U24" s="715"/>
      <c r="V24" s="714"/>
      <c r="W24" s="715"/>
      <c r="X24" s="1539"/>
      <c r="Y24" s="3415"/>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415"/>
      <c r="Q25" s="1536" t="str">
        <f t="shared" si="8"/>
        <v>自然及人文环境状况</v>
      </c>
      <c r="R25" s="714" t="s">
        <v>17</v>
      </c>
      <c r="S25" s="715">
        <f>F25</f>
        <v>100</v>
      </c>
      <c r="T25" s="714" t="s">
        <v>17</v>
      </c>
      <c r="U25" s="715">
        <f>H25</f>
        <v>100</v>
      </c>
      <c r="V25" s="714" t="s">
        <v>17</v>
      </c>
      <c r="W25" s="715">
        <f>J25</f>
        <v>100</v>
      </c>
      <c r="X25" s="1539"/>
      <c r="Y25" s="3415"/>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0"/>
      <c r="M26" s="2944"/>
      <c r="N26" s="2944"/>
      <c r="O26" s="3002"/>
      <c r="P26" s="3415"/>
      <c r="Q26" s="1536"/>
      <c r="R26" s="714"/>
      <c r="S26" s="715"/>
      <c r="T26" s="714"/>
      <c r="U26" s="715"/>
      <c r="V26" s="714"/>
      <c r="W26" s="715"/>
      <c r="X26" s="1539"/>
      <c r="Y26" s="3415"/>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415"/>
      <c r="Q27" s="1527" t="str">
        <f t="shared" si="8"/>
        <v>公共配套设施</v>
      </c>
      <c r="R27" s="710" t="s">
        <v>17</v>
      </c>
      <c r="S27" s="711">
        <f>F27</f>
        <v>100</v>
      </c>
      <c r="T27" s="710" t="s">
        <v>17</v>
      </c>
      <c r="U27" s="711">
        <f>H27</f>
        <v>100</v>
      </c>
      <c r="V27" s="710" t="s">
        <v>17</v>
      </c>
      <c r="W27" s="711">
        <f>J27</f>
        <v>100</v>
      </c>
      <c r="X27" s="712"/>
      <c r="Y27" s="3415"/>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5"/>
      <c r="M28" s="2946"/>
      <c r="N28" s="2946"/>
      <c r="O28" s="3000"/>
      <c r="P28" s="3415"/>
      <c r="Q28" s="1527"/>
      <c r="R28" s="710"/>
      <c r="S28" s="711"/>
      <c r="T28" s="710"/>
      <c r="U28" s="711"/>
      <c r="V28" s="710"/>
      <c r="W28" s="711"/>
      <c r="X28" s="712"/>
      <c r="Y28" s="3415"/>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415"/>
      <c r="Q29" s="1527" t="str">
        <f t="shared" ref="Q29" si="9">B29</f>
        <v>基础设施水平</v>
      </c>
      <c r="R29" s="710" t="s">
        <v>17</v>
      </c>
      <c r="S29" s="711">
        <f>F29</f>
        <v>100</v>
      </c>
      <c r="T29" s="710" t="s">
        <v>17</v>
      </c>
      <c r="U29" s="711">
        <f>H29</f>
        <v>100</v>
      </c>
      <c r="V29" s="710" t="s">
        <v>17</v>
      </c>
      <c r="W29" s="711">
        <f>J29</f>
        <v>100</v>
      </c>
      <c r="X29" s="712"/>
      <c r="Y29" s="3415"/>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5"/>
      <c r="M30" s="2946"/>
      <c r="N30" s="2946"/>
      <c r="O30" s="3000"/>
      <c r="P30" s="3415"/>
      <c r="Q30" s="1527"/>
      <c r="R30" s="710"/>
      <c r="S30" s="711"/>
      <c r="T30" s="710"/>
      <c r="U30" s="711"/>
      <c r="V30" s="710"/>
      <c r="W30" s="711"/>
      <c r="X30" s="712"/>
      <c r="Y30" s="3415"/>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415"/>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415"/>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415"/>
      <c r="Q32" s="1536" t="str">
        <f t="shared" si="8"/>
        <v>毗邻道路的类型与等级</v>
      </c>
      <c r="R32" s="714" t="s">
        <v>17</v>
      </c>
      <c r="S32" s="715">
        <f t="shared" si="10"/>
        <v>100</v>
      </c>
      <c r="T32" s="714" t="s">
        <v>17</v>
      </c>
      <c r="U32" s="715">
        <f t="shared" si="11"/>
        <v>100</v>
      </c>
      <c r="V32" s="714" t="s">
        <v>17</v>
      </c>
      <c r="W32" s="715">
        <f t="shared" si="12"/>
        <v>100</v>
      </c>
      <c r="X32" s="1539"/>
      <c r="Y32" s="3415"/>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0"/>
      <c r="M33" s="2944"/>
      <c r="N33" s="2944"/>
      <c r="O33" s="3002"/>
      <c r="P33" s="3415"/>
      <c r="Q33" s="1536"/>
      <c r="R33" s="714"/>
      <c r="S33" s="715"/>
      <c r="T33" s="714"/>
      <c r="U33" s="715"/>
      <c r="V33" s="714"/>
      <c r="W33" s="715"/>
      <c r="X33" s="1539"/>
      <c r="Y33" s="3415"/>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415"/>
      <c r="Q34" s="1536" t="str">
        <f t="shared" si="8"/>
        <v>土地级别</v>
      </c>
      <c r="R34" s="714" t="s">
        <v>17</v>
      </c>
      <c r="S34" s="715">
        <f t="shared" si="10"/>
        <v>100</v>
      </c>
      <c r="T34" s="714" t="s">
        <v>17</v>
      </c>
      <c r="U34" s="715">
        <f t="shared" si="11"/>
        <v>100</v>
      </c>
      <c r="V34" s="714" t="s">
        <v>17</v>
      </c>
      <c r="W34" s="715">
        <f t="shared" si="12"/>
        <v>100</v>
      </c>
      <c r="X34" s="1539"/>
      <c r="Y34" s="3415"/>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415"/>
      <c r="Q35" s="1536">
        <f t="shared" si="8"/>
        <v>111</v>
      </c>
      <c r="R35" s="714" t="s">
        <v>17</v>
      </c>
      <c r="S35" s="715">
        <f t="shared" si="10"/>
        <v>100</v>
      </c>
      <c r="T35" s="714" t="s">
        <v>17</v>
      </c>
      <c r="U35" s="715">
        <f t="shared" si="11"/>
        <v>100</v>
      </c>
      <c r="V35" s="714" t="s">
        <v>17</v>
      </c>
      <c r="W35" s="715">
        <f t="shared" si="12"/>
        <v>100</v>
      </c>
      <c r="X35" s="1539"/>
      <c r="Y35" s="3415"/>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526" t="s">
        <v>2386</v>
      </c>
      <c r="Q36" s="1536">
        <f t="shared" si="8"/>
        <v>111</v>
      </c>
      <c r="R36" s="714" t="s">
        <v>17</v>
      </c>
      <c r="S36" s="715">
        <f t="shared" si="10"/>
        <v>100</v>
      </c>
      <c r="T36" s="714" t="s">
        <v>17</v>
      </c>
      <c r="U36" s="715">
        <f t="shared" si="11"/>
        <v>100</v>
      </c>
      <c r="V36" s="714" t="s">
        <v>17</v>
      </c>
      <c r="W36" s="715">
        <f t="shared" si="12"/>
        <v>100</v>
      </c>
      <c r="X36" s="1539"/>
      <c r="Y36" s="3419"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419"/>
      <c r="Q37" s="1536">
        <f t="shared" si="8"/>
        <v>111</v>
      </c>
      <c r="R37" s="717" t="s">
        <v>17</v>
      </c>
      <c r="S37" s="718">
        <f t="shared" si="10"/>
        <v>100</v>
      </c>
      <c r="T37" s="717" t="s">
        <v>17</v>
      </c>
      <c r="U37" s="718">
        <f t="shared" si="11"/>
        <v>100</v>
      </c>
      <c r="V37" s="717" t="s">
        <v>17</v>
      </c>
      <c r="W37" s="718">
        <f t="shared" si="12"/>
        <v>100</v>
      </c>
      <c r="X37" s="719"/>
      <c r="Y37" s="3419"/>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419"/>
      <c r="Q38" s="1536" t="str">
        <f>B38</f>
        <v>宗地面积</v>
      </c>
      <c r="R38" s="714" t="s">
        <v>17</v>
      </c>
      <c r="S38" s="715" t="e">
        <f t="shared" si="10"/>
        <v>#N/A</v>
      </c>
      <c r="T38" s="714" t="s">
        <v>17</v>
      </c>
      <c r="U38" s="715" t="e">
        <f t="shared" si="11"/>
        <v>#N/A</v>
      </c>
      <c r="V38" s="714" t="s">
        <v>17</v>
      </c>
      <c r="W38" s="715" t="e">
        <f t="shared" si="12"/>
        <v>#N/A</v>
      </c>
      <c r="X38" s="1539"/>
      <c r="Y38" s="3419"/>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0"/>
      <c r="M39" s="2944"/>
      <c r="N39" s="2944"/>
      <c r="O39" s="3002"/>
      <c r="P39" s="3419"/>
      <c r="Q39" s="1536" t="str">
        <f t="shared" ref="Q39:Q45" si="14">B39</f>
        <v>宗地形状</v>
      </c>
      <c r="R39" s="714" t="s">
        <v>17</v>
      </c>
      <c r="S39" s="715">
        <f t="shared" si="10"/>
        <v>100</v>
      </c>
      <c r="T39" s="714" t="s">
        <v>17</v>
      </c>
      <c r="U39" s="715">
        <f t="shared" si="11"/>
        <v>100</v>
      </c>
      <c r="V39" s="714" t="s">
        <v>17</v>
      </c>
      <c r="W39" s="715">
        <f t="shared" si="12"/>
        <v>100</v>
      </c>
      <c r="X39" s="1539"/>
      <c r="Y39" s="3419"/>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0"/>
      <c r="M40" s="2944"/>
      <c r="N40" s="2944"/>
      <c r="O40" s="3002"/>
      <c r="P40" s="3419"/>
      <c r="Q40" s="1536" t="str">
        <f t="shared" si="14"/>
        <v>临街宽度及深度</v>
      </c>
      <c r="R40" s="714" t="s">
        <v>17</v>
      </c>
      <c r="S40" s="715">
        <f t="shared" si="10"/>
        <v>100</v>
      </c>
      <c r="T40" s="714" t="s">
        <v>17</v>
      </c>
      <c r="U40" s="715">
        <f t="shared" si="11"/>
        <v>100</v>
      </c>
      <c r="V40" s="714" t="s">
        <v>17</v>
      </c>
      <c r="W40" s="715">
        <f t="shared" si="12"/>
        <v>100</v>
      </c>
      <c r="X40" s="1539"/>
      <c r="Y40" s="3419"/>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5"/>
      <c r="M41" s="2946"/>
      <c r="N41" s="2946"/>
      <c r="O41" s="3000"/>
      <c r="P41" s="3419"/>
      <c r="Q41" s="1536" t="str">
        <f t="shared" si="14"/>
        <v>宗地开发程度</v>
      </c>
      <c r="R41" s="710" t="s">
        <v>17</v>
      </c>
      <c r="S41" s="711">
        <f t="shared" si="10"/>
        <v>100</v>
      </c>
      <c r="T41" s="710" t="s">
        <v>17</v>
      </c>
      <c r="U41" s="711">
        <f t="shared" si="11"/>
        <v>100</v>
      </c>
      <c r="V41" s="710" t="s">
        <v>17</v>
      </c>
      <c r="W41" s="711">
        <f t="shared" si="12"/>
        <v>100</v>
      </c>
      <c r="X41" s="712"/>
      <c r="Y41" s="3419"/>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0"/>
      <c r="M42" s="2944"/>
      <c r="N42" s="2944"/>
      <c r="O42" s="3002"/>
      <c r="P42" s="3419" t="s">
        <v>2386</v>
      </c>
      <c r="Q42" s="1536" t="str">
        <f t="shared" si="14"/>
        <v>工程地质条件</v>
      </c>
      <c r="R42" s="714" t="s">
        <v>17</v>
      </c>
      <c r="S42" s="715">
        <f t="shared" si="10"/>
        <v>100</v>
      </c>
      <c r="T42" s="714" t="s">
        <v>17</v>
      </c>
      <c r="U42" s="715">
        <f t="shared" si="11"/>
        <v>100</v>
      </c>
      <c r="V42" s="714" t="s">
        <v>17</v>
      </c>
      <c r="W42" s="715">
        <f t="shared" si="12"/>
        <v>100</v>
      </c>
      <c r="X42" s="1539"/>
      <c r="Y42" s="3419"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419"/>
      <c r="Q43" s="1536">
        <f t="shared" si="14"/>
        <v>111</v>
      </c>
      <c r="R43" s="714" t="s">
        <v>17</v>
      </c>
      <c r="S43" s="715">
        <f t="shared" si="10"/>
        <v>100</v>
      </c>
      <c r="T43" s="714" t="s">
        <v>17</v>
      </c>
      <c r="U43" s="715">
        <f t="shared" si="11"/>
        <v>100</v>
      </c>
      <c r="V43" s="714" t="s">
        <v>17</v>
      </c>
      <c r="W43" s="715">
        <f t="shared" si="12"/>
        <v>100</v>
      </c>
      <c r="X43" s="1539"/>
      <c r="Y43" s="3419"/>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419"/>
      <c r="Q44" s="1536">
        <f t="shared" si="14"/>
        <v>111</v>
      </c>
      <c r="R44" s="714" t="s">
        <v>17</v>
      </c>
      <c r="S44" s="715">
        <f t="shared" si="10"/>
        <v>100</v>
      </c>
      <c r="T44" s="714" t="s">
        <v>17</v>
      </c>
      <c r="U44" s="715">
        <f t="shared" si="11"/>
        <v>100</v>
      </c>
      <c r="V44" s="714" t="s">
        <v>17</v>
      </c>
      <c r="W44" s="715">
        <f t="shared" si="12"/>
        <v>100</v>
      </c>
      <c r="X44" s="1539"/>
      <c r="Y44" s="3419"/>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419"/>
      <c r="Q45" s="1536">
        <f t="shared" si="14"/>
        <v>111</v>
      </c>
      <c r="R45" s="717" t="s">
        <v>17</v>
      </c>
      <c r="S45" s="718">
        <f t="shared" si="10"/>
        <v>100</v>
      </c>
      <c r="T45" s="717" t="s">
        <v>17</v>
      </c>
      <c r="U45" s="718">
        <f t="shared" si="11"/>
        <v>100</v>
      </c>
      <c r="V45" s="717" t="s">
        <v>17</v>
      </c>
      <c r="W45" s="718">
        <f t="shared" si="12"/>
        <v>100</v>
      </c>
      <c r="X45" s="719"/>
      <c r="Y45" s="3419"/>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2"/>
      <c r="M46" s="2953"/>
      <c r="N46" s="2944"/>
      <c r="O46" s="2953"/>
      <c r="P46" s="3421" t="str">
        <f>A46</f>
        <v>成交单价</v>
      </c>
      <c r="Q46" s="3421"/>
      <c r="R46" s="3409">
        <f>E46</f>
        <v>0</v>
      </c>
      <c r="S46" s="3409"/>
      <c r="T46" s="3409">
        <f>G46</f>
        <v>0</v>
      </c>
      <c r="U46" s="3409"/>
      <c r="V46" s="3409">
        <f>I46</f>
        <v>0</v>
      </c>
      <c r="W46" s="3409"/>
      <c r="X46" s="699"/>
      <c r="Y46" s="721"/>
      <c r="Z46" s="699"/>
      <c r="AA46" s="699"/>
      <c r="AB46" s="699"/>
      <c r="AC46" s="699"/>
    </row>
    <row r="47" spans="1:29" ht="15.75" thickBot="1">
      <c r="A47" s="445" t="s">
        <v>2490</v>
      </c>
      <c r="B47" s="639"/>
      <c r="C47" s="448" t="e">
        <f>R48</f>
        <v>#DIV/0!</v>
      </c>
      <c r="D47" s="2538" t="s">
        <v>2879</v>
      </c>
      <c r="E47" s="448" t="e">
        <f>R47</f>
        <v>#DIV/0!</v>
      </c>
      <c r="F47" s="2539"/>
      <c r="G47" s="447" t="e">
        <f>T47</f>
        <v>#DIV/0!</v>
      </c>
      <c r="H47" s="2539"/>
      <c r="I47" s="448" t="e">
        <f>V47</f>
        <v>#DIV/0!</v>
      </c>
      <c r="J47" s="2539"/>
      <c r="K47" s="2541">
        <f>F47+H47+J47</f>
        <v>0</v>
      </c>
      <c r="L47" s="2952"/>
      <c r="M47" s="2953"/>
      <c r="N47" s="2953"/>
      <c r="O47" s="2953"/>
      <c r="P47" s="3421" t="str">
        <f>A47</f>
        <v>比较价值（元/平方米）</v>
      </c>
      <c r="Q47" s="3421"/>
      <c r="R47" s="3528" t="e">
        <f>ROUND(PRODUCT(R46,AA7:AA45),0)</f>
        <v>#DIV/0!</v>
      </c>
      <c r="S47" s="3528"/>
      <c r="T47" s="3528" t="e">
        <f>ROUND(PRODUCT(T46,AB7:AB45),0)</f>
        <v>#DIV/0!</v>
      </c>
      <c r="U47" s="3528"/>
      <c r="V47" s="3528" t="e">
        <f>ROUND(PRODUCT(V46,AC7:AC45),0)</f>
        <v>#DIV/0!</v>
      </c>
      <c r="W47" s="3528"/>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2"/>
      <c r="M48" s="2953"/>
      <c r="N48" s="2953"/>
      <c r="O48" s="2953"/>
      <c r="P48" s="3523" t="str">
        <f>A48</f>
        <v>估价对象XX用房的比较价值（楼面单价，元/平方米）</v>
      </c>
      <c r="Q48" s="3524"/>
      <c r="R48" s="3529" t="e">
        <f>ROUND(IF(D47="简单平均",AVERAGE(R47:W47),R47*F47+T47*H47+V47*J47),0)</f>
        <v>#DIV/0!</v>
      </c>
      <c r="S48" s="3529"/>
      <c r="T48" s="3529"/>
      <c r="U48" s="3529"/>
      <c r="V48" s="3529"/>
      <c r="W48" s="3529"/>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2579</v>
      </c>
      <c r="B55" s="641" t="s">
        <v>2580</v>
      </c>
      <c r="C55" s="2169" t="s">
        <v>2581</v>
      </c>
      <c r="D55" s="2170" t="s">
        <v>2582</v>
      </c>
      <c r="E55" s="642" t="s">
        <v>2583</v>
      </c>
      <c r="F55" s="1021" t="s">
        <v>2584</v>
      </c>
      <c r="G55" s="3396" t="s">
        <v>2585</v>
      </c>
      <c r="H55" s="3530"/>
      <c r="I55" s="140" t="s">
        <v>2586</v>
      </c>
      <c r="J55" s="2171">
        <f>项目基本情况!F35</f>
        <v>0</v>
      </c>
      <c r="K55" s="2172" t="s">
        <v>2587</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2588</v>
      </c>
      <c r="B56" s="645" t="e">
        <f>C48</f>
        <v>#DIV/0!</v>
      </c>
      <c r="C56" s="646">
        <v>1</v>
      </c>
      <c r="D56" s="1075">
        <v>1</v>
      </c>
      <c r="E56" s="646">
        <f>'数据-汇总表'!E8+'数据-汇总表'!E9</f>
        <v>5947.41</v>
      </c>
      <c r="F56" s="1017" t="e">
        <f t="shared" ref="F56:F65" si="15">ROUND(B56*E56/10000,0)</f>
        <v>#DIV/0!</v>
      </c>
      <c r="G56" s="3392"/>
      <c r="H56" s="3421"/>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2589</v>
      </c>
      <c r="B57" s="224" t="e">
        <f>ROUND($C$48*C57*D57,0)</f>
        <v>#DIV/0!</v>
      </c>
      <c r="C57" s="176">
        <f t="shared" ref="C57:C65" si="16">IF($C$55="北京市系数",I57,J57)</f>
        <v>0</v>
      </c>
      <c r="D57" s="1076">
        <v>0.25</v>
      </c>
      <c r="E57" s="650"/>
      <c r="F57" s="1017" t="e">
        <f t="shared" si="15"/>
        <v>#DIV/0!</v>
      </c>
      <c r="G57" s="3531" t="s">
        <v>2590</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2591</v>
      </c>
      <c r="B58" s="224" t="e">
        <f t="shared" ref="B58:B65" si="17">ROUND($C$48*C58*D58,0)</f>
        <v>#DIV/0!</v>
      </c>
      <c r="C58" s="176">
        <f t="shared" si="16"/>
        <v>0</v>
      </c>
      <c r="D58" s="1076">
        <v>0.25</v>
      </c>
      <c r="E58" s="650"/>
      <c r="F58" s="1017" t="e">
        <f t="shared" si="15"/>
        <v>#DIV/0!</v>
      </c>
      <c r="G58" s="3531"/>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2592</v>
      </c>
      <c r="B59" s="224" t="e">
        <f t="shared" si="17"/>
        <v>#DIV/0!</v>
      </c>
      <c r="C59" s="176">
        <f t="shared" si="16"/>
        <v>0</v>
      </c>
      <c r="D59" s="1076">
        <v>0.25</v>
      </c>
      <c r="E59" s="650"/>
      <c r="F59" s="1017" t="e">
        <f t="shared" si="15"/>
        <v>#DIV/0!</v>
      </c>
      <c r="G59" s="3531"/>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2593</v>
      </c>
      <c r="B60" s="224" t="e">
        <f t="shared" si="17"/>
        <v>#DIV/0!</v>
      </c>
      <c r="C60" s="176">
        <f t="shared" si="16"/>
        <v>0</v>
      </c>
      <c r="D60" s="1076">
        <v>0.25</v>
      </c>
      <c r="E60" s="650"/>
      <c r="F60" s="1017" t="e">
        <f t="shared" si="15"/>
        <v>#DIV/0!</v>
      </c>
      <c r="G60" s="3531"/>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2594</v>
      </c>
      <c r="B61" s="224" t="e">
        <f t="shared" si="17"/>
        <v>#DIV/0!</v>
      </c>
      <c r="C61" s="176">
        <f t="shared" si="16"/>
        <v>0.3</v>
      </c>
      <c r="D61" s="1076">
        <v>0.25</v>
      </c>
      <c r="E61" s="223">
        <f>'数据-汇总表'!E11</f>
        <v>2094.88</v>
      </c>
      <c r="F61" s="1017" t="e">
        <f t="shared" si="15"/>
        <v>#DIV/0!</v>
      </c>
      <c r="G61" s="2173" t="s">
        <v>2595</v>
      </c>
      <c r="H61" s="1018" t="str">
        <f>项目基本情况!C37</f>
        <v>一级</v>
      </c>
      <c r="I61" s="1022">
        <f>SUMIF(修正!A45:A56,H61,修正!F45:F56)</f>
        <v>0.3</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2596</v>
      </c>
      <c r="B62" s="224" t="e">
        <f t="shared" si="17"/>
        <v>#DIV/0!</v>
      </c>
      <c r="C62" s="176">
        <f t="shared" si="16"/>
        <v>0.3</v>
      </c>
      <c r="D62" s="1076">
        <v>0.25</v>
      </c>
      <c r="E62" s="223">
        <f>'数据-汇总表'!E12</f>
        <v>0</v>
      </c>
      <c r="F62" s="1017" t="e">
        <f t="shared" si="15"/>
        <v>#DIV/0!</v>
      </c>
      <c r="G62" s="1023" t="s">
        <v>2597</v>
      </c>
      <c r="H62" s="1018" t="str">
        <f>IF(G62="商业",项目基本情况!B37,IF(G62="办公",项目基本情况!C37,IF(G62="住宅",项目基本情况!D37,项目基本情况!E37)))</f>
        <v>一级</v>
      </c>
      <c r="I62" s="1022">
        <f>SUMIF(修正!A45:A56,H62,修正!G45:G56)</f>
        <v>0.3</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2601</v>
      </c>
      <c r="B65" s="224" t="e">
        <f t="shared" si="17"/>
        <v>#DIV/0!</v>
      </c>
      <c r="C65" s="176">
        <f t="shared" si="16"/>
        <v>0.25</v>
      </c>
      <c r="D65" s="1076">
        <v>0.25</v>
      </c>
      <c r="E65" s="223">
        <f>'数据-汇总表'!E15</f>
        <v>0</v>
      </c>
      <c r="F65" s="1017" t="e">
        <f t="shared" si="15"/>
        <v>#DIV/0!</v>
      </c>
      <c r="G65" s="2174" t="s">
        <v>2595</v>
      </c>
      <c r="H65" s="1028" t="str">
        <f>项目基本情况!C37</f>
        <v>一级</v>
      </c>
      <c r="I65" s="1024">
        <f>SUMIF(修正!A45:A56,H65,修正!H45:H56)</f>
        <v>0.25</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2602</v>
      </c>
      <c r="B66" s="652" t="s">
        <v>28</v>
      </c>
      <c r="C66" s="652" t="s">
        <v>29</v>
      </c>
      <c r="D66" s="652" t="s">
        <v>997</v>
      </c>
      <c r="E66" s="652">
        <f>IF(B46="楼面地价",SUM(E56:E65),'数据-汇总表'!D3)</f>
        <v>8042.29</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5" t="s">
        <v>2603</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4"/>
      <c r="Q70" s="2969"/>
      <c r="R70" s="2969"/>
      <c r="S70" s="2969"/>
      <c r="T70" s="2969"/>
      <c r="U70" s="2969"/>
      <c r="V70" s="2969"/>
      <c r="W70" s="2969"/>
      <c r="X70" s="2969"/>
      <c r="Y70" s="2969"/>
      <c r="Z70" s="2969"/>
      <c r="AA70" s="2969"/>
      <c r="AB70" s="2969"/>
      <c r="AC70" s="2969"/>
    </row>
    <row r="71" spans="1:29" s="113" customFormat="1" ht="30" customHeight="1">
      <c r="A71" s="2176" t="s">
        <v>2604</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7"/>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7"/>
      <c r="Q72" s="2967"/>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2605</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0"/>
      <c r="O96" s="2980"/>
      <c r="P96" s="3006"/>
      <c r="Q96" s="2967"/>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0"/>
      <c r="O98" s="2980"/>
      <c r="P98" s="3006"/>
      <c r="Q98" s="2967"/>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2613</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2614</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2615</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2616</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96" t="s">
        <v>2467</v>
      </c>
      <c r="D4" s="3397"/>
      <c r="E4" s="3398" t="s">
        <v>2468</v>
      </c>
      <c r="F4" s="3399"/>
      <c r="G4" s="3396" t="s">
        <v>2469</v>
      </c>
      <c r="H4" s="3397"/>
      <c r="I4" s="3396" t="s">
        <v>2470</v>
      </c>
      <c r="J4" s="3397"/>
      <c r="K4" s="567" t="s">
        <v>2471</v>
      </c>
      <c r="L4" s="2943"/>
      <c r="M4" s="2944"/>
      <c r="N4" s="2944"/>
      <c r="O4" s="2944"/>
      <c r="P4" s="3519" t="s">
        <v>2472</v>
      </c>
      <c r="Q4" s="3520"/>
      <c r="R4" s="3516" t="s">
        <v>2468</v>
      </c>
      <c r="S4" s="3517"/>
      <c r="T4" s="3516" t="s">
        <v>2469</v>
      </c>
      <c r="U4" s="3517"/>
      <c r="V4" s="3409" t="s">
        <v>2470</v>
      </c>
      <c r="W4" s="3409"/>
      <c r="X4" s="1539"/>
      <c r="Y4" s="3516" t="s">
        <v>2472</v>
      </c>
      <c r="Z4" s="3517"/>
      <c r="AA4" s="3515" t="s">
        <v>2468</v>
      </c>
      <c r="AB4" s="3375" t="s">
        <v>2469</v>
      </c>
      <c r="AC4" s="3515" t="s">
        <v>2470</v>
      </c>
    </row>
    <row r="5" spans="1:29" ht="15">
      <c r="A5" s="364"/>
      <c r="B5" s="365"/>
      <c r="C5" s="3385" t="s">
        <v>2363</v>
      </c>
      <c r="D5" s="3386"/>
      <c r="E5" s="3518" t="s">
        <v>2364</v>
      </c>
      <c r="F5" s="3384"/>
      <c r="G5" s="3385" t="s">
        <v>2365</v>
      </c>
      <c r="H5" s="3386"/>
      <c r="I5" s="3385" t="s">
        <v>2366</v>
      </c>
      <c r="J5" s="3386"/>
      <c r="K5" s="567"/>
      <c r="L5" s="2943"/>
      <c r="M5" s="2944"/>
      <c r="N5" s="2944"/>
      <c r="O5" s="2944"/>
      <c r="P5" s="3521"/>
      <c r="Q5" s="3403"/>
      <c r="R5" s="3381"/>
      <c r="S5" s="3382"/>
      <c r="T5" s="3381"/>
      <c r="U5" s="3382"/>
      <c r="V5" s="3409"/>
      <c r="W5" s="3409"/>
      <c r="X5" s="1539"/>
      <c r="Y5" s="3381"/>
      <c r="Z5" s="3382"/>
      <c r="AA5" s="3375"/>
      <c r="AB5" s="3375"/>
      <c r="AC5" s="3375"/>
    </row>
    <row r="6" spans="1:29" ht="15.75" thickBot="1">
      <c r="A6" s="366"/>
      <c r="B6" s="367"/>
      <c r="C6" s="3532" t="s">
        <v>2618</v>
      </c>
      <c r="D6" s="3533"/>
      <c r="E6" s="3534" t="s">
        <v>2618</v>
      </c>
      <c r="F6" s="3535"/>
      <c r="G6" s="3532" t="s">
        <v>2618</v>
      </c>
      <c r="H6" s="3533"/>
      <c r="I6" s="3532" t="s">
        <v>2618</v>
      </c>
      <c r="J6" s="3533"/>
      <c r="K6" s="567" t="s">
        <v>2368</v>
      </c>
      <c r="L6" s="2943"/>
      <c r="M6" s="2944"/>
      <c r="N6" s="2944"/>
      <c r="O6" s="2944"/>
      <c r="P6" s="3522"/>
      <c r="Q6" s="3405"/>
      <c r="R6" s="3381"/>
      <c r="S6" s="3382"/>
      <c r="T6" s="3406"/>
      <c r="U6" s="3407"/>
      <c r="V6" s="3409"/>
      <c r="W6" s="3409"/>
      <c r="X6" s="1539"/>
      <c r="Y6" s="3406"/>
      <c r="Z6" s="3407"/>
      <c r="AA6" s="3376"/>
      <c r="AB6" s="3376"/>
      <c r="AC6" s="3376"/>
    </row>
    <row r="7" spans="1:29" s="113" customFormat="1" ht="15.75" thickBot="1">
      <c r="A7" s="368" t="s">
        <v>2369</v>
      </c>
      <c r="B7" s="369"/>
      <c r="C7" s="370">
        <f>'数据-取费表'!B2</f>
        <v>44396</v>
      </c>
      <c r="D7" s="371">
        <v>100</v>
      </c>
      <c r="E7" s="372"/>
      <c r="F7" s="373">
        <f>SUMIF(65:65,YEAR(E7)&amp;"-"&amp;INT((MONTH(E7)+2)/3),66:66)</f>
        <v>0</v>
      </c>
      <c r="G7" s="2160"/>
      <c r="H7" s="371">
        <f>SUMIF(65:65,YEAR(G7)&amp;"-"&amp;INT((MONTH(G7)+2)/3),66:66)</f>
        <v>0</v>
      </c>
      <c r="I7" s="2160"/>
      <c r="J7" s="371">
        <f>SUMIF(65:65,YEAR(I7)&amp;"-"&amp;INT((MONTH(I7)+2)/3),66:66)</f>
        <v>0</v>
      </c>
      <c r="K7" s="568"/>
      <c r="L7" s="2945"/>
      <c r="M7" s="2946"/>
      <c r="N7" s="2946"/>
      <c r="O7" s="2946"/>
      <c r="P7" s="3377" t="s">
        <v>2370</v>
      </c>
      <c r="Q7" s="3411"/>
      <c r="R7" s="710" t="s">
        <v>17</v>
      </c>
      <c r="S7" s="711">
        <f t="shared" ref="S7:S15" si="0">F7</f>
        <v>0</v>
      </c>
      <c r="T7" s="710" t="s">
        <v>17</v>
      </c>
      <c r="U7" s="711">
        <f t="shared" ref="U7:U15" si="1">H7</f>
        <v>0</v>
      </c>
      <c r="V7" s="710" t="s">
        <v>17</v>
      </c>
      <c r="W7" s="711">
        <f t="shared" ref="W7:W15" si="2">J7</f>
        <v>0</v>
      </c>
      <c r="X7" s="712"/>
      <c r="Y7" s="3377" t="s">
        <v>2370</v>
      </c>
      <c r="Z7" s="3378"/>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77" t="s">
        <v>2373</v>
      </c>
      <c r="Q8" s="3378"/>
      <c r="R8" s="710" t="s">
        <v>17</v>
      </c>
      <c r="S8" s="711">
        <f t="shared" si="0"/>
        <v>0</v>
      </c>
      <c r="T8" s="710" t="s">
        <v>17</v>
      </c>
      <c r="U8" s="711">
        <f t="shared" si="1"/>
        <v>0</v>
      </c>
      <c r="V8" s="710" t="s">
        <v>17</v>
      </c>
      <c r="W8" s="711">
        <f t="shared" si="2"/>
        <v>0</v>
      </c>
      <c r="X8" s="712"/>
      <c r="Y8" s="3377" t="s">
        <v>2373</v>
      </c>
      <c r="Z8" s="3378"/>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5"/>
      <c r="M9" s="2946"/>
      <c r="N9" s="2946"/>
      <c r="O9" s="3000"/>
      <c r="P9" s="3421" t="s">
        <v>2376</v>
      </c>
      <c r="Q9" s="1527" t="str">
        <f t="shared" ref="Q9:Q15" si="6">B9</f>
        <v>用途</v>
      </c>
      <c r="R9" s="710" t="s">
        <v>17</v>
      </c>
      <c r="S9" s="711">
        <f t="shared" si="0"/>
        <v>100</v>
      </c>
      <c r="T9" s="710" t="s">
        <v>17</v>
      </c>
      <c r="U9" s="711">
        <f t="shared" si="1"/>
        <v>100</v>
      </c>
      <c r="V9" s="710" t="s">
        <v>17</v>
      </c>
      <c r="W9" s="711">
        <f t="shared" si="2"/>
        <v>100</v>
      </c>
      <c r="X9" s="712"/>
      <c r="Y9" s="3350"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110</v>
      </c>
      <c r="G10" s="391"/>
      <c r="H10" s="132">
        <f>ROUND(100/'数据-取费表'!G16,0)</f>
        <v>110</v>
      </c>
      <c r="I10" s="391"/>
      <c r="J10" s="132">
        <f>ROUND(100/'数据-取费表'!G16,0)</f>
        <v>110</v>
      </c>
      <c r="K10" s="628"/>
      <c r="L10" s="2947"/>
      <c r="M10" s="2948"/>
      <c r="N10" s="2948"/>
      <c r="O10" s="3001"/>
      <c r="P10" s="3421"/>
      <c r="Q10" s="1527" t="str">
        <f t="shared" si="6"/>
        <v>土地使用年限（年）</v>
      </c>
      <c r="R10" s="710" t="s">
        <v>17</v>
      </c>
      <c r="S10" s="711">
        <f t="shared" si="0"/>
        <v>110</v>
      </c>
      <c r="T10" s="710" t="s">
        <v>17</v>
      </c>
      <c r="U10" s="711">
        <f t="shared" si="1"/>
        <v>110</v>
      </c>
      <c r="V10" s="710" t="s">
        <v>17</v>
      </c>
      <c r="W10" s="711">
        <f t="shared" si="2"/>
        <v>110</v>
      </c>
      <c r="X10" s="712"/>
      <c r="Y10" s="3350"/>
      <c r="Z10" s="55" t="str">
        <f t="shared" si="7"/>
        <v>土地使用年限（年）</v>
      </c>
      <c r="AA10" s="713">
        <f t="shared" si="3"/>
        <v>0.90909090909090906</v>
      </c>
      <c r="AB10" s="713">
        <f t="shared" si="4"/>
        <v>0.90909090909090906</v>
      </c>
      <c r="AC10" s="713">
        <f t="shared" si="5"/>
        <v>0.90909090909090906</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421"/>
      <c r="Q11" s="1527" t="str">
        <f t="shared" si="6"/>
        <v>容积率</v>
      </c>
      <c r="R11" s="710" t="s">
        <v>17</v>
      </c>
      <c r="S11" s="711" t="e">
        <f t="shared" si="0"/>
        <v>#N/A</v>
      </c>
      <c r="T11" s="710" t="s">
        <v>17</v>
      </c>
      <c r="U11" s="711" t="e">
        <f t="shared" si="1"/>
        <v>#N/A</v>
      </c>
      <c r="V11" s="710" t="s">
        <v>17</v>
      </c>
      <c r="W11" s="711" t="e">
        <f t="shared" si="2"/>
        <v>#N/A</v>
      </c>
      <c r="X11" s="712"/>
      <c r="Y11" s="3350"/>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421"/>
      <c r="Q12" s="1527">
        <f t="shared" si="6"/>
        <v>111</v>
      </c>
      <c r="R12" s="710" t="s">
        <v>17</v>
      </c>
      <c r="S12" s="711">
        <f t="shared" si="0"/>
        <v>100</v>
      </c>
      <c r="T12" s="710" t="s">
        <v>17</v>
      </c>
      <c r="U12" s="711">
        <f t="shared" si="1"/>
        <v>100</v>
      </c>
      <c r="V12" s="710" t="s">
        <v>17</v>
      </c>
      <c r="W12" s="711">
        <f t="shared" si="2"/>
        <v>100</v>
      </c>
      <c r="X12" s="712"/>
      <c r="Y12" s="3350"/>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421"/>
      <c r="Q13" s="1527">
        <f t="shared" si="6"/>
        <v>111</v>
      </c>
      <c r="R13" s="710" t="s">
        <v>17</v>
      </c>
      <c r="S13" s="711">
        <f t="shared" si="0"/>
        <v>100</v>
      </c>
      <c r="T13" s="710" t="s">
        <v>17</v>
      </c>
      <c r="U13" s="711">
        <f t="shared" si="1"/>
        <v>100</v>
      </c>
      <c r="V13" s="710" t="s">
        <v>17</v>
      </c>
      <c r="W13" s="711">
        <f t="shared" si="2"/>
        <v>100</v>
      </c>
      <c r="X13" s="712"/>
      <c r="Y13" s="3350"/>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421"/>
      <c r="Q14" s="1527">
        <f t="shared" si="6"/>
        <v>111</v>
      </c>
      <c r="R14" s="710" t="s">
        <v>17</v>
      </c>
      <c r="S14" s="711">
        <f t="shared" si="0"/>
        <v>100</v>
      </c>
      <c r="T14" s="710" t="s">
        <v>17</v>
      </c>
      <c r="U14" s="711">
        <f t="shared" si="1"/>
        <v>100</v>
      </c>
      <c r="V14" s="710" t="s">
        <v>17</v>
      </c>
      <c r="W14" s="711">
        <f t="shared" si="2"/>
        <v>100</v>
      </c>
      <c r="X14" s="712"/>
      <c r="Y14" s="3350"/>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414" t="s">
        <v>2381</v>
      </c>
      <c r="Q15" s="1536" t="str">
        <f t="shared" si="6"/>
        <v>产业集聚程度</v>
      </c>
      <c r="R15" s="714" t="s">
        <v>17</v>
      </c>
      <c r="S15" s="715">
        <f t="shared" si="0"/>
        <v>100</v>
      </c>
      <c r="T15" s="714" t="s">
        <v>17</v>
      </c>
      <c r="U15" s="715">
        <f t="shared" si="1"/>
        <v>100</v>
      </c>
      <c r="V15" s="714" t="s">
        <v>17</v>
      </c>
      <c r="W15" s="715">
        <f t="shared" si="2"/>
        <v>100</v>
      </c>
      <c r="X15" s="1539"/>
      <c r="Y15" s="3414"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0"/>
      <c r="M16" s="2944"/>
      <c r="N16" s="2944"/>
      <c r="O16" s="3002"/>
      <c r="P16" s="3415"/>
      <c r="Q16" s="1536"/>
      <c r="R16" s="714"/>
      <c r="S16" s="715"/>
      <c r="T16" s="714"/>
      <c r="U16" s="715"/>
      <c r="V16" s="714"/>
      <c r="W16" s="715"/>
      <c r="X16" s="1539"/>
      <c r="Y16" s="3415"/>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415"/>
      <c r="Q17" s="1536" t="str">
        <f>B17</f>
        <v>交通便捷度</v>
      </c>
      <c r="R17" s="714" t="s">
        <v>17</v>
      </c>
      <c r="S17" s="715">
        <f>F17</f>
        <v>100</v>
      </c>
      <c r="T17" s="714" t="s">
        <v>17</v>
      </c>
      <c r="U17" s="715">
        <f>H17</f>
        <v>100</v>
      </c>
      <c r="V17" s="714" t="s">
        <v>17</v>
      </c>
      <c r="W17" s="715">
        <f>J17</f>
        <v>100</v>
      </c>
      <c r="X17" s="1539"/>
      <c r="Y17" s="3415"/>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0"/>
      <c r="M18" s="2944"/>
      <c r="N18" s="2944"/>
      <c r="O18" s="3002"/>
      <c r="P18" s="3415"/>
      <c r="Q18" s="1536"/>
      <c r="R18" s="714"/>
      <c r="S18" s="715"/>
      <c r="T18" s="714"/>
      <c r="U18" s="715"/>
      <c r="V18" s="714"/>
      <c r="W18" s="715"/>
      <c r="X18" s="1539"/>
      <c r="Y18" s="3415"/>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415"/>
      <c r="Q19" s="1536" t="str">
        <f t="shared" ref="Q19:Q33" si="8">B19</f>
        <v>区域土地利用方向</v>
      </c>
      <c r="R19" s="714" t="s">
        <v>17</v>
      </c>
      <c r="S19" s="715">
        <f>F19</f>
        <v>100</v>
      </c>
      <c r="T19" s="714" t="s">
        <v>17</v>
      </c>
      <c r="U19" s="715">
        <f>H19</f>
        <v>100</v>
      </c>
      <c r="V19" s="714" t="s">
        <v>17</v>
      </c>
      <c r="W19" s="715">
        <f>J19</f>
        <v>100</v>
      </c>
      <c r="X19" s="1539"/>
      <c r="Y19" s="3415"/>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0"/>
      <c r="M20" s="2944"/>
      <c r="N20" s="2944"/>
      <c r="O20" s="3002"/>
      <c r="P20" s="3415"/>
      <c r="Q20" s="1536"/>
      <c r="R20" s="714"/>
      <c r="S20" s="715"/>
      <c r="T20" s="714"/>
      <c r="U20" s="715"/>
      <c r="V20" s="714"/>
      <c r="W20" s="715"/>
      <c r="X20" s="1539"/>
      <c r="Y20" s="3415"/>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415"/>
      <c r="Q21" s="1536" t="str">
        <f t="shared" si="8"/>
        <v>环境状况</v>
      </c>
      <c r="R21" s="714" t="s">
        <v>17</v>
      </c>
      <c r="S21" s="715">
        <f>F21</f>
        <v>100</v>
      </c>
      <c r="T21" s="714" t="s">
        <v>17</v>
      </c>
      <c r="U21" s="715">
        <f>H21</f>
        <v>100</v>
      </c>
      <c r="V21" s="714" t="s">
        <v>17</v>
      </c>
      <c r="W21" s="715">
        <f>J21</f>
        <v>100</v>
      </c>
      <c r="X21" s="1539"/>
      <c r="Y21" s="3415"/>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0"/>
      <c r="M22" s="2944"/>
      <c r="N22" s="2944"/>
      <c r="O22" s="3002"/>
      <c r="P22" s="3415"/>
      <c r="Q22" s="1536"/>
      <c r="R22" s="714"/>
      <c r="S22" s="715"/>
      <c r="T22" s="714"/>
      <c r="U22" s="715"/>
      <c r="V22" s="714"/>
      <c r="W22" s="715"/>
      <c r="X22" s="1539"/>
      <c r="Y22" s="3415"/>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415"/>
      <c r="Q23" s="1527" t="str">
        <f t="shared" si="8"/>
        <v>公共配套设施</v>
      </c>
      <c r="R23" s="710" t="s">
        <v>17</v>
      </c>
      <c r="S23" s="711">
        <f>F23</f>
        <v>100</v>
      </c>
      <c r="T23" s="710" t="s">
        <v>17</v>
      </c>
      <c r="U23" s="711">
        <f>H23</f>
        <v>100</v>
      </c>
      <c r="V23" s="710" t="s">
        <v>17</v>
      </c>
      <c r="W23" s="711">
        <f>J23</f>
        <v>100</v>
      </c>
      <c r="X23" s="712"/>
      <c r="Y23" s="3415"/>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5"/>
      <c r="M24" s="2946"/>
      <c r="N24" s="2946"/>
      <c r="O24" s="3000"/>
      <c r="P24" s="3415"/>
      <c r="Q24" s="1527"/>
      <c r="R24" s="710"/>
      <c r="S24" s="711"/>
      <c r="T24" s="710"/>
      <c r="U24" s="711"/>
      <c r="V24" s="710"/>
      <c r="W24" s="711"/>
      <c r="X24" s="712"/>
      <c r="Y24" s="3415"/>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415"/>
      <c r="Q25" s="1527" t="str">
        <f t="shared" ref="Q25" si="9">B25</f>
        <v>基础设施水平</v>
      </c>
      <c r="R25" s="710" t="s">
        <v>17</v>
      </c>
      <c r="S25" s="711">
        <f>F25</f>
        <v>100</v>
      </c>
      <c r="T25" s="710" t="s">
        <v>17</v>
      </c>
      <c r="U25" s="711">
        <f>H25</f>
        <v>100</v>
      </c>
      <c r="V25" s="710" t="s">
        <v>17</v>
      </c>
      <c r="W25" s="711">
        <f>J25</f>
        <v>100</v>
      </c>
      <c r="X25" s="712"/>
      <c r="Y25" s="3415"/>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5"/>
      <c r="M26" s="2946"/>
      <c r="N26" s="2946"/>
      <c r="O26" s="3000"/>
      <c r="P26" s="3415"/>
      <c r="Q26" s="1527"/>
      <c r="R26" s="710"/>
      <c r="S26" s="711"/>
      <c r="T26" s="710"/>
      <c r="U26" s="711"/>
      <c r="V26" s="710"/>
      <c r="W26" s="711"/>
      <c r="X26" s="712"/>
      <c r="Y26" s="3415"/>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415"/>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415"/>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415"/>
      <c r="Q28" s="1536" t="str">
        <f t="shared" si="8"/>
        <v>毗邻道路的类型与等级</v>
      </c>
      <c r="R28" s="714" t="s">
        <v>17</v>
      </c>
      <c r="S28" s="715">
        <f t="shared" si="10"/>
        <v>100</v>
      </c>
      <c r="T28" s="714" t="s">
        <v>17</v>
      </c>
      <c r="U28" s="715">
        <f t="shared" si="11"/>
        <v>100</v>
      </c>
      <c r="V28" s="714" t="s">
        <v>17</v>
      </c>
      <c r="W28" s="715">
        <f t="shared" si="12"/>
        <v>100</v>
      </c>
      <c r="X28" s="1539"/>
      <c r="Y28" s="3415"/>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0"/>
      <c r="M29" s="2944"/>
      <c r="N29" s="2944"/>
      <c r="O29" s="3002"/>
      <c r="P29" s="3415"/>
      <c r="Q29" s="1536"/>
      <c r="R29" s="714"/>
      <c r="S29" s="715"/>
      <c r="T29" s="714"/>
      <c r="U29" s="715"/>
      <c r="V29" s="714"/>
      <c r="W29" s="715"/>
      <c r="X29" s="1539"/>
      <c r="Y29" s="3415"/>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415"/>
      <c r="Q30" s="1536" t="str">
        <f t="shared" si="8"/>
        <v>土地级别</v>
      </c>
      <c r="R30" s="714" t="s">
        <v>17</v>
      </c>
      <c r="S30" s="715">
        <f t="shared" si="10"/>
        <v>100</v>
      </c>
      <c r="T30" s="714" t="s">
        <v>17</v>
      </c>
      <c r="U30" s="715">
        <f t="shared" si="11"/>
        <v>100</v>
      </c>
      <c r="V30" s="714" t="s">
        <v>17</v>
      </c>
      <c r="W30" s="715">
        <f t="shared" si="12"/>
        <v>100</v>
      </c>
      <c r="X30" s="1539"/>
      <c r="Y30" s="3415"/>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415"/>
      <c r="Q31" s="1536">
        <f t="shared" si="8"/>
        <v>111</v>
      </c>
      <c r="R31" s="714" t="s">
        <v>17</v>
      </c>
      <c r="S31" s="715">
        <f t="shared" si="10"/>
        <v>100</v>
      </c>
      <c r="T31" s="714" t="s">
        <v>17</v>
      </c>
      <c r="U31" s="715">
        <f t="shared" si="11"/>
        <v>100</v>
      </c>
      <c r="V31" s="714" t="s">
        <v>17</v>
      </c>
      <c r="W31" s="715">
        <f t="shared" si="12"/>
        <v>100</v>
      </c>
      <c r="X31" s="1539"/>
      <c r="Y31" s="3415"/>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526" t="s">
        <v>2386</v>
      </c>
      <c r="Q32" s="1536">
        <f t="shared" si="8"/>
        <v>111</v>
      </c>
      <c r="R32" s="714" t="s">
        <v>17</v>
      </c>
      <c r="S32" s="715">
        <f t="shared" si="10"/>
        <v>100</v>
      </c>
      <c r="T32" s="714" t="s">
        <v>17</v>
      </c>
      <c r="U32" s="715">
        <f t="shared" si="11"/>
        <v>100</v>
      </c>
      <c r="V32" s="714" t="s">
        <v>17</v>
      </c>
      <c r="W32" s="715">
        <f t="shared" si="12"/>
        <v>100</v>
      </c>
      <c r="X32" s="1539"/>
      <c r="Y32" s="3419"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419"/>
      <c r="Q33" s="1536">
        <f t="shared" si="8"/>
        <v>111</v>
      </c>
      <c r="R33" s="717" t="s">
        <v>17</v>
      </c>
      <c r="S33" s="718">
        <f t="shared" si="10"/>
        <v>100</v>
      </c>
      <c r="T33" s="717" t="s">
        <v>17</v>
      </c>
      <c r="U33" s="718">
        <f t="shared" si="11"/>
        <v>100</v>
      </c>
      <c r="V33" s="717" t="s">
        <v>17</v>
      </c>
      <c r="W33" s="718">
        <f t="shared" si="12"/>
        <v>100</v>
      </c>
      <c r="X33" s="719"/>
      <c r="Y33" s="3419"/>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419"/>
      <c r="Q34" s="1536" t="str">
        <f>B34</f>
        <v>宗地面积</v>
      </c>
      <c r="R34" s="714" t="s">
        <v>17</v>
      </c>
      <c r="S34" s="715" t="e">
        <f t="shared" si="10"/>
        <v>#N/A</v>
      </c>
      <c r="T34" s="714" t="s">
        <v>17</v>
      </c>
      <c r="U34" s="715" t="e">
        <f t="shared" si="11"/>
        <v>#N/A</v>
      </c>
      <c r="V34" s="714" t="s">
        <v>17</v>
      </c>
      <c r="W34" s="715" t="e">
        <f t="shared" si="12"/>
        <v>#N/A</v>
      </c>
      <c r="X34" s="1539"/>
      <c r="Y34" s="3419"/>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0"/>
      <c r="M35" s="2944"/>
      <c r="N35" s="2944"/>
      <c r="O35" s="3002"/>
      <c r="P35" s="3419"/>
      <c r="Q35" s="1536" t="str">
        <f t="shared" ref="Q35:Q40" si="14">B35</f>
        <v>宗地形状</v>
      </c>
      <c r="R35" s="714" t="s">
        <v>17</v>
      </c>
      <c r="S35" s="715">
        <f t="shared" si="10"/>
        <v>100</v>
      </c>
      <c r="T35" s="714" t="s">
        <v>17</v>
      </c>
      <c r="U35" s="715">
        <f t="shared" si="11"/>
        <v>100</v>
      </c>
      <c r="V35" s="714" t="s">
        <v>17</v>
      </c>
      <c r="W35" s="715">
        <f t="shared" si="12"/>
        <v>100</v>
      </c>
      <c r="X35" s="1539"/>
      <c r="Y35" s="3419"/>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5"/>
      <c r="M36" s="2946"/>
      <c r="N36" s="2946"/>
      <c r="O36" s="3000"/>
      <c r="P36" s="3419"/>
      <c r="Q36" s="1536" t="str">
        <f t="shared" si="14"/>
        <v>宗地开发程度</v>
      </c>
      <c r="R36" s="710" t="s">
        <v>17</v>
      </c>
      <c r="S36" s="711">
        <f t="shared" si="10"/>
        <v>100</v>
      </c>
      <c r="T36" s="710" t="s">
        <v>17</v>
      </c>
      <c r="U36" s="711">
        <f t="shared" si="11"/>
        <v>100</v>
      </c>
      <c r="V36" s="710" t="s">
        <v>17</v>
      </c>
      <c r="W36" s="711">
        <f t="shared" si="12"/>
        <v>100</v>
      </c>
      <c r="X36" s="712"/>
      <c r="Y36" s="3419"/>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0"/>
      <c r="M37" s="2944"/>
      <c r="N37" s="2944"/>
      <c r="O37" s="3002"/>
      <c r="P37" s="3419" t="s">
        <v>2386</v>
      </c>
      <c r="Q37" s="1536" t="str">
        <f t="shared" si="14"/>
        <v>工程地质条件</v>
      </c>
      <c r="R37" s="714" t="s">
        <v>17</v>
      </c>
      <c r="S37" s="715">
        <f t="shared" si="10"/>
        <v>100</v>
      </c>
      <c r="T37" s="714" t="s">
        <v>17</v>
      </c>
      <c r="U37" s="715">
        <f t="shared" si="11"/>
        <v>100</v>
      </c>
      <c r="V37" s="714" t="s">
        <v>17</v>
      </c>
      <c r="W37" s="715">
        <f t="shared" si="12"/>
        <v>100</v>
      </c>
      <c r="X37" s="1539"/>
      <c r="Y37" s="3419"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419"/>
      <c r="Q38" s="1536">
        <f t="shared" si="14"/>
        <v>111</v>
      </c>
      <c r="R38" s="714" t="s">
        <v>17</v>
      </c>
      <c r="S38" s="715">
        <f t="shared" si="10"/>
        <v>100</v>
      </c>
      <c r="T38" s="714" t="s">
        <v>17</v>
      </c>
      <c r="U38" s="715">
        <f t="shared" si="11"/>
        <v>100</v>
      </c>
      <c r="V38" s="714" t="s">
        <v>17</v>
      </c>
      <c r="W38" s="715">
        <f t="shared" si="12"/>
        <v>100</v>
      </c>
      <c r="X38" s="1539"/>
      <c r="Y38" s="3419"/>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419"/>
      <c r="Q39" s="1536">
        <f t="shared" si="14"/>
        <v>111</v>
      </c>
      <c r="R39" s="714" t="s">
        <v>17</v>
      </c>
      <c r="S39" s="715">
        <f t="shared" si="10"/>
        <v>100</v>
      </c>
      <c r="T39" s="714" t="s">
        <v>17</v>
      </c>
      <c r="U39" s="715">
        <f t="shared" si="11"/>
        <v>100</v>
      </c>
      <c r="V39" s="714" t="s">
        <v>17</v>
      </c>
      <c r="W39" s="715">
        <f t="shared" si="12"/>
        <v>100</v>
      </c>
      <c r="X39" s="1539"/>
      <c r="Y39" s="3419"/>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419"/>
      <c r="Q40" s="1536">
        <f t="shared" si="14"/>
        <v>111</v>
      </c>
      <c r="R40" s="717" t="s">
        <v>17</v>
      </c>
      <c r="S40" s="718">
        <f t="shared" si="10"/>
        <v>100</v>
      </c>
      <c r="T40" s="717" t="s">
        <v>17</v>
      </c>
      <c r="U40" s="718">
        <f t="shared" si="11"/>
        <v>100</v>
      </c>
      <c r="V40" s="717" t="s">
        <v>17</v>
      </c>
      <c r="W40" s="718">
        <f t="shared" si="12"/>
        <v>100</v>
      </c>
      <c r="X40" s="719"/>
      <c r="Y40" s="3419"/>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2"/>
      <c r="M41" s="2944"/>
      <c r="N41" s="2944"/>
      <c r="O41" s="2953"/>
      <c r="P41" s="3421" t="str">
        <f>A41</f>
        <v>成交单价</v>
      </c>
      <c r="Q41" s="3421"/>
      <c r="R41" s="3409">
        <f>E41</f>
        <v>0</v>
      </c>
      <c r="S41" s="3409"/>
      <c r="T41" s="3409">
        <f>G41</f>
        <v>0</v>
      </c>
      <c r="U41" s="3409"/>
      <c r="V41" s="3409">
        <f>I41</f>
        <v>0</v>
      </c>
      <c r="W41" s="3409"/>
      <c r="X41" s="699"/>
      <c r="Y41" s="721"/>
      <c r="Z41" s="699"/>
      <c r="AA41" s="699"/>
      <c r="AB41" s="699"/>
      <c r="AC41" s="699"/>
    </row>
    <row r="42" spans="1:31" ht="15.75" thickBot="1">
      <c r="A42" s="445" t="s">
        <v>2490</v>
      </c>
      <c r="B42" s="639"/>
      <c r="C42" s="448" t="e">
        <f>R43</f>
        <v>#DIV/0!</v>
      </c>
      <c r="D42" s="2538" t="s">
        <v>2879</v>
      </c>
      <c r="E42" s="448" t="e">
        <f>R42</f>
        <v>#DIV/0!</v>
      </c>
      <c r="F42" s="2539"/>
      <c r="G42" s="447" t="e">
        <f>T42</f>
        <v>#DIV/0!</v>
      </c>
      <c r="H42" s="2539"/>
      <c r="I42" s="448" t="e">
        <f>V42</f>
        <v>#DIV/0!</v>
      </c>
      <c r="J42" s="2539"/>
      <c r="K42" s="2541">
        <f>F42+H42+J42</f>
        <v>0</v>
      </c>
      <c r="L42" s="2952"/>
      <c r="M42" s="2944"/>
      <c r="N42" s="2944"/>
      <c r="O42" s="2953"/>
      <c r="P42" s="3421" t="str">
        <f>A42</f>
        <v>比较价值（元/平方米）</v>
      </c>
      <c r="Q42" s="3421"/>
      <c r="R42" s="3528" t="e">
        <f>ROUND(PRODUCT(R41,AA7:AA40),0)</f>
        <v>#DIV/0!</v>
      </c>
      <c r="S42" s="3528"/>
      <c r="T42" s="3528" t="e">
        <f>ROUND(PRODUCT(T41,AB7:AB40),0)</f>
        <v>#DIV/0!</v>
      </c>
      <c r="U42" s="3528"/>
      <c r="V42" s="3528" t="e">
        <f>ROUND(PRODUCT(V41,AC7:AC40),0)</f>
        <v>#DIV/0!</v>
      </c>
      <c r="W42" s="3528"/>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2"/>
      <c r="M43" s="2944"/>
      <c r="N43" s="2944"/>
      <c r="O43" s="2953"/>
      <c r="P43" s="3523" t="str">
        <f>A43</f>
        <v>估价对象XX用房的比较价值（楼面单价，元/平方米）</v>
      </c>
      <c r="Q43" s="3524"/>
      <c r="R43" s="3529" t="e">
        <f>ROUND(IF(D42="简单平均",AVERAGE(R42:W42),R42*F42+T42*H42+V42*J42),0)</f>
        <v>#DIV/0!</v>
      </c>
      <c r="S43" s="3529"/>
      <c r="T43" s="3529"/>
      <c r="U43" s="3529"/>
      <c r="V43" s="3529"/>
      <c r="W43" s="3529"/>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2579</v>
      </c>
      <c r="B50" s="641" t="s">
        <v>2580</v>
      </c>
      <c r="C50" s="2169" t="s">
        <v>2581</v>
      </c>
      <c r="D50" s="2170" t="s">
        <v>2582</v>
      </c>
      <c r="E50" s="642" t="s">
        <v>2583</v>
      </c>
      <c r="F50" s="643" t="s">
        <v>2584</v>
      </c>
      <c r="G50" s="3396" t="s">
        <v>2585</v>
      </c>
      <c r="H50" s="3530"/>
      <c r="I50" s="1540" t="s">
        <v>2622</v>
      </c>
      <c r="J50" s="1540">
        <f>项目基本情况!F35</f>
        <v>0</v>
      </c>
      <c r="K50" s="2172"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2588</v>
      </c>
      <c r="B51" s="645" t="e">
        <f>C43</f>
        <v>#DIV/0!</v>
      </c>
      <c r="C51" s="646">
        <v>1</v>
      </c>
      <c r="D51" s="1075">
        <v>1</v>
      </c>
      <c r="E51" s="646">
        <f>'数据-汇总表'!E8+'数据-汇总表'!E9</f>
        <v>5947.41</v>
      </c>
      <c r="F51" s="647" t="e">
        <f t="shared" ref="F51:F60" si="15">ROUND(B51*E51/10000,0)</f>
        <v>#DIV/0!</v>
      </c>
      <c r="G51" s="3392"/>
      <c r="H51" s="3421"/>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2589</v>
      </c>
      <c r="B52" s="224" t="e">
        <f>ROUND($C$43*C52*D52,0)</f>
        <v>#DIV/0!</v>
      </c>
      <c r="C52" s="176">
        <f t="shared" ref="C52:C60" si="16">IF($C$50="北京市系数",I52,J52)</f>
        <v>0</v>
      </c>
      <c r="D52" s="1076">
        <v>0.25</v>
      </c>
      <c r="E52" s="650"/>
      <c r="F52" s="647" t="e">
        <f t="shared" si="15"/>
        <v>#DIV/0!</v>
      </c>
      <c r="G52" s="3531" t="s">
        <v>2590</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2591</v>
      </c>
      <c r="B53" s="224" t="e">
        <f t="shared" ref="B53:B60" si="17">ROUND($C$43*C53*D53,0)</f>
        <v>#DIV/0!</v>
      </c>
      <c r="C53" s="176">
        <f t="shared" si="16"/>
        <v>0</v>
      </c>
      <c r="D53" s="1076">
        <v>0.25</v>
      </c>
      <c r="E53" s="650"/>
      <c r="F53" s="647" t="e">
        <f t="shared" si="15"/>
        <v>#DIV/0!</v>
      </c>
      <c r="G53" s="3531"/>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2592</v>
      </c>
      <c r="B54" s="224" t="e">
        <f t="shared" si="17"/>
        <v>#DIV/0!</v>
      </c>
      <c r="C54" s="176">
        <f t="shared" si="16"/>
        <v>0</v>
      </c>
      <c r="D54" s="1076">
        <v>0.25</v>
      </c>
      <c r="E54" s="650"/>
      <c r="F54" s="647" t="e">
        <f t="shared" si="15"/>
        <v>#DIV/0!</v>
      </c>
      <c r="G54" s="3531"/>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2593</v>
      </c>
      <c r="B55" s="224" t="e">
        <f t="shared" si="17"/>
        <v>#DIV/0!</v>
      </c>
      <c r="C55" s="176">
        <f t="shared" si="16"/>
        <v>0</v>
      </c>
      <c r="D55" s="1076">
        <v>0.25</v>
      </c>
      <c r="E55" s="650"/>
      <c r="F55" s="647" t="e">
        <f t="shared" si="15"/>
        <v>#DIV/0!</v>
      </c>
      <c r="G55" s="3531"/>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2594</v>
      </c>
      <c r="B56" s="224" t="e">
        <f t="shared" si="17"/>
        <v>#DIV/0!</v>
      </c>
      <c r="C56" s="176">
        <f t="shared" si="16"/>
        <v>0.3</v>
      </c>
      <c r="D56" s="1076">
        <v>0.25</v>
      </c>
      <c r="E56" s="223">
        <f>'数据-汇总表'!E11</f>
        <v>2094.88</v>
      </c>
      <c r="F56" s="647" t="e">
        <f t="shared" si="15"/>
        <v>#DIV/0!</v>
      </c>
      <c r="G56" s="2173" t="s">
        <v>2595</v>
      </c>
      <c r="H56" s="1018" t="str">
        <f>项目基本情况!C37</f>
        <v>一级</v>
      </c>
      <c r="I56" s="879">
        <f>SUMIF(修正!A45:A56,H56,修正!F45:F56)</f>
        <v>0.3</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2596</v>
      </c>
      <c r="B57" s="224" t="e">
        <f t="shared" si="17"/>
        <v>#DIV/0!</v>
      </c>
      <c r="C57" s="176">
        <f t="shared" si="16"/>
        <v>0.3</v>
      </c>
      <c r="D57" s="1076">
        <v>0.25</v>
      </c>
      <c r="E57" s="223">
        <f>'数据-汇总表'!E12</f>
        <v>0</v>
      </c>
      <c r="F57" s="647" t="e">
        <f t="shared" si="15"/>
        <v>#DIV/0!</v>
      </c>
      <c r="G57" s="1023" t="s">
        <v>2597</v>
      </c>
      <c r="H57" s="1018" t="str">
        <f>IF(G57="商业",项目基本情况!B37,IF(G57="办公",项目基本情况!C37,IF(G57="住宅",项目基本情况!D37,项目基本情况!E37)))</f>
        <v>一级</v>
      </c>
      <c r="I57" s="879">
        <f>SUMIF(修正!A45:A56,H57,修正!G45:G56)</f>
        <v>0.3</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2601</v>
      </c>
      <c r="B60" s="224" t="e">
        <f t="shared" si="17"/>
        <v>#DIV/0!</v>
      </c>
      <c r="C60" s="176">
        <f t="shared" si="16"/>
        <v>0.25</v>
      </c>
      <c r="D60" s="1076">
        <v>0.25</v>
      </c>
      <c r="E60" s="223">
        <f>'数据-汇总表'!E15</f>
        <v>0</v>
      </c>
      <c r="F60" s="647" t="e">
        <f t="shared" si="15"/>
        <v>#DIV/0!</v>
      </c>
      <c r="G60" s="2174" t="s">
        <v>2595</v>
      </c>
      <c r="H60" s="1028" t="str">
        <f>项目基本情况!C37</f>
        <v>一级</v>
      </c>
      <c r="I60" s="879">
        <f>SUMIF(修正!A45:A56,H60,修正!H45:H56)</f>
        <v>0.25</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2602</v>
      </c>
      <c r="B61" s="652" t="s">
        <v>28</v>
      </c>
      <c r="C61" s="652" t="s">
        <v>29</v>
      </c>
      <c r="D61" s="652" t="s">
        <v>997</v>
      </c>
      <c r="E61" s="652">
        <f>IF(B41="楼面地价",SUM(E51:E60),'数据-汇总表'!D3)</f>
        <v>3986.98</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5" t="s">
        <v>2603</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0" t="s">
        <v>2623</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7"/>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0"/>
      <c r="O87" s="2980"/>
      <c r="P87" s="3006"/>
      <c r="Q87" s="2967"/>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0"/>
      <c r="O89" s="2980"/>
      <c r="P89" s="3006"/>
      <c r="Q89" s="2967"/>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2613</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2615</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2616</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8">
      <c r="A3" s="3189" t="str">
        <f>IF(项目基本情况!B9="房地产市场价值","估价结果一览表（市场价值不需“结果表-1”）","估价结果一览表")</f>
        <v>估价结果一览表</v>
      </c>
      <c r="B3" s="3189"/>
      <c r="C3" s="3189"/>
      <c r="D3" s="3189"/>
      <c r="E3" s="3189"/>
    </row>
    <row r="4" spans="1:5" ht="19.5" thickBot="1">
      <c r="A4" s="1678"/>
      <c r="B4" s="3187" t="s">
        <v>1595</v>
      </c>
      <c r="C4" s="3187"/>
      <c r="D4" s="3187"/>
      <c r="E4" s="1678"/>
    </row>
    <row r="5" spans="1:5" ht="16.5" thickTop="1">
      <c r="A5" s="1676"/>
      <c r="B5" s="3185" t="s">
        <v>1587</v>
      </c>
      <c r="C5" s="1679" t="s">
        <v>1588</v>
      </c>
      <c r="D5" s="959">
        <f ca="1">结果表!H101</f>
        <v>46880</v>
      </c>
      <c r="E5" s="1676"/>
    </row>
    <row r="6" spans="1:5" ht="15.75">
      <c r="A6" s="1676"/>
      <c r="B6" s="3185"/>
      <c r="C6" s="1679" t="s">
        <v>1589</v>
      </c>
      <c r="D6" s="959" t="str">
        <f ca="1">NUMBERSTRING(INT(D5*10000),2)&amp;"元整"</f>
        <v>肆亿陆仟捌佰捌拾万元整</v>
      </c>
      <c r="E6" s="1676"/>
    </row>
    <row r="7" spans="1:5" ht="15.75">
      <c r="A7" s="1676"/>
      <c r="B7" s="3190"/>
      <c r="C7" s="1680" t="s">
        <v>1590</v>
      </c>
      <c r="D7" s="960">
        <f ca="1">结果表!H102</f>
        <v>58292</v>
      </c>
      <c r="E7" s="1676"/>
    </row>
    <row r="8" spans="1:5" ht="15.75">
      <c r="A8" s="1676"/>
      <c r="B8" s="3191" t="str">
        <f>结果表!E103</f>
        <v>2.估价师知悉的法定优先受偿款</v>
      </c>
      <c r="C8" s="1681" t="s">
        <v>1591</v>
      </c>
      <c r="D8" s="960">
        <f>结果表!H103</f>
        <v>0</v>
      </c>
      <c r="E8" s="1676"/>
    </row>
    <row r="9" spans="1:5" ht="15.75">
      <c r="A9" s="1676"/>
      <c r="B9" s="3193"/>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184" t="str">
        <f>结果表!E107</f>
        <v>3.房地产抵押价值</v>
      </c>
      <c r="C13" s="1684" t="s">
        <v>1588</v>
      </c>
      <c r="D13" s="962">
        <f ca="1">结果表!H107</f>
        <v>46880</v>
      </c>
      <c r="E13" s="1676"/>
    </row>
    <row r="14" spans="1:5" ht="15.75">
      <c r="A14" s="1676"/>
      <c r="B14" s="3185"/>
      <c r="C14" s="1679" t="s">
        <v>1589</v>
      </c>
      <c r="D14" s="959" t="str">
        <f ca="1">NUMBERSTRING(INT(D13*10000),2)&amp;"元整"</f>
        <v>肆亿陆仟捌佰捌拾万元整</v>
      </c>
      <c r="E14" s="1676"/>
    </row>
    <row r="15" spans="1:5" ht="15">
      <c r="A15" s="1676"/>
      <c r="B15" s="3190"/>
      <c r="C15" s="1680" t="s">
        <v>1599</v>
      </c>
      <c r="D15" s="968">
        <f ca="1">结果表!H108</f>
        <v>58292</v>
      </c>
      <c r="E15" s="1676"/>
    </row>
    <row r="16" spans="1:5" ht="15">
      <c r="A16" s="1676"/>
      <c r="B16" s="3191" t="str">
        <f>结果表!E109</f>
        <v>——</v>
      </c>
      <c r="C16" s="1684" t="s">
        <v>1600</v>
      </c>
      <c r="D16" s="1685" t="str">
        <f>结果表!H109</f>
        <v>——</v>
      </c>
      <c r="E16" s="1676"/>
    </row>
    <row r="17" spans="1:5" ht="15.75">
      <c r="A17" s="1676"/>
      <c r="B17" s="3192"/>
      <c r="C17" s="1679" t="s">
        <v>1601</v>
      </c>
      <c r="D17" s="959" t="e">
        <f>NUMBERSTRING(INT(D16*10000),2)&amp;"元整"</f>
        <v>#VALUE!</v>
      </c>
      <c r="E17" s="1676"/>
    </row>
    <row r="18" spans="1:5" ht="15">
      <c r="A18" s="1676"/>
      <c r="B18" s="3193"/>
      <c r="C18" s="1680" t="s">
        <v>1590</v>
      </c>
      <c r="D18" s="968" t="str">
        <f>结果表!H110</f>
        <v>——</v>
      </c>
      <c r="E18" s="1676"/>
    </row>
    <row r="19" spans="1:5" ht="15.75">
      <c r="A19" s="1676"/>
      <c r="B19" s="3184" t="str">
        <f>结果表!E111</f>
        <v>4.抵押净值</v>
      </c>
      <c r="C19" s="1684" t="s">
        <v>1588</v>
      </c>
      <c r="D19" s="960">
        <f ca="1">结果表!H111</f>
        <v>33882</v>
      </c>
      <c r="E19" s="1676"/>
    </row>
    <row r="20" spans="1:5" ht="15.75">
      <c r="A20" s="1676"/>
      <c r="B20" s="3185"/>
      <c r="C20" s="1679" t="s">
        <v>1601</v>
      </c>
      <c r="D20" s="959" t="str">
        <f ca="1">NUMBERSTRING(INT(D19*10000),2)&amp;"元整"</f>
        <v>叁亿叁仟捌佰捌拾贰万元整</v>
      </c>
      <c r="E20" s="1676"/>
    </row>
    <row r="21" spans="1:5" ht="15.75" thickBot="1">
      <c r="A21" s="1676"/>
      <c r="B21" s="3186"/>
      <c r="C21" s="1686" t="s">
        <v>1599</v>
      </c>
      <c r="D21" s="969">
        <f ca="1">结果表!H112</f>
        <v>42130</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6" t="s">
        <v>183</v>
      </c>
      <c r="B18" s="821" t="s">
        <v>560</v>
      </c>
      <c r="C18" s="822" t="s">
        <v>561</v>
      </c>
      <c r="D18" s="823"/>
      <c r="E18" s="821">
        <v>1</v>
      </c>
      <c r="F18" s="824" t="s">
        <v>562</v>
      </c>
      <c r="G18" s="825"/>
      <c r="H18" s="817"/>
      <c r="I18" s="817"/>
    </row>
    <row r="19" spans="1:9" s="826" customFormat="1" ht="19.5" customHeight="1">
      <c r="A19" s="3536"/>
      <c r="B19" s="3536" t="s">
        <v>563</v>
      </c>
      <c r="C19" s="822" t="s">
        <v>564</v>
      </c>
      <c r="D19" s="823"/>
      <c r="E19" s="821">
        <v>0.9</v>
      </c>
      <c r="F19" s="824" t="s">
        <v>565</v>
      </c>
      <c r="G19" s="825"/>
      <c r="H19" s="817"/>
      <c r="I19" s="817"/>
    </row>
    <row r="20" spans="1:9" s="826" customFormat="1" ht="19.5" customHeight="1">
      <c r="A20" s="3536"/>
      <c r="B20" s="3536"/>
      <c r="C20" s="822" t="s">
        <v>566</v>
      </c>
      <c r="D20" s="823"/>
      <c r="E20" s="821">
        <v>1.1000000000000001</v>
      </c>
      <c r="F20" s="824" t="s">
        <v>567</v>
      </c>
      <c r="G20" s="825"/>
      <c r="H20" s="817"/>
      <c r="I20" s="817"/>
    </row>
    <row r="21" spans="1:9" s="826" customFormat="1" ht="19.5" customHeight="1">
      <c r="A21" s="3536"/>
      <c r="B21" s="3536"/>
      <c r="C21" s="822" t="s">
        <v>568</v>
      </c>
      <c r="D21" s="823"/>
      <c r="E21" s="821">
        <v>0.8</v>
      </c>
      <c r="F21" s="824" t="s">
        <v>569</v>
      </c>
      <c r="G21" s="825"/>
      <c r="H21" s="817"/>
      <c r="I21" s="817"/>
    </row>
    <row r="22" spans="1:9" s="826" customFormat="1" ht="19.5" customHeight="1">
      <c r="A22" s="3536"/>
      <c r="B22" s="3536"/>
      <c r="C22" s="822" t="s">
        <v>570</v>
      </c>
      <c r="D22" s="823"/>
      <c r="E22" s="821">
        <v>0.5</v>
      </c>
      <c r="F22" s="824"/>
      <c r="G22" s="825"/>
      <c r="H22" s="817"/>
      <c r="I22" s="817"/>
    </row>
    <row r="23" spans="1:9" s="826" customFormat="1" ht="19.5" customHeight="1">
      <c r="A23" s="3536" t="s">
        <v>184</v>
      </c>
      <c r="B23" s="821" t="s">
        <v>560</v>
      </c>
      <c r="C23" s="822" t="s">
        <v>571</v>
      </c>
      <c r="D23" s="823"/>
      <c r="E23" s="821">
        <v>1</v>
      </c>
      <c r="F23" s="824" t="s">
        <v>572</v>
      </c>
      <c r="G23" s="825"/>
      <c r="H23" s="817"/>
      <c r="I23" s="817"/>
    </row>
    <row r="24" spans="1:9" s="826" customFormat="1" ht="19.5" customHeight="1">
      <c r="A24" s="3536"/>
      <c r="B24" s="3536" t="s">
        <v>563</v>
      </c>
      <c r="C24" s="822" t="s">
        <v>573</v>
      </c>
      <c r="D24" s="823"/>
      <c r="E24" s="821">
        <v>0.5</v>
      </c>
      <c r="F24" s="824"/>
      <c r="G24" s="825"/>
      <c r="H24" s="817"/>
      <c r="I24" s="817"/>
    </row>
    <row r="25" spans="1:9" s="826" customFormat="1" ht="19.5" customHeight="1">
      <c r="A25" s="3536"/>
      <c r="B25" s="3536"/>
      <c r="C25" s="822" t="s">
        <v>574</v>
      </c>
      <c r="D25" s="823"/>
      <c r="E25" s="821">
        <v>1.1000000000000001</v>
      </c>
      <c r="F25" s="824"/>
      <c r="G25" s="825"/>
      <c r="H25" s="817"/>
      <c r="I25" s="817"/>
    </row>
    <row r="26" spans="1:9" s="826" customFormat="1" ht="19.5" customHeight="1">
      <c r="A26" s="3536"/>
      <c r="B26" s="3536"/>
      <c r="C26" s="822" t="s">
        <v>575</v>
      </c>
      <c r="D26" s="823"/>
      <c r="E26" s="821">
        <v>1.1000000000000001</v>
      </c>
      <c r="F26" s="824"/>
      <c r="G26" s="825"/>
      <c r="H26" s="817"/>
      <c r="I26" s="817"/>
    </row>
    <row r="27" spans="1:9" s="826" customFormat="1" ht="19.5" customHeight="1">
      <c r="A27" s="3536"/>
      <c r="B27" s="3536"/>
      <c r="C27" s="822" t="s">
        <v>576</v>
      </c>
      <c r="D27" s="823"/>
      <c r="E27" s="821">
        <v>0.9</v>
      </c>
      <c r="F27" s="824" t="s">
        <v>577</v>
      </c>
      <c r="G27" s="825"/>
      <c r="H27" s="817"/>
      <c r="I27" s="817"/>
    </row>
    <row r="28" spans="1:9" s="826" customFormat="1" ht="19.5" customHeight="1">
      <c r="A28" s="3536"/>
      <c r="B28" s="3536"/>
      <c r="C28" s="822" t="s">
        <v>578</v>
      </c>
      <c r="D28" s="823"/>
      <c r="E28" s="821">
        <v>0.9</v>
      </c>
      <c r="F28" s="824" t="s">
        <v>579</v>
      </c>
      <c r="G28" s="825"/>
      <c r="H28" s="817"/>
      <c r="I28" s="817"/>
    </row>
    <row r="29" spans="1:9" s="826" customFormat="1" ht="19.5" customHeight="1">
      <c r="A29" s="3536"/>
      <c r="B29" s="3536"/>
      <c r="C29" s="822" t="s">
        <v>580</v>
      </c>
      <c r="D29" s="823"/>
      <c r="E29" s="821">
        <v>0.9</v>
      </c>
      <c r="F29" s="824" t="s">
        <v>581</v>
      </c>
      <c r="G29" s="825"/>
      <c r="H29" s="817"/>
      <c r="I29" s="817"/>
    </row>
    <row r="30" spans="1:9" s="826" customFormat="1" ht="19.5" customHeight="1">
      <c r="A30" s="3536"/>
      <c r="B30" s="3536"/>
      <c r="C30" s="822" t="s">
        <v>582</v>
      </c>
      <c r="D30" s="823"/>
      <c r="E30" s="821">
        <v>0.9</v>
      </c>
      <c r="F30" s="824" t="s">
        <v>583</v>
      </c>
      <c r="G30" s="825"/>
      <c r="H30" s="817"/>
      <c r="I30" s="817"/>
    </row>
    <row r="31" spans="1:9" s="826" customFormat="1" ht="19.5" customHeight="1">
      <c r="A31" s="3536"/>
      <c r="B31" s="3536"/>
      <c r="C31" s="822" t="s">
        <v>584</v>
      </c>
      <c r="D31" s="823"/>
      <c r="E31" s="821">
        <v>0.8</v>
      </c>
      <c r="F31" s="824" t="s">
        <v>585</v>
      </c>
      <c r="G31" s="825"/>
      <c r="H31" s="817"/>
      <c r="I31" s="817"/>
    </row>
    <row r="32" spans="1:9" s="826" customFormat="1" ht="19.5" customHeight="1">
      <c r="A32" s="3536"/>
      <c r="B32" s="3536"/>
      <c r="C32" s="822" t="s">
        <v>586</v>
      </c>
      <c r="D32" s="823"/>
      <c r="E32" s="821">
        <v>0.8</v>
      </c>
      <c r="F32" s="824" t="s">
        <v>587</v>
      </c>
      <c r="G32" s="825"/>
      <c r="H32" s="817"/>
      <c r="I32" s="817"/>
    </row>
    <row r="33" spans="1:9" s="826" customFormat="1" ht="19.5" customHeight="1">
      <c r="A33" s="3536" t="s">
        <v>185</v>
      </c>
      <c r="B33" s="821" t="s">
        <v>560</v>
      </c>
      <c r="C33" s="822" t="s">
        <v>588</v>
      </c>
      <c r="D33" s="823"/>
      <c r="E33" s="821">
        <v>1</v>
      </c>
      <c r="F33" s="824" t="s">
        <v>589</v>
      </c>
      <c r="G33" s="825"/>
      <c r="H33" s="817"/>
      <c r="I33" s="817"/>
    </row>
    <row r="34" spans="1:9" s="826" customFormat="1" ht="19.5" customHeight="1">
      <c r="A34" s="3536"/>
      <c r="B34" s="821" t="s">
        <v>563</v>
      </c>
      <c r="C34" s="822" t="s">
        <v>590</v>
      </c>
      <c r="D34" s="823"/>
      <c r="E34" s="821">
        <v>1.5</v>
      </c>
      <c r="F34" s="824" t="s">
        <v>591</v>
      </c>
      <c r="G34" s="825"/>
      <c r="H34" s="817"/>
      <c r="I34" s="817"/>
    </row>
    <row r="35" spans="1:9" s="826" customFormat="1" ht="19.5" customHeight="1">
      <c r="A35" s="3536" t="s">
        <v>186</v>
      </c>
      <c r="B35" s="821" t="s">
        <v>560</v>
      </c>
      <c r="C35" s="822" t="s">
        <v>592</v>
      </c>
      <c r="D35" s="823"/>
      <c r="E35" s="821">
        <v>1</v>
      </c>
      <c r="F35" s="824" t="s">
        <v>593</v>
      </c>
      <c r="G35" s="825"/>
      <c r="H35" s="817"/>
      <c r="I35" s="817"/>
    </row>
    <row r="36" spans="1:9" s="826" customFormat="1" ht="19.5" customHeight="1">
      <c r="A36" s="3536"/>
      <c r="B36" s="3536" t="s">
        <v>563</v>
      </c>
      <c r="C36" s="822" t="s">
        <v>594</v>
      </c>
      <c r="D36" s="823"/>
      <c r="E36" s="821">
        <v>1</v>
      </c>
      <c r="F36" s="824" t="s">
        <v>595</v>
      </c>
      <c r="G36" s="825"/>
      <c r="H36" s="817"/>
      <c r="I36" s="817"/>
    </row>
    <row r="37" spans="1:9" s="826" customFormat="1" ht="19.5" customHeight="1">
      <c r="A37" s="3536"/>
      <c r="B37" s="3536"/>
      <c r="C37" s="822" t="s">
        <v>596</v>
      </c>
      <c r="D37" s="823"/>
      <c r="E37" s="821">
        <v>1.5</v>
      </c>
      <c r="F37" s="824" t="s">
        <v>597</v>
      </c>
      <c r="G37" s="825"/>
      <c r="H37" s="817"/>
      <c r="I37" s="817"/>
    </row>
    <row r="38" spans="1:9" s="826" customFormat="1" ht="19.5" customHeight="1">
      <c r="A38" s="3536"/>
      <c r="B38" s="3536"/>
      <c r="C38" s="822" t="s">
        <v>598</v>
      </c>
      <c r="D38" s="823"/>
      <c r="E38" s="821">
        <v>1</v>
      </c>
      <c r="F38" s="824" t="s">
        <v>599</v>
      </c>
      <c r="G38" s="825"/>
      <c r="H38" s="817"/>
      <c r="I38" s="817"/>
    </row>
    <row r="39" spans="1:9" s="826" customFormat="1" ht="19.5" customHeight="1">
      <c r="A39" s="3536"/>
      <c r="B39" s="353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6" t="s">
        <v>614</v>
      </c>
      <c r="C61" s="757" t="s">
        <v>615</v>
      </c>
      <c r="D61" s="757" t="s">
        <v>616</v>
      </c>
      <c r="E61" s="834">
        <v>0.5</v>
      </c>
      <c r="F61" s="821">
        <v>80</v>
      </c>
    </row>
    <row r="62" spans="1:8" s="817" customFormat="1" ht="24">
      <c r="A62" s="821">
        <v>2</v>
      </c>
      <c r="B62" s="3536"/>
      <c r="C62" s="757" t="s">
        <v>617</v>
      </c>
      <c r="D62" s="757" t="s">
        <v>618</v>
      </c>
      <c r="E62" s="834">
        <v>0.5</v>
      </c>
      <c r="F62" s="821">
        <v>80</v>
      </c>
    </row>
    <row r="63" spans="1:8" s="817" customFormat="1" ht="36">
      <c r="A63" s="821">
        <v>3</v>
      </c>
      <c r="B63" s="3536"/>
      <c r="C63" s="757" t="s">
        <v>619</v>
      </c>
      <c r="D63" s="757" t="s">
        <v>620</v>
      </c>
      <c r="E63" s="834">
        <v>0.5</v>
      </c>
      <c r="F63" s="821">
        <v>80</v>
      </c>
    </row>
    <row r="64" spans="1:8" s="817" customFormat="1" ht="36">
      <c r="A64" s="821">
        <v>4</v>
      </c>
      <c r="B64" s="3536"/>
      <c r="C64" s="757" t="s">
        <v>621</v>
      </c>
      <c r="D64" s="757" t="s">
        <v>622</v>
      </c>
      <c r="E64" s="834">
        <v>0.4</v>
      </c>
      <c r="F64" s="821">
        <v>60</v>
      </c>
    </row>
    <row r="65" spans="1:6" s="817" customFormat="1" ht="36">
      <c r="A65" s="821">
        <v>5</v>
      </c>
      <c r="B65" s="3536"/>
      <c r="C65" s="757" t="s">
        <v>623</v>
      </c>
      <c r="D65" s="757" t="s">
        <v>624</v>
      </c>
      <c r="E65" s="834">
        <v>0.2</v>
      </c>
      <c r="F65" s="821">
        <v>30</v>
      </c>
    </row>
    <row r="66" spans="1:6" s="817" customFormat="1" ht="36">
      <c r="A66" s="821">
        <v>6</v>
      </c>
      <c r="B66" s="3536"/>
      <c r="C66" s="757" t="s">
        <v>625</v>
      </c>
      <c r="D66" s="757" t="s">
        <v>626</v>
      </c>
      <c r="E66" s="834">
        <v>0.3</v>
      </c>
      <c r="F66" s="821">
        <v>50</v>
      </c>
    </row>
    <row r="67" spans="1:6" s="817" customFormat="1" ht="36">
      <c r="A67" s="821">
        <v>7</v>
      </c>
      <c r="B67" s="3536"/>
      <c r="C67" s="757" t="s">
        <v>627</v>
      </c>
      <c r="D67" s="757" t="s">
        <v>628</v>
      </c>
      <c r="E67" s="834">
        <v>0.2</v>
      </c>
      <c r="F67" s="821">
        <v>30</v>
      </c>
    </row>
    <row r="68" spans="1:6" s="817" customFormat="1" ht="36">
      <c r="A68" s="821">
        <v>8</v>
      </c>
      <c r="B68" s="3536"/>
      <c r="C68" s="757" t="s">
        <v>629</v>
      </c>
      <c r="D68" s="757" t="s">
        <v>630</v>
      </c>
      <c r="E68" s="834">
        <v>0.2</v>
      </c>
      <c r="F68" s="821">
        <v>30</v>
      </c>
    </row>
    <row r="69" spans="1:6" s="817" customFormat="1" ht="36">
      <c r="A69" s="821">
        <v>9</v>
      </c>
      <c r="B69" s="3536"/>
      <c r="C69" s="757" t="s">
        <v>631</v>
      </c>
      <c r="D69" s="757" t="s">
        <v>632</v>
      </c>
      <c r="E69" s="834">
        <v>0.2</v>
      </c>
      <c r="F69" s="821">
        <v>30</v>
      </c>
    </row>
    <row r="70" spans="1:6" s="817" customFormat="1" ht="48">
      <c r="A70" s="821">
        <v>10</v>
      </c>
      <c r="B70" s="3536"/>
      <c r="C70" s="757" t="s">
        <v>633</v>
      </c>
      <c r="D70" s="757" t="s">
        <v>634</v>
      </c>
      <c r="E70" s="834">
        <v>0.2</v>
      </c>
      <c r="F70" s="821">
        <v>30</v>
      </c>
    </row>
    <row r="71" spans="1:6" s="817" customFormat="1" ht="48">
      <c r="A71" s="821">
        <v>11</v>
      </c>
      <c r="B71" s="3536"/>
      <c r="C71" s="757" t="s">
        <v>635</v>
      </c>
      <c r="D71" s="757" t="s">
        <v>636</v>
      </c>
      <c r="E71" s="834">
        <v>0.2</v>
      </c>
      <c r="F71" s="821">
        <v>30</v>
      </c>
    </row>
    <row r="72" spans="1:6" s="817" customFormat="1" ht="36">
      <c r="A72" s="821">
        <v>12</v>
      </c>
      <c r="B72" s="3536"/>
      <c r="C72" s="757" t="s">
        <v>637</v>
      </c>
      <c r="D72" s="757" t="s">
        <v>638</v>
      </c>
      <c r="E72" s="834">
        <v>0.5</v>
      </c>
      <c r="F72" s="821">
        <v>80</v>
      </c>
    </row>
    <row r="73" spans="1:6" s="817" customFormat="1" ht="24">
      <c r="A73" s="821">
        <v>13</v>
      </c>
      <c r="B73" s="3536"/>
      <c r="C73" s="757" t="s">
        <v>639</v>
      </c>
      <c r="D73" s="757" t="s">
        <v>640</v>
      </c>
      <c r="E73" s="834">
        <v>0.4</v>
      </c>
      <c r="F73" s="821">
        <v>60</v>
      </c>
    </row>
    <row r="74" spans="1:6" s="817" customFormat="1" ht="24">
      <c r="A74" s="821">
        <v>14</v>
      </c>
      <c r="B74" s="3536"/>
      <c r="C74" s="757" t="s">
        <v>641</v>
      </c>
      <c r="D74" s="757" t="s">
        <v>642</v>
      </c>
      <c r="E74" s="834">
        <v>0.2</v>
      </c>
      <c r="F74" s="821">
        <v>30</v>
      </c>
    </row>
    <row r="75" spans="1:6" s="817" customFormat="1" ht="24">
      <c r="A75" s="821">
        <v>15</v>
      </c>
      <c r="B75" s="3536"/>
      <c r="C75" s="757" t="s">
        <v>643</v>
      </c>
      <c r="D75" s="757" t="s">
        <v>644</v>
      </c>
      <c r="E75" s="834">
        <v>0.2</v>
      </c>
      <c r="F75" s="821">
        <v>30</v>
      </c>
    </row>
    <row r="76" spans="1:6" s="817" customFormat="1" ht="24">
      <c r="A76" s="821">
        <v>16</v>
      </c>
      <c r="B76" s="3536" t="s">
        <v>645</v>
      </c>
      <c r="C76" s="757" t="s">
        <v>646</v>
      </c>
      <c r="D76" s="757" t="s">
        <v>647</v>
      </c>
      <c r="E76" s="834">
        <v>0.5</v>
      </c>
      <c r="F76" s="821">
        <v>80</v>
      </c>
    </row>
    <row r="77" spans="1:6" s="817" customFormat="1" ht="24">
      <c r="A77" s="821">
        <v>17</v>
      </c>
      <c r="B77" s="3536"/>
      <c r="C77" s="757" t="s">
        <v>648</v>
      </c>
      <c r="D77" s="757" t="s">
        <v>649</v>
      </c>
      <c r="E77" s="834">
        <v>0.5</v>
      </c>
      <c r="F77" s="821">
        <v>80</v>
      </c>
    </row>
    <row r="78" spans="1:6" s="817" customFormat="1" ht="24">
      <c r="A78" s="821">
        <v>18</v>
      </c>
      <c r="B78" s="3536"/>
      <c r="C78" s="757" t="s">
        <v>650</v>
      </c>
      <c r="D78" s="757" t="s">
        <v>651</v>
      </c>
      <c r="E78" s="834">
        <v>0.2</v>
      </c>
      <c r="F78" s="821">
        <v>30</v>
      </c>
    </row>
    <row r="79" spans="1:6" s="817" customFormat="1" ht="24">
      <c r="A79" s="821">
        <v>19</v>
      </c>
      <c r="B79" s="3536"/>
      <c r="C79" s="757" t="s">
        <v>652</v>
      </c>
      <c r="D79" s="757" t="s">
        <v>653</v>
      </c>
      <c r="E79" s="834">
        <v>0.5</v>
      </c>
      <c r="F79" s="821">
        <v>80</v>
      </c>
    </row>
    <row r="80" spans="1:6" s="817" customFormat="1" ht="36">
      <c r="A80" s="821">
        <v>20</v>
      </c>
      <c r="B80" s="3536"/>
      <c r="C80" s="757" t="s">
        <v>654</v>
      </c>
      <c r="D80" s="757" t="s">
        <v>655</v>
      </c>
      <c r="E80" s="834">
        <v>0.2</v>
      </c>
      <c r="F80" s="821">
        <v>30</v>
      </c>
    </row>
    <row r="81" spans="1:6" s="817" customFormat="1" ht="36">
      <c r="A81" s="821">
        <v>21</v>
      </c>
      <c r="B81" s="3536"/>
      <c r="C81" s="757" t="s">
        <v>656</v>
      </c>
      <c r="D81" s="757" t="s">
        <v>657</v>
      </c>
      <c r="E81" s="834">
        <v>0.2</v>
      </c>
      <c r="F81" s="821">
        <v>30</v>
      </c>
    </row>
    <row r="82" spans="1:6" s="817" customFormat="1" ht="48">
      <c r="A82" s="821">
        <v>22</v>
      </c>
      <c r="B82" s="3536"/>
      <c r="C82" s="757" t="s">
        <v>658</v>
      </c>
      <c r="D82" s="757" t="s">
        <v>659</v>
      </c>
      <c r="E82" s="834">
        <v>0.2</v>
      </c>
      <c r="F82" s="821">
        <v>30</v>
      </c>
    </row>
    <row r="83" spans="1:6" s="817" customFormat="1" ht="48">
      <c r="A83" s="821">
        <v>23</v>
      </c>
      <c r="B83" s="3536"/>
      <c r="C83" s="757" t="s">
        <v>660</v>
      </c>
      <c r="D83" s="757" t="s">
        <v>661</v>
      </c>
      <c r="E83" s="834">
        <v>0.2</v>
      </c>
      <c r="F83" s="821">
        <v>30</v>
      </c>
    </row>
    <row r="84" spans="1:6" s="817" customFormat="1" ht="36">
      <c r="A84" s="821">
        <v>24</v>
      </c>
      <c r="B84" s="3536"/>
      <c r="C84" s="757" t="s">
        <v>662</v>
      </c>
      <c r="D84" s="757" t="s">
        <v>663</v>
      </c>
      <c r="E84" s="834">
        <v>0.2</v>
      </c>
      <c r="F84" s="821">
        <v>30</v>
      </c>
    </row>
    <row r="85" spans="1:6" s="817" customFormat="1" ht="36">
      <c r="A85" s="821">
        <v>25</v>
      </c>
      <c r="B85" s="3536"/>
      <c r="C85" s="757" t="s">
        <v>664</v>
      </c>
      <c r="D85" s="757" t="s">
        <v>665</v>
      </c>
      <c r="E85" s="834">
        <v>0.5</v>
      </c>
      <c r="F85" s="821">
        <v>80</v>
      </c>
    </row>
    <row r="86" spans="1:6" s="817" customFormat="1" ht="36">
      <c r="A86" s="821">
        <v>26</v>
      </c>
      <c r="B86" s="3536"/>
      <c r="C86" s="757" t="s">
        <v>666</v>
      </c>
      <c r="D86" s="757" t="s">
        <v>667</v>
      </c>
      <c r="E86" s="834">
        <v>0.2</v>
      </c>
      <c r="F86" s="821">
        <v>30</v>
      </c>
    </row>
    <row r="87" spans="1:6" s="817" customFormat="1" ht="36">
      <c r="A87" s="821">
        <v>27</v>
      </c>
      <c r="B87" s="3536"/>
      <c r="C87" s="757" t="s">
        <v>668</v>
      </c>
      <c r="D87" s="757" t="s">
        <v>669</v>
      </c>
      <c r="E87" s="834">
        <v>0.2</v>
      </c>
      <c r="F87" s="821">
        <v>30</v>
      </c>
    </row>
    <row r="88" spans="1:6" s="817" customFormat="1" ht="36">
      <c r="A88" s="821">
        <v>28</v>
      </c>
      <c r="B88" s="3536"/>
      <c r="C88" s="757" t="s">
        <v>670</v>
      </c>
      <c r="D88" s="757" t="s">
        <v>671</v>
      </c>
      <c r="E88" s="834">
        <v>0.2</v>
      </c>
      <c r="F88" s="821">
        <v>30</v>
      </c>
    </row>
    <row r="89" spans="1:6" s="817" customFormat="1" ht="24">
      <c r="A89" s="821">
        <v>29</v>
      </c>
      <c r="B89" s="3536"/>
      <c r="C89" s="757" t="s">
        <v>672</v>
      </c>
      <c r="D89" s="757" t="s">
        <v>673</v>
      </c>
      <c r="E89" s="834">
        <v>0.2</v>
      </c>
      <c r="F89" s="821">
        <v>30</v>
      </c>
    </row>
    <row r="90" spans="1:6" s="817" customFormat="1" ht="24">
      <c r="A90" s="821">
        <v>30</v>
      </c>
      <c r="B90" s="3536"/>
      <c r="C90" s="757" t="s">
        <v>674</v>
      </c>
      <c r="D90" s="757" t="s">
        <v>675</v>
      </c>
      <c r="E90" s="834">
        <v>0.2</v>
      </c>
      <c r="F90" s="821">
        <v>30</v>
      </c>
    </row>
    <row r="91" spans="1:6" s="817" customFormat="1" ht="36">
      <c r="A91" s="821">
        <v>31</v>
      </c>
      <c r="B91" s="3536"/>
      <c r="C91" s="757" t="s">
        <v>676</v>
      </c>
      <c r="D91" s="757" t="s">
        <v>677</v>
      </c>
      <c r="E91" s="834">
        <v>0.2</v>
      </c>
      <c r="F91" s="821">
        <v>30</v>
      </c>
    </row>
    <row r="92" spans="1:6" s="817" customFormat="1" ht="24">
      <c r="A92" s="821">
        <v>32</v>
      </c>
      <c r="B92" s="3536" t="s">
        <v>678</v>
      </c>
      <c r="C92" s="821" t="s">
        <v>679</v>
      </c>
      <c r="D92" s="757" t="s">
        <v>680</v>
      </c>
      <c r="E92" s="834">
        <v>0.2</v>
      </c>
      <c r="F92" s="821">
        <v>30</v>
      </c>
    </row>
    <row r="93" spans="1:6" s="817" customFormat="1" ht="36">
      <c r="A93" s="821">
        <v>33</v>
      </c>
      <c r="B93" s="3536"/>
      <c r="C93" s="821" t="s">
        <v>681</v>
      </c>
      <c r="D93" s="757" t="s">
        <v>682</v>
      </c>
      <c r="E93" s="834">
        <v>0.2</v>
      </c>
      <c r="F93" s="821">
        <v>30</v>
      </c>
    </row>
    <row r="94" spans="1:6" s="817" customFormat="1" ht="48">
      <c r="A94" s="821">
        <v>34</v>
      </c>
      <c r="B94" s="3536"/>
      <c r="C94" s="821" t="s">
        <v>683</v>
      </c>
      <c r="D94" s="757" t="s">
        <v>684</v>
      </c>
      <c r="E94" s="834">
        <v>0.2</v>
      </c>
      <c r="F94" s="821">
        <v>30</v>
      </c>
    </row>
    <row r="95" spans="1:6" s="817" customFormat="1" ht="36">
      <c r="A95" s="821">
        <v>35</v>
      </c>
      <c r="B95" s="3536"/>
      <c r="C95" s="821" t="s">
        <v>685</v>
      </c>
      <c r="D95" s="757" t="s">
        <v>686</v>
      </c>
      <c r="E95" s="834">
        <v>0.2</v>
      </c>
      <c r="F95" s="821">
        <v>30</v>
      </c>
    </row>
    <row r="96" spans="1:6" s="817" customFormat="1" ht="48">
      <c r="A96" s="821">
        <v>36</v>
      </c>
      <c r="B96" s="3536"/>
      <c r="C96" s="757" t="s">
        <v>687</v>
      </c>
      <c r="D96" s="757" t="s">
        <v>688</v>
      </c>
      <c r="E96" s="834">
        <v>0.2</v>
      </c>
      <c r="F96" s="821">
        <v>30</v>
      </c>
    </row>
    <row r="97" spans="1:6" s="817" customFormat="1" ht="36">
      <c r="A97" s="821">
        <v>37</v>
      </c>
      <c r="B97" s="3536"/>
      <c r="C97" s="821" t="s">
        <v>689</v>
      </c>
      <c r="D97" s="757" t="s">
        <v>690</v>
      </c>
      <c r="E97" s="834">
        <v>0.2</v>
      </c>
      <c r="F97" s="821">
        <v>30</v>
      </c>
    </row>
    <row r="98" spans="1:6" s="817" customFormat="1" ht="36">
      <c r="A98" s="821">
        <v>38</v>
      </c>
      <c r="B98" s="3536"/>
      <c r="C98" s="821" t="s">
        <v>691</v>
      </c>
      <c r="D98" s="757" t="s">
        <v>692</v>
      </c>
      <c r="E98" s="834">
        <v>0.2</v>
      </c>
      <c r="F98" s="821">
        <v>30</v>
      </c>
    </row>
    <row r="99" spans="1:6" s="817" customFormat="1" ht="36">
      <c r="A99" s="821">
        <v>39</v>
      </c>
      <c r="B99" s="3536" t="s">
        <v>693</v>
      </c>
      <c r="C99" s="821" t="s">
        <v>694</v>
      </c>
      <c r="D99" s="757" t="s">
        <v>695</v>
      </c>
      <c r="E99" s="834">
        <v>0.3</v>
      </c>
      <c r="F99" s="821">
        <v>50</v>
      </c>
    </row>
    <row r="100" spans="1:6" s="817" customFormat="1" ht="24">
      <c r="A100" s="821">
        <v>40</v>
      </c>
      <c r="B100" s="3536"/>
      <c r="C100" s="821" t="s">
        <v>696</v>
      </c>
      <c r="D100" s="757" t="s">
        <v>697</v>
      </c>
      <c r="E100" s="834">
        <v>0.2</v>
      </c>
      <c r="F100" s="821">
        <v>30</v>
      </c>
    </row>
    <row r="101" spans="1:6" s="817" customFormat="1" ht="36">
      <c r="A101" s="821">
        <v>41</v>
      </c>
      <c r="B101" s="353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6" t="s">
        <v>708</v>
      </c>
      <c r="C105" s="821" t="s">
        <v>709</v>
      </c>
      <c r="D105" s="757" t="s">
        <v>710</v>
      </c>
      <c r="E105" s="834">
        <v>0.2</v>
      </c>
      <c r="F105" s="821">
        <v>30</v>
      </c>
    </row>
    <row r="106" spans="1:6" s="817" customFormat="1" ht="36">
      <c r="A106" s="821">
        <v>46</v>
      </c>
      <c r="B106" s="3536"/>
      <c r="C106" s="821" t="s">
        <v>711</v>
      </c>
      <c r="D106" s="757" t="s">
        <v>712</v>
      </c>
      <c r="E106" s="834">
        <v>0.2</v>
      </c>
      <c r="F106" s="821">
        <v>30</v>
      </c>
    </row>
    <row r="107" spans="1:6" s="817" customFormat="1" ht="36">
      <c r="A107" s="821">
        <v>47</v>
      </c>
      <c r="B107" s="3536" t="s">
        <v>713</v>
      </c>
      <c r="C107" s="821" t="s">
        <v>714</v>
      </c>
      <c r="D107" s="757" t="s">
        <v>715</v>
      </c>
      <c r="E107" s="834">
        <v>0.3</v>
      </c>
      <c r="F107" s="821">
        <v>50</v>
      </c>
    </row>
    <row r="108" spans="1:6" s="817" customFormat="1" ht="36">
      <c r="A108" s="821">
        <v>48</v>
      </c>
      <c r="B108" s="353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6" t="s">
        <v>724</v>
      </c>
      <c r="C111" s="821" t="s">
        <v>725</v>
      </c>
      <c r="D111" s="757" t="s">
        <v>726</v>
      </c>
      <c r="E111" s="834">
        <v>0.2</v>
      </c>
      <c r="F111" s="821">
        <v>30</v>
      </c>
    </row>
    <row r="112" spans="1:6" s="817" customFormat="1" ht="24">
      <c r="A112" s="821">
        <v>52</v>
      </c>
      <c r="B112" s="3536"/>
      <c r="C112" s="821" t="s">
        <v>727</v>
      </c>
      <c r="D112" s="757" t="s">
        <v>728</v>
      </c>
      <c r="E112" s="834">
        <v>0.2</v>
      </c>
      <c r="F112" s="821">
        <v>30</v>
      </c>
    </row>
    <row r="113" spans="1:6" s="817" customFormat="1" ht="24">
      <c r="A113" s="821">
        <v>53</v>
      </c>
      <c r="B113" s="353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6" t="s">
        <v>737</v>
      </c>
      <c r="C116" s="821" t="s">
        <v>738</v>
      </c>
      <c r="D116" s="757" t="s">
        <v>739</v>
      </c>
      <c r="E116" s="834">
        <v>0.2</v>
      </c>
      <c r="F116" s="821">
        <v>30</v>
      </c>
    </row>
    <row r="117" spans="1:6" ht="36">
      <c r="A117" s="821">
        <v>57</v>
      </c>
      <c r="B117" s="353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1.1574</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3"/>
      <c r="C1" s="2363"/>
      <c r="D1" s="2363"/>
      <c r="E1" s="2363"/>
      <c r="F1" s="3023"/>
      <c r="G1" s="3023"/>
      <c r="H1" s="3023"/>
      <c r="I1" s="3023"/>
      <c r="J1" s="3023"/>
      <c r="K1" s="3023"/>
      <c r="L1" s="3023"/>
      <c r="M1" s="3023"/>
      <c r="N1" s="3023"/>
      <c r="O1" s="3023"/>
      <c r="P1" s="3023"/>
    </row>
    <row r="2" spans="1:16" ht="15.75">
      <c r="A2" s="2361" t="s">
        <v>2813</v>
      </c>
      <c r="B2" s="2828">
        <f ca="1">SUMIF(B6:B13,"&lt;&gt;#ref!",B6:B13)</f>
        <v>23082</v>
      </c>
      <c r="C2" s="2361" t="s">
        <v>2814</v>
      </c>
      <c r="D2" s="2361" t="s">
        <v>2815</v>
      </c>
      <c r="E2" s="2838">
        <f ca="1">SUMIF(E6:E13,"&lt;&gt;#ref!",E6:E13)</f>
        <v>6572.3</v>
      </c>
      <c r="F2" s="3023"/>
      <c r="G2" s="3023"/>
      <c r="H2" s="3023"/>
      <c r="I2" s="3023"/>
      <c r="J2" s="3023"/>
      <c r="K2" s="3023"/>
      <c r="L2" s="3023"/>
      <c r="M2" s="3023"/>
      <c r="N2" s="3023"/>
      <c r="O2" s="3023"/>
      <c r="P2" s="3023"/>
    </row>
    <row r="3" spans="1:16" ht="15.75">
      <c r="A3" s="2361" t="s">
        <v>2816</v>
      </c>
      <c r="B3" s="2828">
        <f ca="1">ROUND(B2*10000/E2,0)</f>
        <v>35120</v>
      </c>
      <c r="C3" s="2361" t="s">
        <v>2822</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4" t="s">
        <v>2817</v>
      </c>
      <c r="B5" s="2836" t="s">
        <v>2818</v>
      </c>
      <c r="C5" s="2362"/>
      <c r="D5" s="3023"/>
      <c r="E5" s="2837" t="s">
        <v>2819</v>
      </c>
      <c r="F5" s="3023"/>
      <c r="G5" s="3023"/>
      <c r="H5" s="3023"/>
      <c r="I5" s="3023"/>
      <c r="J5" s="3023"/>
      <c r="K5" s="3023"/>
      <c r="L5" s="3023"/>
      <c r="M5" s="3023"/>
      <c r="N5" s="3023"/>
      <c r="O5" s="3023"/>
      <c r="P5" s="3023"/>
    </row>
    <row r="6" spans="1:16" ht="15.75">
      <c r="A6" s="2835" t="s">
        <v>2820</v>
      </c>
      <c r="B6" s="2828">
        <f ca="1">SUMIF(INDIRECT("'"&amp;A6&amp;"'"&amp;"!A:A"),"总价",INDIRECT("'"&amp;A6&amp;"'"&amp;"!B:B"))</f>
        <v>23082</v>
      </c>
      <c r="C6" s="2361" t="s">
        <v>2814</v>
      </c>
      <c r="D6" s="3023"/>
      <c r="E6" s="2838">
        <f ca="1">SUMIF(INDIRECT("'"&amp;A6&amp;"'"&amp;"!C:C"),"建筑面积",INDIRECT("'"&amp;A6&amp;"'"&amp;"!D:D"))</f>
        <v>6572.3</v>
      </c>
      <c r="F6" s="3023"/>
      <c r="G6" s="3023"/>
      <c r="H6" s="3023"/>
      <c r="I6" s="3023"/>
      <c r="J6" s="3023"/>
      <c r="K6" s="3023"/>
      <c r="L6" s="3023"/>
      <c r="M6" s="3023"/>
      <c r="N6" s="3023"/>
      <c r="O6" s="3023"/>
      <c r="P6" s="3023"/>
    </row>
    <row r="7" spans="1:16" ht="15.75">
      <c r="A7" s="2835"/>
      <c r="B7" s="2828" t="e">
        <f ca="1">SUMIF(INDIRECT("'"&amp;A7&amp;"'"&amp;"!A:A"),"总价",INDIRECT("'"&amp;A7&amp;"'"&amp;"!B:B"))</f>
        <v>#REF!</v>
      </c>
      <c r="C7" s="2361" t="s">
        <v>2814</v>
      </c>
      <c r="D7" s="3023"/>
      <c r="E7" s="2838" t="e">
        <f t="shared" ref="E7:E13" ca="1" si="0">SUMIF(INDIRECT("'"&amp;A7&amp;"'"&amp;"!C:C"),"建筑面积",INDIRECT("'"&amp;A7&amp;"'"&amp;"!D:D"))</f>
        <v>#REF!</v>
      </c>
      <c r="F7" s="3023"/>
      <c r="G7" s="3023"/>
      <c r="H7" s="3023"/>
      <c r="I7" s="3023"/>
      <c r="J7" s="3023"/>
      <c r="K7" s="3023"/>
      <c r="L7" s="3023"/>
      <c r="M7" s="3023"/>
      <c r="N7" s="3023"/>
      <c r="O7" s="3023"/>
      <c r="P7" s="3023"/>
    </row>
    <row r="8" spans="1:16" ht="15.75">
      <c r="A8" s="2835"/>
      <c r="B8" s="2828" t="e">
        <f t="shared" ref="B8:B13" ca="1" si="1">SUMIF(INDIRECT("'"&amp;A8&amp;"'"&amp;"!A:A"),"总价",INDIRECT("'"&amp;A8&amp;"'"&amp;"!B:B"))</f>
        <v>#REF!</v>
      </c>
      <c r="C8" s="2361" t="s">
        <v>2814</v>
      </c>
      <c r="D8" s="3023"/>
      <c r="E8" s="2838" t="e">
        <f t="shared" ca="1" si="0"/>
        <v>#REF!</v>
      </c>
      <c r="F8" s="3023"/>
      <c r="G8" s="3023"/>
      <c r="H8" s="3023"/>
      <c r="I8" s="3023"/>
      <c r="J8" s="3023"/>
      <c r="K8" s="3023"/>
      <c r="L8" s="3023"/>
      <c r="M8" s="3023"/>
      <c r="N8" s="3023"/>
      <c r="O8" s="3023"/>
      <c r="P8" s="3023"/>
    </row>
    <row r="9" spans="1:16" ht="15.75">
      <c r="A9" s="2835"/>
      <c r="B9" s="2828" t="e">
        <f t="shared" ca="1" si="1"/>
        <v>#REF!</v>
      </c>
      <c r="C9" s="2361" t="s">
        <v>2814</v>
      </c>
      <c r="D9" s="3023"/>
      <c r="E9" s="2838" t="e">
        <f t="shared" ca="1" si="0"/>
        <v>#REF!</v>
      </c>
      <c r="F9" s="3023"/>
      <c r="G9" s="3023"/>
      <c r="H9" s="3023"/>
      <c r="I9" s="3023"/>
      <c r="J9" s="3023"/>
      <c r="K9" s="3023"/>
      <c r="L9" s="3023"/>
      <c r="M9" s="3023"/>
      <c r="N9" s="3023"/>
      <c r="O9" s="3023"/>
      <c r="P9" s="3023"/>
    </row>
    <row r="10" spans="1:16" ht="15.75">
      <c r="A10" s="2835"/>
      <c r="B10" s="2828" t="e">
        <f t="shared" ca="1" si="1"/>
        <v>#REF!</v>
      </c>
      <c r="C10" s="2361" t="s">
        <v>2814</v>
      </c>
      <c r="D10" s="3023"/>
      <c r="E10" s="2838" t="e">
        <f t="shared" ca="1" si="0"/>
        <v>#REF!</v>
      </c>
      <c r="F10" s="3023"/>
      <c r="G10" s="3023"/>
      <c r="H10" s="3023"/>
      <c r="I10" s="3023"/>
      <c r="J10" s="3023"/>
      <c r="K10" s="3023"/>
      <c r="L10" s="3023"/>
      <c r="M10" s="3023"/>
      <c r="N10" s="3023"/>
      <c r="O10" s="3023"/>
      <c r="P10" s="3023"/>
    </row>
    <row r="11" spans="1:16" ht="15.75">
      <c r="A11" s="2835"/>
      <c r="B11" s="2828" t="e">
        <f t="shared" ca="1" si="1"/>
        <v>#REF!</v>
      </c>
      <c r="C11" s="2361" t="s">
        <v>2814</v>
      </c>
      <c r="D11" s="3023"/>
      <c r="E11" s="2838" t="e">
        <f t="shared" ca="1" si="0"/>
        <v>#REF!</v>
      </c>
      <c r="F11" s="3023"/>
      <c r="G11" s="3023"/>
      <c r="H11" s="3023"/>
      <c r="I11" s="3023"/>
      <c r="J11" s="3023"/>
      <c r="K11" s="3023"/>
      <c r="L11" s="3023"/>
      <c r="M11" s="3023"/>
      <c r="N11" s="3023"/>
      <c r="O11" s="3023"/>
      <c r="P11" s="3023"/>
    </row>
    <row r="12" spans="1:16" ht="15.75">
      <c r="A12" s="2835"/>
      <c r="B12" s="2828" t="e">
        <f t="shared" ca="1" si="1"/>
        <v>#REF!</v>
      </c>
      <c r="C12" s="2361" t="s">
        <v>2814</v>
      </c>
      <c r="D12" s="3023"/>
      <c r="E12" s="2838" t="e">
        <f t="shared" ca="1" si="0"/>
        <v>#REF!</v>
      </c>
      <c r="F12" s="3023"/>
      <c r="G12" s="3023"/>
      <c r="H12" s="3023"/>
      <c r="I12" s="3023"/>
      <c r="J12" s="3023"/>
      <c r="K12" s="3023"/>
      <c r="L12" s="3023"/>
      <c r="M12" s="3023"/>
      <c r="N12" s="3023"/>
      <c r="O12" s="3023"/>
      <c r="P12" s="3023"/>
    </row>
    <row r="13" spans="1:16" ht="15.75">
      <c r="A13" s="2835"/>
      <c r="B13" s="2828" t="e">
        <f t="shared" ca="1" si="1"/>
        <v>#REF!</v>
      </c>
      <c r="C13" s="2361" t="s">
        <v>2814</v>
      </c>
      <c r="D13" s="3023"/>
      <c r="E13" s="2838"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542" t="s">
        <v>1117</v>
      </c>
      <c r="C1" s="3542"/>
      <c r="D1" s="3542"/>
      <c r="E1" s="3542"/>
      <c r="F1" s="3542"/>
      <c r="G1" s="3538" t="s">
        <v>1118</v>
      </c>
      <c r="H1" s="3538"/>
      <c r="I1" s="3538"/>
      <c r="J1" s="3538"/>
      <c r="K1" s="3538"/>
      <c r="L1" s="3538"/>
      <c r="N1" s="3538" t="s">
        <v>1119</v>
      </c>
      <c r="O1" s="3538"/>
      <c r="P1" s="3538"/>
      <c r="Q1" s="3538"/>
      <c r="S1" s="3538" t="s">
        <v>1120</v>
      </c>
      <c r="T1" s="3538"/>
      <c r="U1" s="3538"/>
      <c r="V1" s="3538"/>
      <c r="X1" s="3537" t="s">
        <v>1121</v>
      </c>
      <c r="Y1" s="3538"/>
      <c r="Z1" s="3538"/>
      <c r="AA1" s="3538"/>
      <c r="AB1" s="3538"/>
      <c r="AD1" s="3537" t="s">
        <v>1122</v>
      </c>
      <c r="AE1" s="3538"/>
      <c r="AF1" s="3538"/>
      <c r="AG1" s="3538"/>
      <c r="AH1" s="3538"/>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 t="shared" ref="Z3:Z32" si="0">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1">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3062</v>
      </c>
      <c r="B5" s="2413">
        <f t="shared" ref="B5" si="2">B6*(1+N5)</f>
        <v>502.50893609650217</v>
      </c>
      <c r="C5" s="2413">
        <f t="shared" ref="C5" si="3">C6*(1+O5)</f>
        <v>350.27569313914915</v>
      </c>
      <c r="D5" s="2413">
        <f t="shared" ref="D5" si="4">C5</f>
        <v>350.27569313914915</v>
      </c>
      <c r="E5" s="2413">
        <f t="shared" ref="E5" si="5">E6*(1+P5)</f>
        <v>725.27220201394141</v>
      </c>
      <c r="F5" s="2413">
        <f t="shared" ref="F5" si="6">F6*(1+Q5)</f>
        <v>332.45017846012797</v>
      </c>
      <c r="G5" s="3059">
        <v>2021</v>
      </c>
      <c r="H5" s="2415">
        <v>3</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ROUND(IF(项目基本情况!B3="出让",SUMPRODUCT(PRODUCT(1+N5:N$35)),SUMPRODUCT(PRODUCT(1+N5:N$34))),4)</f>
        <v>1.6338999999999999</v>
      </c>
      <c r="Y5" s="2421">
        <f>ROUND(IF(项目基本情况!B3="出让",SUMPRODUCT(PRODUCT(1+O5:O$35)),SUMPRODUCT(PRODUCT(1+O5:O$34))),4)</f>
        <v>1.3588</v>
      </c>
      <c r="Z5" s="2421">
        <f t="shared" ref="Z5" si="11">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 si="12">AE5</f>
        <v>1.0699999999999999E-2</v>
      </c>
      <c r="AG5" s="2422">
        <f>ROUND(AVERAGE(K5:K$35)/100,4)</f>
        <v>1.8700000000000001E-2</v>
      </c>
      <c r="AH5" s="2422">
        <f>ROUND(AVERAGE(L5:L$35)/100,4)</f>
        <v>1.24E-2</v>
      </c>
    </row>
    <row r="6" spans="1:34" s="2430" customFormat="1">
      <c r="A6" s="2423" t="s">
        <v>3061</v>
      </c>
      <c r="B6" s="2424">
        <f t="shared" ref="B6" si="13">B7*(1+N6)</f>
        <v>502.50893609650217</v>
      </c>
      <c r="C6" s="2424">
        <f t="shared" ref="C6" si="14">C7*(1+O6)</f>
        <v>350.27569313914915</v>
      </c>
      <c r="D6" s="2424">
        <f t="shared" ref="D6" si="15">C6</f>
        <v>350.27569313914915</v>
      </c>
      <c r="E6" s="2424">
        <f t="shared" ref="E6" si="16">E7*(1+P6)</f>
        <v>725.27220201394141</v>
      </c>
      <c r="F6" s="2424">
        <f t="shared" ref="F6" si="17">F7*(1+Q6)</f>
        <v>332.45017846012797</v>
      </c>
      <c r="G6" s="3059">
        <v>2021</v>
      </c>
      <c r="H6" s="2425">
        <v>2</v>
      </c>
      <c r="I6" s="2387">
        <v>0.92</v>
      </c>
      <c r="J6" s="2387">
        <v>0.72</v>
      </c>
      <c r="K6" s="2387">
        <v>0.95</v>
      </c>
      <c r="L6" s="2388">
        <v>1.01</v>
      </c>
      <c r="M6" s="2410"/>
      <c r="N6" s="2426">
        <f t="shared" ref="N6" si="18">I6/100</f>
        <v>9.1999999999999998E-3</v>
      </c>
      <c r="O6" s="2411">
        <f t="shared" ref="O6" si="19">J6/100</f>
        <v>7.1999999999999998E-3</v>
      </c>
      <c r="P6" s="2411">
        <f t="shared" ref="P6" si="20">K6/100</f>
        <v>9.4999999999999998E-3</v>
      </c>
      <c r="Q6" s="2411">
        <f t="shared" ref="Q6" si="21">L6/100</f>
        <v>1.01E-2</v>
      </c>
      <c r="R6" s="2427"/>
      <c r="S6" s="2426"/>
      <c r="T6" s="2411"/>
      <c r="U6" s="2411"/>
      <c r="V6" s="2411"/>
      <c r="W6" s="2428"/>
      <c r="X6" s="2428">
        <f>ROUND(IF(项目基本情况!B4="出让",SUMPRODUCT(PRODUCT(1+N6:N$35)),SUMPRODUCT(PRODUCT(1+N6:N$34))),4)</f>
        <v>1.6338999999999999</v>
      </c>
      <c r="Y6" s="2428">
        <f>ROUND(IF(项目基本情况!B4="出让",SUMPRODUCT(PRODUCT(1+O6:O$35)),SUMPRODUCT(PRODUCT(1+O6:O$34))),4)</f>
        <v>1.3588</v>
      </c>
      <c r="Z6" s="2428">
        <f t="shared" ref="Z6" si="22">Y6</f>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ref="AF6" si="23">AE6</f>
        <v>1.11E-2</v>
      </c>
      <c r="AG6" s="2429">
        <f>ROUND(AVERAGE(K6:K$35)/100,4)</f>
        <v>1.9400000000000001E-2</v>
      </c>
      <c r="AH6" s="2429">
        <f>ROUND(AVERAGE(L6:L$35)/100,4)</f>
        <v>1.2800000000000001E-2</v>
      </c>
    </row>
    <row r="7" spans="1:34" s="2430" customFormat="1">
      <c r="A7" s="2423" t="s">
        <v>3060</v>
      </c>
      <c r="B7" s="2424">
        <f t="shared" ref="B7" si="24">B8*(1+N7)</f>
        <v>497.92799851020823</v>
      </c>
      <c r="C7" s="2424">
        <f t="shared" ref="C7" si="25">C8*(1+O7)</f>
        <v>347.77173663537445</v>
      </c>
      <c r="D7" s="2424">
        <f t="shared" ref="D7" si="26">C7</f>
        <v>347.77173663537445</v>
      </c>
      <c r="E7" s="2424">
        <f t="shared" ref="E7" si="27">E8*(1+P7)</f>
        <v>718.44695593258189</v>
      </c>
      <c r="F7" s="2424">
        <f t="shared" ref="F7" si="28">F8*(1+Q7)</f>
        <v>329.12600580153247</v>
      </c>
      <c r="G7" s="3043">
        <v>2021</v>
      </c>
      <c r="H7" s="2425">
        <v>1</v>
      </c>
      <c r="I7" s="2387">
        <v>0.97</v>
      </c>
      <c r="J7" s="2387">
        <v>0.16</v>
      </c>
      <c r="K7" s="2387">
        <v>1.1100000000000001</v>
      </c>
      <c r="L7" s="2388">
        <v>0.36</v>
      </c>
      <c r="M7" s="2410"/>
      <c r="N7" s="2426">
        <f t="shared" ref="N7" si="29">I7/100</f>
        <v>9.7000000000000003E-3</v>
      </c>
      <c r="O7" s="2411">
        <f t="shared" ref="O7" si="30">J7/100</f>
        <v>1.6000000000000001E-3</v>
      </c>
      <c r="P7" s="2411">
        <f t="shared" ref="P7" si="31">K7/100</f>
        <v>1.11E-2</v>
      </c>
      <c r="Q7" s="2411">
        <f t="shared" ref="Q7" si="32">L7/100</f>
        <v>3.5999999999999999E-3</v>
      </c>
      <c r="R7" s="2427"/>
      <c r="S7" s="2426">
        <f>B7/B8-1</f>
        <v>9.7000000000000419E-3</v>
      </c>
      <c r="T7" s="2411">
        <f t="shared" ref="T7" si="33">C7/C8-1</f>
        <v>1.6000000000000458E-3</v>
      </c>
      <c r="U7" s="2411">
        <f t="shared" ref="U7" si="34">D7/D8-1</f>
        <v>1.6000000000000458E-3</v>
      </c>
      <c r="V7" s="2411">
        <f t="shared" ref="V7" si="35">E7/E8-1</f>
        <v>1.110000000000011E-2</v>
      </c>
      <c r="W7" s="2428"/>
      <c r="X7" s="2428">
        <f>ROUND(IF(项目基本情况!B5="出让",SUMPRODUCT(PRODUCT(1+N7:N$35)),SUMPRODUCT(PRODUCT(1+N7:N$34))),4)</f>
        <v>1.619</v>
      </c>
      <c r="Y7" s="2428">
        <f>ROUND(IF(项目基本情况!B5="出让",SUMPRODUCT(PRODUCT(1+O7:O$35)),SUMPRODUCT(PRODUCT(1+O7:O$34))),4)</f>
        <v>1.3491</v>
      </c>
      <c r="Z7" s="2428">
        <f t="shared" ref="Z7" si="36">Y7</f>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ref="AF7" si="37">AE7</f>
        <v>1.12E-2</v>
      </c>
      <c r="AG7" s="2429">
        <f>ROUND(AVERAGE(K7:K$35)/100,4)</f>
        <v>1.9699999999999999E-2</v>
      </c>
      <c r="AH7" s="2429">
        <f>ROUND(AVERAGE(L7:L$35)/100,4)</f>
        <v>1.29E-2</v>
      </c>
    </row>
    <row r="8" spans="1:34" s="2430" customFormat="1">
      <c r="A8" s="2423" t="s">
        <v>3058</v>
      </c>
      <c r="B8" s="2424">
        <f t="shared" ref="B8" si="38">B9*(1+N8)</f>
        <v>493.14449689037161</v>
      </c>
      <c r="C8" s="2424">
        <f t="shared" ref="C8" si="39">C9*(1+O8)</f>
        <v>347.21619073020611</v>
      </c>
      <c r="D8" s="2424">
        <f t="shared" ref="D8" si="40">C8</f>
        <v>347.21619073020611</v>
      </c>
      <c r="E8" s="2424">
        <f t="shared" ref="E8" si="41">E9*(1+P8)</f>
        <v>710.55974278763904</v>
      </c>
      <c r="F8" s="2424">
        <f t="shared" ref="F8" si="42">F9*(1+Q8)</f>
        <v>327.94540235306141</v>
      </c>
      <c r="G8" s="3042">
        <v>2020</v>
      </c>
      <c r="H8" s="2425">
        <v>4</v>
      </c>
      <c r="I8" s="2387">
        <v>2.0699999999999998</v>
      </c>
      <c r="J8" s="2387">
        <v>0.37</v>
      </c>
      <c r="K8" s="2387">
        <v>2.35</v>
      </c>
      <c r="L8" s="2388">
        <v>2.69</v>
      </c>
      <c r="M8" s="2410"/>
      <c r="N8" s="2426">
        <f t="shared" ref="N8" si="43">I8/100</f>
        <v>2.07E-2</v>
      </c>
      <c r="O8" s="2411">
        <f t="shared" ref="O8" si="44">J8/100</f>
        <v>3.7000000000000002E-3</v>
      </c>
      <c r="P8" s="2411">
        <f t="shared" ref="P8" si="45">K8/100</f>
        <v>2.35E-2</v>
      </c>
      <c r="Q8" s="2411">
        <f t="shared" ref="Q8" si="46">L8/100</f>
        <v>2.69E-2</v>
      </c>
      <c r="R8" s="2427"/>
      <c r="S8" s="2426"/>
      <c r="T8" s="2411"/>
      <c r="U8" s="2411"/>
      <c r="V8" s="2411"/>
      <c r="W8" s="2428"/>
      <c r="X8" s="2428">
        <f>ROUND(IF(项目基本情况!B6="出让",SUMPRODUCT(PRODUCT(1+N8:N$35)),SUMPRODUCT(PRODUCT(1+N8:N$34))),4)</f>
        <v>1.6034999999999999</v>
      </c>
      <c r="Y8" s="2428">
        <f>ROUND(IF(项目基本情况!B6="出让",SUMPRODUCT(PRODUCT(1+O8:O$35)),SUMPRODUCT(PRODUCT(1+O8:O$34))),4)</f>
        <v>1.3469</v>
      </c>
      <c r="Z8" s="2428">
        <f t="shared" ref="Z8" si="47">Y8</f>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ref="AF8" si="48">AE8</f>
        <v>1.1599999999999999E-2</v>
      </c>
      <c r="AG8" s="2429">
        <f>ROUND(AVERAGE(K8:K$35)/100,4)</f>
        <v>0.02</v>
      </c>
      <c r="AH8" s="2429">
        <f>ROUND(AVERAGE(L8:L$35)/100,4)</f>
        <v>1.3299999999999999E-2</v>
      </c>
    </row>
    <row r="9" spans="1:34" s="2430" customFormat="1">
      <c r="A9" s="2423" t="s">
        <v>3057</v>
      </c>
      <c r="B9" s="2424">
        <f t="shared" ref="B9" si="49">B10*(1+N9)</f>
        <v>483.1434279321756</v>
      </c>
      <c r="C9" s="2424">
        <f t="shared" ref="C9" si="50">C10*(1+O9)</f>
        <v>345.93622669144776</v>
      </c>
      <c r="D9" s="2424">
        <f t="shared" ref="D9" si="51">C9</f>
        <v>345.93622669144776</v>
      </c>
      <c r="E9" s="2424">
        <f t="shared" ref="E9" si="52">E10*(1+P9)</f>
        <v>694.24498562544113</v>
      </c>
      <c r="F9" s="2424">
        <f t="shared" ref="F9" si="53">F10*(1+Q9)</f>
        <v>319.35475932716082</v>
      </c>
      <c r="G9" s="3039">
        <v>2020</v>
      </c>
      <c r="H9" s="2425">
        <v>3</v>
      </c>
      <c r="I9" s="2387">
        <v>0.36</v>
      </c>
      <c r="J9" s="2387">
        <v>-0.39</v>
      </c>
      <c r="K9" s="2387">
        <v>0.49</v>
      </c>
      <c r="L9" s="2388">
        <v>7.0000000000000007E-2</v>
      </c>
      <c r="M9" s="2410"/>
      <c r="N9" s="2426">
        <f t="shared" ref="N9" si="54">I9/100</f>
        <v>3.5999999999999999E-3</v>
      </c>
      <c r="O9" s="2411">
        <f t="shared" ref="O9" si="55">J9/100</f>
        <v>-3.9000000000000003E-3</v>
      </c>
      <c r="P9" s="2411">
        <f t="shared" ref="P9" si="56">K9/100</f>
        <v>4.8999999999999998E-3</v>
      </c>
      <c r="Q9" s="2411">
        <f t="shared" ref="Q9" si="57">L9/100</f>
        <v>7.000000000000001E-4</v>
      </c>
      <c r="R9" s="2427"/>
      <c r="S9" s="2426"/>
      <c r="T9" s="2411"/>
      <c r="U9" s="2411"/>
      <c r="V9" s="2411"/>
      <c r="W9" s="2428"/>
      <c r="X9" s="2428">
        <f>ROUND(IF(项目基本情况!B7="出让",SUMPRODUCT(PRODUCT(1+N9:N$35)),SUMPRODUCT(PRODUCT(1+N9:N$34))),4)</f>
        <v>1.571</v>
      </c>
      <c r="Y9" s="2428">
        <f>ROUND(IF(项目基本情况!B7="出让",SUMPRODUCT(PRODUCT(1+O9:O$35)),SUMPRODUCT(PRODUCT(1+O9:O$34))),4)</f>
        <v>1.3420000000000001</v>
      </c>
      <c r="Z9" s="2428">
        <f t="shared" ref="Z9" si="58">Y9</f>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ref="AF9" si="59">AE9</f>
        <v>1.1900000000000001E-2</v>
      </c>
      <c r="AG9" s="2429">
        <f>ROUND(AVERAGE(K9:K$35)/100,4)</f>
        <v>1.9900000000000001E-2</v>
      </c>
      <c r="AH9" s="2429">
        <f>ROUND(AVERAGE(L9:L$35)/100,4)</f>
        <v>1.2800000000000001E-2</v>
      </c>
    </row>
    <row r="10" spans="1:34" s="2430" customFormat="1">
      <c r="A10" s="2423" t="s">
        <v>2871</v>
      </c>
      <c r="B10" s="2424">
        <f t="shared" ref="B10" si="60">B11*(1+N10)</f>
        <v>481.4103506697644</v>
      </c>
      <c r="C10" s="2424">
        <f t="shared" ref="C10" si="61">C11*(1+O10)</f>
        <v>347.29066026648707</v>
      </c>
      <c r="D10" s="2424">
        <f t="shared" ref="D10" si="62">C10</f>
        <v>347.29066026648707</v>
      </c>
      <c r="E10" s="2424">
        <f t="shared" ref="E10" si="63">E11*(1+P10)</f>
        <v>690.85977273901995</v>
      </c>
      <c r="F10" s="2424">
        <f t="shared" ref="F10" si="64">F11*(1+Q10)</f>
        <v>319.13136737000184</v>
      </c>
      <c r="G10" s="2414">
        <v>2020</v>
      </c>
      <c r="H10" s="2425">
        <v>2</v>
      </c>
      <c r="I10" s="2387">
        <v>0.31</v>
      </c>
      <c r="J10" s="2387">
        <v>-0.78</v>
      </c>
      <c r="K10" s="2387">
        <v>0.5</v>
      </c>
      <c r="L10" s="2388">
        <v>0.47</v>
      </c>
      <c r="M10" s="2410"/>
      <c r="N10" s="2426">
        <f t="shared" ref="N10" si="65">I10/100</f>
        <v>3.0999999999999999E-3</v>
      </c>
      <c r="O10" s="2411">
        <f t="shared" ref="O10" si="66">J10/100</f>
        <v>-7.8000000000000005E-3</v>
      </c>
      <c r="P10" s="2411">
        <f t="shared" ref="P10" si="67">K10/100</f>
        <v>5.0000000000000001E-3</v>
      </c>
      <c r="Q10" s="2411">
        <f t="shared" ref="Q10" si="68">L10/100</f>
        <v>4.6999999999999993E-3</v>
      </c>
      <c r="R10" s="2427"/>
      <c r="S10" s="2426"/>
      <c r="T10" s="2411"/>
      <c r="U10" s="2411"/>
      <c r="V10" s="2411"/>
      <c r="W10" s="2428"/>
      <c r="X10" s="2428">
        <f>ROUND(IF(项目基本情况!B8="出让",SUMPRODUCT(PRODUCT(1+N10:N$35)),SUMPRODUCT(PRODUCT(1+N10:N$34))),4)</f>
        <v>1.5652999999999999</v>
      </c>
      <c r="Y10" s="2428">
        <f>ROUND(IF(项目基本情况!B8="出让",SUMPRODUCT(PRODUCT(1+O10:O$35)),SUMPRODUCT(PRODUCT(1+O10:O$34))),4)</f>
        <v>1.3472</v>
      </c>
      <c r="Z10" s="2428">
        <f t="shared" ref="Z10" si="69">Y10</f>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ref="AF10" si="70">AE10</f>
        <v>1.2500000000000001E-2</v>
      </c>
      <c r="AG10" s="2429">
        <f>ROUND(AVERAGE(K10:K$35)/100,4)</f>
        <v>2.0400000000000001E-2</v>
      </c>
      <c r="AH10" s="2429">
        <f>ROUND(AVERAGE(L10:L$35)/100,4)</f>
        <v>1.32E-2</v>
      </c>
    </row>
    <row r="11" spans="1:34" s="2430" customFormat="1">
      <c r="A11" s="2423" t="s">
        <v>2869</v>
      </c>
      <c r="B11" s="2424">
        <f t="shared" ref="B11" si="71">B12*(1+N11)</f>
        <v>479.92259063878413</v>
      </c>
      <c r="C11" s="2424">
        <f t="shared" ref="C11" si="72">C12*(1+O11)</f>
        <v>350.02082268341775</v>
      </c>
      <c r="D11" s="2424">
        <f t="shared" ref="D11" si="73">C11</f>
        <v>350.02082268341775</v>
      </c>
      <c r="E11" s="2424">
        <f t="shared" ref="E11" si="74">E12*(1+P11)</f>
        <v>687.42265944181099</v>
      </c>
      <c r="F11" s="2424">
        <f t="shared" ref="F11" si="75">F12*(1+Q11)</f>
        <v>317.63846657708956</v>
      </c>
      <c r="G11" s="2414">
        <v>2020</v>
      </c>
      <c r="H11" s="2425">
        <v>1</v>
      </c>
      <c r="I11" s="2387">
        <v>0.12</v>
      </c>
      <c r="J11" s="2387">
        <v>-0.4</v>
      </c>
      <c r="K11" s="2387">
        <v>0.21</v>
      </c>
      <c r="L11" s="2388">
        <v>0.27</v>
      </c>
      <c r="M11" s="2410"/>
      <c r="N11" s="2426">
        <f t="shared" ref="N11" si="76">I11/100</f>
        <v>1.1999999999999999E-3</v>
      </c>
      <c r="O11" s="2411">
        <f t="shared" ref="O11" si="77">J11/100</f>
        <v>-4.0000000000000001E-3</v>
      </c>
      <c r="P11" s="2411">
        <f t="shared" ref="P11" si="78">K11/100</f>
        <v>2.0999999999999999E-3</v>
      </c>
      <c r="Q11" s="2411">
        <f t="shared" ref="Q11" si="79">L11/100</f>
        <v>2.7000000000000001E-3</v>
      </c>
      <c r="R11" s="2427"/>
      <c r="S11" s="2426">
        <f>B11/B12-1</f>
        <v>1.2000000000000899E-3</v>
      </c>
      <c r="T11" s="2411">
        <f t="shared" ref="T11" si="80">C11/C12-1</f>
        <v>-4.0000000000000036E-3</v>
      </c>
      <c r="U11" s="2411">
        <f t="shared" ref="U11" si="81">D11/D12-1</f>
        <v>-4.0000000000000036E-3</v>
      </c>
      <c r="V11" s="2411">
        <f t="shared" ref="V11" si="82">E11/E12-1</f>
        <v>2.0999999999999908E-3</v>
      </c>
      <c r="W11" s="2428"/>
      <c r="X11" s="2428">
        <f>ROUND(IF(项目基本情况!B8="出让",SUMPRODUCT(PRODUCT(1+N11:N$35)),SUMPRODUCT(PRODUCT(1+N11:N$34))),4)</f>
        <v>1.5605</v>
      </c>
      <c r="Y11" s="2428">
        <f>ROUND(IF(项目基本情况!B8="出让",SUMPRODUCT(PRODUCT(1+O11:O$35)),SUMPRODUCT(PRODUCT(1+O11:O$34))),4)</f>
        <v>1.3577999999999999</v>
      </c>
      <c r="Z11" s="2428">
        <f t="shared" ref="Z11" si="83">Y11</f>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ref="AF11" si="84">AE11</f>
        <v>1.3299999999999999E-2</v>
      </c>
      <c r="AG11" s="2429">
        <f>ROUND(AVERAGE(K11:K$35)/100,4)</f>
        <v>2.1100000000000001E-2</v>
      </c>
      <c r="AH11" s="2429">
        <f>ROUND(AVERAGE(L11:L$35)/100,4)</f>
        <v>1.3599999999999999E-2</v>
      </c>
    </row>
    <row r="12" spans="1:34" s="2430" customFormat="1">
      <c r="A12" s="2423" t="s">
        <v>2868</v>
      </c>
      <c r="B12" s="2424">
        <f t="shared" ref="B12" si="85">B13*(1+N12)</f>
        <v>479.34737379023579</v>
      </c>
      <c r="C12" s="2424">
        <f t="shared" ref="C12" si="86">C13*(1+O12)</f>
        <v>351.4265287986122</v>
      </c>
      <c r="D12" s="2424">
        <f t="shared" ref="D12" si="87">C12</f>
        <v>351.4265287986122</v>
      </c>
      <c r="E12" s="2424">
        <f t="shared" ref="E12" si="88">E13*(1+P12)</f>
        <v>685.98209703803116</v>
      </c>
      <c r="F12" s="2424">
        <f t="shared" ref="F12" si="89">F13*(1+Q12)</f>
        <v>316.78315206651001</v>
      </c>
      <c r="G12" s="2414">
        <v>2019</v>
      </c>
      <c r="H12" s="2425">
        <v>4</v>
      </c>
      <c r="I12" s="2425">
        <v>0.45</v>
      </c>
      <c r="J12" s="2425">
        <v>-0.12</v>
      </c>
      <c r="K12" s="2425">
        <v>0.54</v>
      </c>
      <c r="L12" s="2431">
        <v>0.48</v>
      </c>
      <c r="M12" s="2410"/>
      <c r="N12" s="2426">
        <f t="shared" ref="N12:N17" si="90">I12/100</f>
        <v>4.5000000000000005E-3</v>
      </c>
      <c r="O12" s="2411">
        <f t="shared" ref="O12" si="91">J12/100</f>
        <v>-1.1999999999999999E-3</v>
      </c>
      <c r="P12" s="2411">
        <f t="shared" ref="P12" si="92">K12/100</f>
        <v>5.4000000000000003E-3</v>
      </c>
      <c r="Q12" s="2411">
        <f t="shared" ref="Q12" si="93">L12/100</f>
        <v>4.7999999999999996E-3</v>
      </c>
      <c r="R12" s="2427"/>
      <c r="S12" s="2426"/>
      <c r="T12" s="2411"/>
      <c r="U12" s="2411"/>
      <c r="V12" s="2411"/>
      <c r="W12" s="2428"/>
      <c r="X12" s="2428">
        <f>ROUND(IF(项目基本情况!B8="出让",SUMPRODUCT(PRODUCT(1+N12:N$35)),SUMPRODUCT(PRODUCT(1+N12:N$34))),4)</f>
        <v>1.5586</v>
      </c>
      <c r="Y12" s="2428">
        <f>ROUND(IF(项目基本情况!B8="出让",SUMPRODUCT(PRODUCT(1+O12:O$35)),SUMPRODUCT(PRODUCT(1+O12:O$34))),4)</f>
        <v>1.3633</v>
      </c>
      <c r="Z12" s="2428">
        <f t="shared" ref="Z12" si="94">Y12</f>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ref="AF12" si="95">AE12</f>
        <v>1.4E-2</v>
      </c>
      <c r="AG12" s="2429">
        <f>ROUND(AVERAGE(K12:K$35)/100,4)</f>
        <v>2.1899999999999999E-2</v>
      </c>
      <c r="AH12" s="2429">
        <f>ROUND(AVERAGE(L12:L$35)/100,4)</f>
        <v>1.4E-2</v>
      </c>
    </row>
    <row r="13" spans="1:34" s="2430" customFormat="1" ht="13.5" thickBot="1">
      <c r="A13" s="2423" t="s">
        <v>2867</v>
      </c>
      <c r="B13" s="2424">
        <f t="shared" ref="B13" si="96">B14*(1+N13)</f>
        <v>477.19997390765138</v>
      </c>
      <c r="C13" s="2424">
        <f t="shared" ref="C13" si="97">C14*(1+O13)</f>
        <v>351.84874729536665</v>
      </c>
      <c r="D13" s="2424">
        <f t="shared" ref="D13" si="98">C13</f>
        <v>351.84874729536665</v>
      </c>
      <c r="E13" s="2424">
        <f t="shared" ref="E13" si="99">E14*(1+P13)</f>
        <v>682.29768951465201</v>
      </c>
      <c r="F13" s="2424">
        <f t="shared" ref="F13" si="100">F14*(1+Q13)</f>
        <v>315.26985675409043</v>
      </c>
      <c r="G13" s="2414">
        <v>2019</v>
      </c>
      <c r="H13" s="2425">
        <v>3</v>
      </c>
      <c r="I13" s="2425">
        <v>0.61</v>
      </c>
      <c r="J13" s="2425">
        <v>0.67</v>
      </c>
      <c r="K13" s="2425">
        <v>0.6</v>
      </c>
      <c r="L13" s="2431">
        <v>1.03</v>
      </c>
      <c r="M13" s="2410"/>
      <c r="N13" s="2426">
        <f t="shared" si="90"/>
        <v>6.0999999999999995E-3</v>
      </c>
      <c r="O13" s="2411">
        <f t="shared" ref="O13" si="101">J13/100</f>
        <v>6.7000000000000002E-3</v>
      </c>
      <c r="P13" s="2411">
        <f t="shared" ref="P13" si="102">K13/100</f>
        <v>6.0000000000000001E-3</v>
      </c>
      <c r="Q13" s="2411">
        <f t="shared" ref="Q13" si="103">L13/100</f>
        <v>1.03E-2</v>
      </c>
      <c r="R13" s="2427"/>
      <c r="S13" s="2426"/>
      <c r="T13" s="2411"/>
      <c r="U13" s="2411"/>
      <c r="V13" s="2411"/>
      <c r="W13" s="2428"/>
      <c r="X13" s="2428">
        <f>ROUND(IF(项目基本情况!B8="出让",SUMPRODUCT(PRODUCT(1+N13:N$35)),SUMPRODUCT(PRODUCT(1+N13:N$34))),4)</f>
        <v>1.5516000000000001</v>
      </c>
      <c r="Y13" s="2428">
        <f>ROUND(IF(项目基本情况!B8="出让",SUMPRODUCT(PRODUCT(1+O13:O$35)),SUMPRODUCT(PRODUCT(1+O13:O$34))),4)</f>
        <v>1.3649</v>
      </c>
      <c r="Z13" s="2428">
        <f t="shared" ref="Z13" si="104">Y13</f>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ref="AF13" si="105">AE13</f>
        <v>1.47E-2</v>
      </c>
      <c r="AG13" s="2429">
        <f>ROUND(AVERAGE(K13:K$35)/100,4)</f>
        <v>2.2599999999999999E-2</v>
      </c>
      <c r="AH13" s="2429">
        <f>ROUND(AVERAGE(L13:L$35)/100,4)</f>
        <v>1.44E-2</v>
      </c>
    </row>
    <row r="14" spans="1:34" s="2430" customFormat="1">
      <c r="A14" s="2423" t="s">
        <v>2865</v>
      </c>
      <c r="B14" s="2424">
        <f t="shared" ref="B14" si="106">B15*(1+N14)</f>
        <v>474.30670301923408</v>
      </c>
      <c r="C14" s="2424">
        <f t="shared" ref="C14" si="107">C15*(1+O14)</f>
        <v>349.50705005996491</v>
      </c>
      <c r="D14" s="2424">
        <f t="shared" ref="D14" si="108">C14</f>
        <v>349.50705005996491</v>
      </c>
      <c r="E14" s="2424">
        <f t="shared" ref="E14" si="109">E15*(1+P14)</f>
        <v>678.22831959706957</v>
      </c>
      <c r="F14" s="2424">
        <f t="shared" ref="F14" si="110">F15*(1+Q14)</f>
        <v>312.0556832169558</v>
      </c>
      <c r="G14" s="2414">
        <v>2019</v>
      </c>
      <c r="H14" s="2432">
        <v>2</v>
      </c>
      <c r="I14" s="2432">
        <v>1.53</v>
      </c>
      <c r="J14" s="2432">
        <v>1.01</v>
      </c>
      <c r="K14" s="2432">
        <v>1.62</v>
      </c>
      <c r="L14" s="2433">
        <v>1.25</v>
      </c>
      <c r="M14" s="2410"/>
      <c r="N14" s="2426">
        <f t="shared" si="90"/>
        <v>1.5300000000000001E-2</v>
      </c>
      <c r="O14" s="2411">
        <f t="shared" ref="O14" si="111">J14/100</f>
        <v>1.01E-2</v>
      </c>
      <c r="P14" s="2411">
        <f t="shared" ref="P14" si="112">K14/100</f>
        <v>1.6200000000000003E-2</v>
      </c>
      <c r="Q14" s="2411">
        <f t="shared" ref="Q14" si="113">L14/100</f>
        <v>1.2500000000000001E-2</v>
      </c>
      <c r="R14" s="2427"/>
      <c r="S14" s="2426"/>
      <c r="T14" s="2411"/>
      <c r="U14" s="2411"/>
      <c r="V14" s="2411"/>
      <c r="W14" s="2428"/>
      <c r="X14" s="2428">
        <f>ROUND(IF(项目基本情况!B8="出让",SUMPRODUCT(PRODUCT(1+N14:N$35)),SUMPRODUCT(PRODUCT(1+N14:N$34))),4)</f>
        <v>1.5422</v>
      </c>
      <c r="Y14" s="2428">
        <f>ROUND(IF(项目基本情况!B8="出让",SUMPRODUCT(PRODUCT(1+O14:O$35)),SUMPRODUCT(PRODUCT(1+O14:O$34))),4)</f>
        <v>1.3557999999999999</v>
      </c>
      <c r="Z14" s="2428">
        <f t="shared" ref="Z14" si="114">Y14</f>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ref="AF14" si="115">AE14</f>
        <v>1.4999999999999999E-2</v>
      </c>
      <c r="AG14" s="2429">
        <f>ROUND(AVERAGE(K14:K$35)/100,4)</f>
        <v>2.3300000000000001E-2</v>
      </c>
      <c r="AH14" s="2429">
        <f>ROUND(AVERAGE(L14:L$35)/100,4)</f>
        <v>1.46E-2</v>
      </c>
    </row>
    <row r="15" spans="1:34" s="2430" customFormat="1" ht="13.5" thickBot="1">
      <c r="A15" s="2423" t="s">
        <v>2863</v>
      </c>
      <c r="B15" s="2424">
        <f t="shared" ref="B15" si="116">B16*(1+N15)</f>
        <v>467.15916775261894</v>
      </c>
      <c r="C15" s="2424">
        <f t="shared" ref="C15" si="117">C16*(1+O15)</f>
        <v>346.01232557169084</v>
      </c>
      <c r="D15" s="2424">
        <f t="shared" ref="D15" si="118">C15</f>
        <v>346.01232557169084</v>
      </c>
      <c r="E15" s="2424">
        <f t="shared" ref="E15" si="119">E16*(1+P15)</f>
        <v>667.41617752122568</v>
      </c>
      <c r="F15" s="2424">
        <f t="shared" ref="F15" si="120">F16*(1+Q15)</f>
        <v>308.20314391798104</v>
      </c>
      <c r="G15" s="2414">
        <v>2019</v>
      </c>
      <c r="H15" s="2425">
        <v>1</v>
      </c>
      <c r="I15" s="2425">
        <v>0.6</v>
      </c>
      <c r="J15" s="2425">
        <v>0.37</v>
      </c>
      <c r="K15" s="2425">
        <v>0.63</v>
      </c>
      <c r="L15" s="2431">
        <v>1.1299999999999999</v>
      </c>
      <c r="M15" s="2410"/>
      <c r="N15" s="2426">
        <f t="shared" si="90"/>
        <v>6.0000000000000001E-3</v>
      </c>
      <c r="O15" s="2411">
        <f t="shared" ref="O15" si="121">J15/100</f>
        <v>3.7000000000000002E-3</v>
      </c>
      <c r="P15" s="2411">
        <f t="shared" ref="P15" si="122">K15/100</f>
        <v>6.3E-3</v>
      </c>
      <c r="Q15" s="2411">
        <f t="shared" ref="Q15" si="123">L15/100</f>
        <v>1.1299999999999999E-2</v>
      </c>
      <c r="R15" s="2427"/>
      <c r="S15" s="2426">
        <f>B15/B16-1</f>
        <v>6.0000000000000053E-3</v>
      </c>
      <c r="T15" s="2411">
        <f t="shared" ref="T15" si="124">C15/C16-1</f>
        <v>3.7000000000000366E-3</v>
      </c>
      <c r="U15" s="2411">
        <f t="shared" ref="U15" si="125">D15/D16-1</f>
        <v>3.7000000000000366E-3</v>
      </c>
      <c r="V15" s="2411">
        <f t="shared" ref="V15" si="126">E15/E16-1</f>
        <v>6.2999999999999723E-3</v>
      </c>
      <c r="W15" s="2428"/>
      <c r="X15" s="2428">
        <f>ROUND(IF(项目基本情况!B8="出让",SUMPRODUCT(PRODUCT(1+N15:N$35)),SUMPRODUCT(PRODUCT(1+N15:N$34))),4)</f>
        <v>1.5189999999999999</v>
      </c>
      <c r="Y15" s="2428">
        <f>ROUND(IF(项目基本情况!B8="出让",SUMPRODUCT(PRODUCT(1+O15:O$35)),SUMPRODUCT(PRODUCT(1+O15:O$34))),4)</f>
        <v>1.3423</v>
      </c>
      <c r="Z15" s="2428">
        <f t="shared" ref="Z15" si="127">Y15</f>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ref="AF15" si="128">AE15</f>
        <v>1.5299999999999999E-2</v>
      </c>
      <c r="AG15" s="2429">
        <f>ROUND(AVERAGE(K15:K$35)/100,4)</f>
        <v>2.3699999999999999E-2</v>
      </c>
      <c r="AH15" s="2429">
        <f>ROUND(AVERAGE(L15:L$35)/100,4)</f>
        <v>1.47E-2</v>
      </c>
    </row>
    <row r="16" spans="1:34" s="2430" customFormat="1">
      <c r="A16" s="2423" t="s">
        <v>2866</v>
      </c>
      <c r="B16" s="2434">
        <f t="shared" ref="B16" si="129">B17*(1+N16)</f>
        <v>464.37293017158942</v>
      </c>
      <c r="C16" s="2434">
        <f t="shared" ref="C16" si="130">C17*(1+O16)</f>
        <v>344.73679941385956</v>
      </c>
      <c r="D16" s="2434">
        <f t="shared" ref="D16" si="131">C16</f>
        <v>344.73679941385956</v>
      </c>
      <c r="E16" s="2434">
        <f t="shared" ref="E16" si="132">E17*(1+P16)</f>
        <v>663.2377795103107</v>
      </c>
      <c r="F16" s="2435">
        <f t="shared" ref="F16" si="133">F17*(1+Q16)</f>
        <v>304.75936311478398</v>
      </c>
      <c r="G16" s="3540">
        <v>2018</v>
      </c>
      <c r="H16" s="2432">
        <v>4</v>
      </c>
      <c r="I16" s="2432">
        <v>0.96</v>
      </c>
      <c r="J16" s="2432">
        <v>1.03</v>
      </c>
      <c r="K16" s="2432">
        <v>0.92</v>
      </c>
      <c r="L16" s="2433">
        <v>1.29</v>
      </c>
      <c r="M16" s="2410"/>
      <c r="N16" s="2426">
        <f t="shared" si="90"/>
        <v>9.5999999999999992E-3</v>
      </c>
      <c r="O16" s="2411">
        <f t="shared" ref="O16" si="134">J16/100</f>
        <v>1.03E-2</v>
      </c>
      <c r="P16" s="2411">
        <f t="shared" ref="P16" si="135">K16/100</f>
        <v>9.1999999999999998E-3</v>
      </c>
      <c r="Q16" s="2411">
        <f t="shared" ref="Q16" si="136">L16/100</f>
        <v>1.29E-2</v>
      </c>
      <c r="R16" s="2427"/>
      <c r="S16" s="2426"/>
      <c r="T16" s="2411"/>
      <c r="U16" s="2411"/>
      <c r="V16" s="2411"/>
      <c r="W16" s="2428"/>
      <c r="X16" s="2428">
        <f>ROUND(SUMPRODUCT(PRODUCT(1+N16:N$34)),4)</f>
        <v>1.5099</v>
      </c>
      <c r="Y16" s="2428">
        <f>ROUND(SUMPRODUCT(PRODUCT(1+O16:O$34)),4)</f>
        <v>1.3372999999999999</v>
      </c>
      <c r="Z16" s="2428">
        <f t="shared" ref="Z16" si="137">Y16</f>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ref="AF16" si="138">AE16</f>
        <v>1.5800000000000002E-2</v>
      </c>
      <c r="AG16" s="2429">
        <f>ROUND(AVERAGE(K16:K$35)/100,4)</f>
        <v>2.4500000000000001E-2</v>
      </c>
      <c r="AH16" s="2429">
        <f>ROUND(AVERAGE(L16:L$35)/100,4)</f>
        <v>1.49E-2</v>
      </c>
    </row>
    <row r="17" spans="1:34" s="2430" customFormat="1" ht="14.45" customHeight="1">
      <c r="A17" s="2423" t="s">
        <v>2861</v>
      </c>
      <c r="B17" s="2424">
        <f t="shared" ref="B17" si="139">B18*(1+N17)</f>
        <v>459.95733971036987</v>
      </c>
      <c r="C17" s="2424">
        <f t="shared" ref="C17" si="140">C18*(1+O17)</f>
        <v>341.22221064422405</v>
      </c>
      <c r="D17" s="2424">
        <f t="shared" ref="D17" si="141">C17</f>
        <v>341.22221064422405</v>
      </c>
      <c r="E17" s="2424">
        <f t="shared" ref="E17" si="142">E18*(1+P17)</f>
        <v>657.19161663724799</v>
      </c>
      <c r="F17" s="2424">
        <f t="shared" ref="F17" si="143">F18*(1+Q17)</f>
        <v>300.87803644464805</v>
      </c>
      <c r="G17" s="3540"/>
      <c r="H17" s="2425">
        <v>3</v>
      </c>
      <c r="I17" s="2425">
        <v>1.51</v>
      </c>
      <c r="J17" s="2425">
        <v>1.41</v>
      </c>
      <c r="K17" s="2425">
        <v>1.52</v>
      </c>
      <c r="L17" s="2431">
        <v>1.74</v>
      </c>
      <c r="M17" s="2410"/>
      <c r="N17" s="2426">
        <f t="shared" si="90"/>
        <v>1.5100000000000001E-2</v>
      </c>
      <c r="O17" s="2411">
        <f t="shared" ref="O17" si="144">J17/100</f>
        <v>1.41E-2</v>
      </c>
      <c r="P17" s="2411">
        <f t="shared" ref="P17" si="145">K17/100</f>
        <v>1.52E-2</v>
      </c>
      <c r="Q17" s="2411">
        <f t="shared" ref="Q17" si="146">L17/100</f>
        <v>1.7399999999999999E-2</v>
      </c>
      <c r="R17" s="2427"/>
      <c r="S17" s="2426"/>
      <c r="T17" s="2411"/>
      <c r="U17" s="2411"/>
      <c r="V17" s="2411"/>
      <c r="W17" s="2428"/>
      <c r="X17" s="2428">
        <f>ROUND(SUMPRODUCT(PRODUCT(1+N17:N$34)),4)</f>
        <v>1.4956</v>
      </c>
      <c r="Y17" s="2428">
        <f>ROUND(SUMPRODUCT(PRODUCT(1+O17:O$34)),4)</f>
        <v>1.3237000000000001</v>
      </c>
      <c r="Z17" s="2428">
        <f t="shared" ref="Z17" si="147">Y17</f>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ref="AF17" si="148">AE17</f>
        <v>1.61E-2</v>
      </c>
      <c r="AG17" s="2429">
        <f>ROUND(AVERAGE(K17:K$35)/100,4)</f>
        <v>2.53E-2</v>
      </c>
      <c r="AH17" s="2429">
        <f>ROUND(AVERAGE(L17:L$35)/100,4)</f>
        <v>1.4999999999999999E-2</v>
      </c>
    </row>
    <row r="18" spans="1:34" s="2430" customFormat="1" ht="14.45" customHeight="1">
      <c r="A18" s="2423" t="s">
        <v>2860</v>
      </c>
      <c r="B18" s="2424">
        <f t="shared" ref="B18" si="149">B19*(1+N18)</f>
        <v>453.11529869999993</v>
      </c>
      <c r="C18" s="2424">
        <f t="shared" ref="C18" si="150">C19*(1+O18)</f>
        <v>336.47787264000004</v>
      </c>
      <c r="D18" s="2424">
        <f t="shared" ref="D18" si="151">C18</f>
        <v>336.47787264000004</v>
      </c>
      <c r="E18" s="2424">
        <f t="shared" ref="E18" si="152">E19*(1+P18)</f>
        <v>647.35186823999993</v>
      </c>
      <c r="F18" s="2424">
        <f t="shared" ref="F18" si="153">F19*(1+Q18)</f>
        <v>295.73229452000004</v>
      </c>
      <c r="G18" s="3540"/>
      <c r="H18" s="2436">
        <v>2</v>
      </c>
      <c r="I18" s="2436">
        <v>1.49</v>
      </c>
      <c r="J18" s="2436">
        <v>0.96</v>
      </c>
      <c r="K18" s="2436">
        <v>1.58</v>
      </c>
      <c r="L18" s="2437">
        <v>2.44</v>
      </c>
      <c r="M18" s="2410"/>
      <c r="N18" s="2426">
        <f t="shared" ref="N18" si="154">I18/100</f>
        <v>1.49E-2</v>
      </c>
      <c r="O18" s="2411">
        <f t="shared" ref="O18" si="155">J18/100</f>
        <v>9.5999999999999992E-3</v>
      </c>
      <c r="P18" s="2411">
        <f t="shared" ref="P18" si="156">K18/100</f>
        <v>1.5800000000000002E-2</v>
      </c>
      <c r="Q18" s="2411">
        <f t="shared" ref="Q18" si="157">L18/100</f>
        <v>2.4399999999999998E-2</v>
      </c>
      <c r="R18" s="2427"/>
      <c r="S18" s="2426"/>
      <c r="T18" s="2411"/>
      <c r="U18" s="2411"/>
      <c r="V18" s="2411"/>
      <c r="W18" s="2428"/>
      <c r="X18" s="2428">
        <f>ROUND(SUMPRODUCT(PRODUCT(1+N18:N$34)),4)</f>
        <v>1.4733000000000001</v>
      </c>
      <c r="Y18" s="2428">
        <f>ROUND(SUMPRODUCT(PRODUCT(1+O18:O$34)),4)</f>
        <v>1.3052999999999999</v>
      </c>
      <c r="Z18" s="2428">
        <f t="shared" ref="Z18" si="158">Y18</f>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ref="AF18" si="159">AE18</f>
        <v>1.6199999999999999E-2</v>
      </c>
      <c r="AG18" s="2429">
        <f>ROUND(AVERAGE(K18:K$35)/100,4)</f>
        <v>2.5899999999999999E-2</v>
      </c>
      <c r="AH18" s="2429">
        <f>ROUND(AVERAGE(L18:L$35)/100,4)</f>
        <v>1.49E-2</v>
      </c>
    </row>
    <row r="19" spans="1:34" s="2430" customFormat="1" ht="15" customHeight="1" thickBot="1">
      <c r="A19" s="2423" t="s">
        <v>2853</v>
      </c>
      <c r="B19" s="2424">
        <f t="shared" ref="B19" si="160">B20*(1+N19)</f>
        <v>446.46299999999997</v>
      </c>
      <c r="C19" s="2424">
        <f t="shared" ref="C19" si="161">C20*(1+O19)</f>
        <v>333.27840000000003</v>
      </c>
      <c r="D19" s="2424">
        <f t="shared" ref="D19" si="162">C19</f>
        <v>333.27840000000003</v>
      </c>
      <c r="E19" s="2424">
        <f t="shared" ref="E19" si="163">E20*(1+P19)</f>
        <v>637.28279999999995</v>
      </c>
      <c r="F19" s="2424">
        <f t="shared" ref="F19" si="164">F20*(1+Q19)</f>
        <v>288.68830000000003</v>
      </c>
      <c r="G19" s="3547"/>
      <c r="H19" s="2425">
        <v>1</v>
      </c>
      <c r="I19" s="2425">
        <v>1.7</v>
      </c>
      <c r="J19" s="2425">
        <v>1.92</v>
      </c>
      <c r="K19" s="2425">
        <v>1.64</v>
      </c>
      <c r="L19" s="2431">
        <v>2.0099999999999998</v>
      </c>
      <c r="M19" s="2410"/>
      <c r="N19" s="2426">
        <f t="shared" ref="N19:N24" si="165">I19/100</f>
        <v>1.7000000000000001E-2</v>
      </c>
      <c r="O19" s="2411">
        <f t="shared" ref="O19" si="166">J19/100</f>
        <v>1.9199999999999998E-2</v>
      </c>
      <c r="P19" s="2411">
        <f t="shared" ref="P19" si="167">K19/100</f>
        <v>1.6399999999999998E-2</v>
      </c>
      <c r="Q19" s="2411">
        <f t="shared" ref="Q19" si="168">L19/100</f>
        <v>2.0099999999999996E-2</v>
      </c>
      <c r="R19" s="2427"/>
      <c r="S19" s="2426">
        <f>B19/B20-1</f>
        <v>1.6999999999999904E-2</v>
      </c>
      <c r="T19" s="2411">
        <f t="shared" ref="T19" si="169">C19/C20-1</f>
        <v>1.9200000000000106E-2</v>
      </c>
      <c r="U19" s="2411">
        <f t="shared" ref="U19" si="170">D19/D20-1</f>
        <v>1.9200000000000106E-2</v>
      </c>
      <c r="V19" s="2411">
        <f t="shared" ref="V19" si="171">E19/E20-1</f>
        <v>1.639999999999997E-2</v>
      </c>
      <c r="W19" s="2428"/>
      <c r="X19" s="2428">
        <f>ROUND(SUMPRODUCT(PRODUCT(1+N19:N$34)),4)</f>
        <v>1.4517</v>
      </c>
      <c r="Y19" s="2428">
        <f>ROUND(SUMPRODUCT(PRODUCT(1+O19:O$34)),4)</f>
        <v>1.2928999999999999</v>
      </c>
      <c r="Z19" s="2428">
        <f t="shared" ref="Z19" si="172">Y19</f>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ref="AF19" si="173">AE19</f>
        <v>1.66E-2</v>
      </c>
      <c r="AG19" s="2429">
        <f>ROUND(AVERAGE(K19:K$35)/100,4)</f>
        <v>2.6499999999999999E-2</v>
      </c>
      <c r="AH19" s="2429">
        <f>ROUND(AVERAGE(L19:L$35)/100,4)</f>
        <v>1.43E-2</v>
      </c>
    </row>
    <row r="20" spans="1:34">
      <c r="A20" s="2423" t="s">
        <v>2851</v>
      </c>
      <c r="B20" s="2438">
        <v>439</v>
      </c>
      <c r="C20" s="2438">
        <v>327</v>
      </c>
      <c r="D20" s="2438">
        <f>C20</f>
        <v>327</v>
      </c>
      <c r="E20" s="2438">
        <v>627</v>
      </c>
      <c r="F20" s="2439">
        <v>283</v>
      </c>
      <c r="G20" s="3543">
        <v>2017</v>
      </c>
      <c r="H20" s="2432">
        <v>4</v>
      </c>
      <c r="I20" s="2432">
        <v>1.71</v>
      </c>
      <c r="J20" s="2432">
        <v>1.78</v>
      </c>
      <c r="K20" s="2432">
        <v>1.71</v>
      </c>
      <c r="L20" s="2433">
        <v>1.43</v>
      </c>
      <c r="N20" s="2426">
        <f t="shared" si="165"/>
        <v>1.7100000000000001E-2</v>
      </c>
      <c r="O20" s="2411">
        <f t="shared" ref="O20" si="174">J20/100</f>
        <v>1.78E-2</v>
      </c>
      <c r="P20" s="2411">
        <f t="shared" ref="P20" si="175">K20/100</f>
        <v>1.7100000000000001E-2</v>
      </c>
      <c r="Q20" s="2411">
        <f t="shared" ref="Q20" si="176">L20/100</f>
        <v>1.43E-2</v>
      </c>
      <c r="R20" s="2427"/>
      <c r="S20" s="2440"/>
      <c r="T20" s="2441"/>
      <c r="U20" s="2441"/>
      <c r="V20" s="2441"/>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30" customFormat="1" ht="14.45" customHeight="1">
      <c r="A21" s="2423" t="s">
        <v>2852</v>
      </c>
      <c r="B21" s="2424">
        <f t="shared" ref="B21:B22" si="177">B22*(1+N21)</f>
        <v>431.80730811680002</v>
      </c>
      <c r="C21" s="2424">
        <f t="shared" ref="C21:C22" si="178">C22*(1+O21)</f>
        <v>320.57880516480003</v>
      </c>
      <c r="D21" s="2424">
        <f t="shared" ref="D21:D22" si="179">C21</f>
        <v>320.57880516480003</v>
      </c>
      <c r="E21" s="2424">
        <f t="shared" ref="E21:E22" si="180">E22*(1+P21)</f>
        <v>615.96110553196797</v>
      </c>
      <c r="F21" s="2424">
        <f t="shared" ref="F21:F22" si="181">F22*(1+Q21)</f>
        <v>279.46777300108801</v>
      </c>
      <c r="G21" s="3540"/>
      <c r="H21" s="2425">
        <v>3</v>
      </c>
      <c r="I21" s="2425">
        <v>2.98</v>
      </c>
      <c r="J21" s="2425">
        <v>2.11</v>
      </c>
      <c r="K21" s="2425">
        <v>3.24</v>
      </c>
      <c r="L21" s="2431">
        <v>1.72</v>
      </c>
      <c r="M21" s="2410"/>
      <c r="N21" s="2426">
        <f t="shared" si="165"/>
        <v>2.98E-2</v>
      </c>
      <c r="O21" s="2411">
        <f t="shared" ref="O21" si="182">J21/100</f>
        <v>2.1099999999999997E-2</v>
      </c>
      <c r="P21" s="2411">
        <f t="shared" ref="P21" si="183">K21/100</f>
        <v>3.2400000000000005E-2</v>
      </c>
      <c r="Q21" s="2411">
        <f t="shared" ref="Q21" si="184">L21/100</f>
        <v>1.72E-2</v>
      </c>
      <c r="R21" s="2427"/>
      <c r="S21" s="2426"/>
      <c r="T21" s="2411"/>
      <c r="U21" s="2411"/>
      <c r="V21" s="2411"/>
      <c r="W21" s="2428"/>
      <c r="X21" s="2428">
        <f>ROUND(SUMPRODUCT(PRODUCT(1+N21:N$34)),4)</f>
        <v>1.4034</v>
      </c>
      <c r="Y21" s="2428">
        <f>ROUND(SUMPRODUCT(PRODUCT(1+O21:O$34)),4)</f>
        <v>1.2463</v>
      </c>
      <c r="Z21" s="2428">
        <f t="shared" si="0"/>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1"/>
        <v>1.6400000000000001E-2</v>
      </c>
      <c r="AG21" s="2429">
        <f>ROUND(AVERAGE(K21:K$35)/100,4)</f>
        <v>2.7799999999999998E-2</v>
      </c>
      <c r="AH21" s="2429">
        <f>ROUND(AVERAGE(L21:L$35)/100,4)</f>
        <v>1.3899999999999999E-2</v>
      </c>
    </row>
    <row r="22" spans="1:34" s="2417" customFormat="1" ht="14.45" customHeight="1">
      <c r="A22" s="2423" t="s">
        <v>1351</v>
      </c>
      <c r="B22" s="2424">
        <f t="shared" si="177"/>
        <v>419.31181600000002</v>
      </c>
      <c r="C22" s="2424">
        <f t="shared" si="178"/>
        <v>313.95436800000004</v>
      </c>
      <c r="D22" s="2424">
        <f t="shared" si="179"/>
        <v>313.95436800000004</v>
      </c>
      <c r="E22" s="2424">
        <f t="shared" si="180"/>
        <v>596.63028431999999</v>
      </c>
      <c r="F22" s="2424">
        <f t="shared" si="181"/>
        <v>274.74220703999998</v>
      </c>
      <c r="G22" s="3540"/>
      <c r="H22" s="2436">
        <v>2</v>
      </c>
      <c r="I22" s="2436">
        <v>3.4</v>
      </c>
      <c r="J22" s="2436">
        <v>2</v>
      </c>
      <c r="K22" s="2436">
        <v>3.82</v>
      </c>
      <c r="L22" s="2437">
        <v>1.68</v>
      </c>
      <c r="M22" s="2410"/>
      <c r="N22" s="2426">
        <f t="shared" si="165"/>
        <v>3.4000000000000002E-2</v>
      </c>
      <c r="O22" s="2411">
        <f t="shared" ref="O22" si="185">J22/100</f>
        <v>0.02</v>
      </c>
      <c r="P22" s="2411">
        <f t="shared" ref="P22" si="186">K22/100</f>
        <v>3.8199999999999998E-2</v>
      </c>
      <c r="Q22" s="2411">
        <f t="shared" ref="Q22" si="187">L22/100</f>
        <v>1.6799999999999999E-2</v>
      </c>
      <c r="R22" s="2427"/>
      <c r="S22" s="2440"/>
      <c r="T22" s="2441"/>
      <c r="U22" s="2441"/>
      <c r="V22" s="2441"/>
      <c r="W22" s="2404"/>
      <c r="X22" s="2428">
        <f>ROUND(SUMPRODUCT(PRODUCT(1+N22:N$34)),4)</f>
        <v>1.3628</v>
      </c>
      <c r="Y22" s="2428">
        <f>ROUND(SUMPRODUCT(PRODUCT(1+O22:O$34)),4)</f>
        <v>1.2205999999999999</v>
      </c>
      <c r="Z22" s="2428">
        <f t="shared" si="0"/>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1"/>
        <v>1.6E-2</v>
      </c>
      <c r="AG22" s="2429">
        <f>ROUND(AVERAGE(K22:K$35)/100,4)</f>
        <v>2.75E-2</v>
      </c>
      <c r="AH22" s="2429">
        <f>ROUND(AVERAGE(L22:L$35)/100,4)</f>
        <v>1.37E-2</v>
      </c>
    </row>
    <row r="23" spans="1:34" s="2430" customFormat="1" ht="15" customHeight="1" thickBot="1">
      <c r="A23" s="2423" t="s">
        <v>1128</v>
      </c>
      <c r="B23" s="2424">
        <f>B24*(1+N23)</f>
        <v>405.524</v>
      </c>
      <c r="C23" s="2424">
        <f>C24*(1+O23)</f>
        <v>307.79840000000002</v>
      </c>
      <c r="D23" s="2424">
        <f>C23</f>
        <v>307.79840000000002</v>
      </c>
      <c r="E23" s="2424">
        <f>E24*(1+P23)</f>
        <v>574.67759999999998</v>
      </c>
      <c r="F23" s="2424">
        <f>F24*(1+Q23)</f>
        <v>270.20280000000002</v>
      </c>
      <c r="G23" s="3547"/>
      <c r="H23" s="2425">
        <v>1</v>
      </c>
      <c r="I23" s="2425">
        <v>3.45</v>
      </c>
      <c r="J23" s="2425">
        <v>1.92</v>
      </c>
      <c r="K23" s="2425">
        <v>3.92</v>
      </c>
      <c r="L23" s="2431">
        <v>1.58</v>
      </c>
      <c r="M23" s="2410"/>
      <c r="N23" s="2426">
        <f t="shared" si="165"/>
        <v>3.4500000000000003E-2</v>
      </c>
      <c r="O23" s="2411">
        <f t="shared" ref="O23:Q38" si="188">J23/100</f>
        <v>1.9199999999999998E-2</v>
      </c>
      <c r="P23" s="2411">
        <f t="shared" si="188"/>
        <v>3.9199999999999999E-2</v>
      </c>
      <c r="Q23" s="2411">
        <f t="shared" si="188"/>
        <v>1.5800000000000002E-2</v>
      </c>
      <c r="R23" s="2427"/>
      <c r="S23" s="2426">
        <f>B23/B24-1</f>
        <v>3.4499999999999975E-2</v>
      </c>
      <c r="T23" s="2411">
        <f t="shared" ref="T23:V23" si="189">C23/C24-1</f>
        <v>1.9200000000000106E-2</v>
      </c>
      <c r="U23" s="2411">
        <f t="shared" si="189"/>
        <v>1.9200000000000106E-2</v>
      </c>
      <c r="V23" s="2411">
        <f t="shared" si="189"/>
        <v>3.9199999999999902E-2</v>
      </c>
      <c r="W23" s="2428"/>
      <c r="X23" s="2428">
        <f>ROUND(SUMPRODUCT(PRODUCT(1+N23:N$34)),4)</f>
        <v>1.3180000000000001</v>
      </c>
      <c r="Y23" s="2428">
        <f>ROUND(SUMPRODUCT(PRODUCT(1+O23:O$34)),4)</f>
        <v>1.1966000000000001</v>
      </c>
      <c r="Z23" s="2428">
        <f t="shared" si="0"/>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1"/>
        <v>1.5699999999999999E-2</v>
      </c>
      <c r="AG23" s="2429">
        <f>ROUND(AVERAGE(K23:K$35)/100,4)</f>
        <v>2.6599999999999999E-2</v>
      </c>
      <c r="AH23" s="2429">
        <f>ROUND(AVERAGE(L23:L$35)/100,4)</f>
        <v>1.34E-2</v>
      </c>
    </row>
    <row r="24" spans="1:34">
      <c r="A24" s="2423" t="s">
        <v>154</v>
      </c>
      <c r="B24" s="2438">
        <v>392</v>
      </c>
      <c r="C24" s="2438">
        <v>302</v>
      </c>
      <c r="D24" s="2438">
        <f>C24</f>
        <v>302</v>
      </c>
      <c r="E24" s="2438">
        <v>553</v>
      </c>
      <c r="F24" s="2439">
        <v>266</v>
      </c>
      <c r="G24" s="3543">
        <v>2016</v>
      </c>
      <c r="H24" s="2432">
        <v>4</v>
      </c>
      <c r="I24" s="2432">
        <v>4.5599999999999996</v>
      </c>
      <c r="J24" s="2432">
        <v>2.15</v>
      </c>
      <c r="K24" s="2432">
        <v>5.32</v>
      </c>
      <c r="L24" s="2433">
        <v>1.57</v>
      </c>
      <c r="N24" s="2426">
        <f t="shared" si="165"/>
        <v>4.5599999999999995E-2</v>
      </c>
      <c r="O24" s="2411">
        <f t="shared" si="188"/>
        <v>2.1499999999999998E-2</v>
      </c>
      <c r="P24" s="2411">
        <f t="shared" si="188"/>
        <v>5.3200000000000004E-2</v>
      </c>
      <c r="Q24" s="2411">
        <f t="shared" si="188"/>
        <v>1.5700000000000002E-2</v>
      </c>
      <c r="R24" s="2427"/>
      <c r="S24" s="2440"/>
      <c r="T24" s="2441"/>
      <c r="U24" s="2441"/>
      <c r="V24" s="2441"/>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23" t="s">
        <v>153</v>
      </c>
      <c r="B25" s="2424">
        <f t="shared" ref="B25:C27" si="190">B24/(1+N24)</f>
        <v>374.90436113236416</v>
      </c>
      <c r="C25" s="2424">
        <f t="shared" si="190"/>
        <v>295.64366128242779</v>
      </c>
      <c r="D25" s="2424">
        <f t="shared" ref="D25:D84" si="191">C25</f>
        <v>295.64366128242779</v>
      </c>
      <c r="E25" s="2424">
        <f t="shared" ref="E25:F27" si="192">E24/(1+P24)</f>
        <v>525.06646410938095</v>
      </c>
      <c r="F25" s="2424">
        <f t="shared" si="192"/>
        <v>261.88835286009646</v>
      </c>
      <c r="G25" s="3540"/>
      <c r="H25" s="2425">
        <v>3</v>
      </c>
      <c r="I25" s="2425">
        <v>4.12</v>
      </c>
      <c r="J25" s="2425">
        <v>2</v>
      </c>
      <c r="K25" s="2425">
        <v>4.79</v>
      </c>
      <c r="L25" s="2431">
        <v>1.97</v>
      </c>
      <c r="N25" s="2426">
        <f t="shared" ref="N25:Q59" si="193">I25/100</f>
        <v>4.1200000000000001E-2</v>
      </c>
      <c r="O25" s="2411">
        <f t="shared" si="188"/>
        <v>0.02</v>
      </c>
      <c r="P25" s="2411">
        <f t="shared" si="188"/>
        <v>4.7899999999999998E-2</v>
      </c>
      <c r="Q25" s="2411">
        <f t="shared" si="188"/>
        <v>1.9699999999999999E-2</v>
      </c>
      <c r="R25" s="2427"/>
      <c r="S25" s="2426"/>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23" t="s">
        <v>143</v>
      </c>
      <c r="B26" s="2424">
        <f t="shared" si="190"/>
        <v>360.06949782209392</v>
      </c>
      <c r="C26" s="2424">
        <f t="shared" si="190"/>
        <v>289.84672674747821</v>
      </c>
      <c r="D26" s="2424">
        <f t="shared" si="191"/>
        <v>289.84672674747821</v>
      </c>
      <c r="E26" s="2424">
        <f t="shared" si="192"/>
        <v>501.06543001181495</v>
      </c>
      <c r="F26" s="2424">
        <f t="shared" si="192"/>
        <v>256.82882500744967</v>
      </c>
      <c r="G26" s="3540"/>
      <c r="H26" s="2436">
        <v>2</v>
      </c>
      <c r="I26" s="2436">
        <v>3.85</v>
      </c>
      <c r="J26" s="2436">
        <v>1.95</v>
      </c>
      <c r="K26" s="2436">
        <v>4.4800000000000004</v>
      </c>
      <c r="L26" s="2437">
        <v>1.41</v>
      </c>
      <c r="N26" s="2426">
        <f t="shared" si="193"/>
        <v>3.85E-2</v>
      </c>
      <c r="O26" s="2411">
        <f t="shared" si="188"/>
        <v>1.95E-2</v>
      </c>
      <c r="P26" s="2411">
        <f t="shared" si="188"/>
        <v>4.4800000000000006E-2</v>
      </c>
      <c r="Q26" s="2411">
        <f t="shared" si="188"/>
        <v>1.41E-2</v>
      </c>
      <c r="R26" s="2427"/>
      <c r="S26" s="2426"/>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5" thickBot="1">
      <c r="A27" s="2423" t="s">
        <v>152</v>
      </c>
      <c r="B27" s="2424">
        <f t="shared" si="190"/>
        <v>346.720748986128</v>
      </c>
      <c r="C27" s="2424">
        <f t="shared" si="190"/>
        <v>284.30282172386285</v>
      </c>
      <c r="D27" s="2424">
        <f t="shared" si="191"/>
        <v>284.30282172386285</v>
      </c>
      <c r="E27" s="2424">
        <f t="shared" si="192"/>
        <v>479.58023546306947</v>
      </c>
      <c r="F27" s="2424">
        <f t="shared" si="192"/>
        <v>253.25788877571213</v>
      </c>
      <c r="G27" s="3541"/>
      <c r="H27" s="2425">
        <v>1</v>
      </c>
      <c r="I27" s="2425">
        <v>4.09</v>
      </c>
      <c r="J27" s="2425">
        <v>2.93</v>
      </c>
      <c r="K27" s="2425">
        <v>4.54</v>
      </c>
      <c r="L27" s="2431">
        <v>1.48</v>
      </c>
      <c r="N27" s="2426">
        <f t="shared" si="193"/>
        <v>4.0899999999999999E-2</v>
      </c>
      <c r="O27" s="2411">
        <f t="shared" si="188"/>
        <v>2.9300000000000003E-2</v>
      </c>
      <c r="P27" s="2411">
        <f t="shared" si="188"/>
        <v>4.5400000000000003E-2</v>
      </c>
      <c r="Q27" s="2411">
        <f t="shared" si="188"/>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5" thickBot="1">
      <c r="A28" s="2423" t="s">
        <v>151</v>
      </c>
      <c r="B28" s="2438">
        <v>333</v>
      </c>
      <c r="C28" s="2438">
        <v>277</v>
      </c>
      <c r="D28" s="2438">
        <f t="shared" si="191"/>
        <v>277</v>
      </c>
      <c r="E28" s="2438">
        <v>459</v>
      </c>
      <c r="F28" s="2439">
        <v>249</v>
      </c>
      <c r="G28" s="3539">
        <v>2015</v>
      </c>
      <c r="H28" s="2444">
        <v>4</v>
      </c>
      <c r="I28" s="2444">
        <v>1.63</v>
      </c>
      <c r="J28" s="2444">
        <v>1.1100000000000001</v>
      </c>
      <c r="K28" s="2444">
        <v>1.77</v>
      </c>
      <c r="L28" s="2445">
        <v>1.89</v>
      </c>
      <c r="N28" s="2446">
        <f t="shared" si="193"/>
        <v>1.6299999999999999E-2</v>
      </c>
      <c r="O28" s="2447">
        <f t="shared" si="188"/>
        <v>1.11E-2</v>
      </c>
      <c r="P28" s="2447">
        <f t="shared" si="188"/>
        <v>1.77E-2</v>
      </c>
      <c r="Q28" s="2447">
        <f t="shared" si="188"/>
        <v>1.89E-2</v>
      </c>
      <c r="R28" s="2427"/>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23" t="s">
        <v>150</v>
      </c>
      <c r="B29" s="2424">
        <f t="shared" ref="B29:C31" si="194">B28/(1+N28)</f>
        <v>327.65915576109415</v>
      </c>
      <c r="C29" s="2424">
        <f t="shared" si="194"/>
        <v>273.95905449510434</v>
      </c>
      <c r="D29" s="2424">
        <f t="shared" si="191"/>
        <v>273.95905449510434</v>
      </c>
      <c r="E29" s="2424">
        <f t="shared" ref="E29:F31" si="195">E28/(1+P28)</f>
        <v>451.01699911565294</v>
      </c>
      <c r="F29" s="2424">
        <f t="shared" si="195"/>
        <v>244.38119540681129</v>
      </c>
      <c r="G29" s="3540"/>
      <c r="H29" s="2449">
        <v>3</v>
      </c>
      <c r="I29" s="2449">
        <v>1.65</v>
      </c>
      <c r="J29" s="2449">
        <v>0.92</v>
      </c>
      <c r="K29" s="2449">
        <v>1.88</v>
      </c>
      <c r="L29" s="2450">
        <v>1.26</v>
      </c>
      <c r="N29" s="2426">
        <f t="shared" si="193"/>
        <v>1.6500000000000001E-2</v>
      </c>
      <c r="O29" s="2451">
        <f t="shared" si="188"/>
        <v>9.1999999999999998E-3</v>
      </c>
      <c r="P29" s="2451">
        <f t="shared" si="188"/>
        <v>1.8799999999999997E-2</v>
      </c>
      <c r="Q29" s="2451">
        <f t="shared" si="188"/>
        <v>1.26E-2</v>
      </c>
      <c r="R29" s="2427"/>
      <c r="S29" s="2426"/>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23" t="s">
        <v>149</v>
      </c>
      <c r="B30" s="2424">
        <f t="shared" si="194"/>
        <v>322.34053690220776</v>
      </c>
      <c r="C30" s="2424">
        <f t="shared" si="194"/>
        <v>271.46160770422546</v>
      </c>
      <c r="D30" s="2424">
        <f t="shared" si="191"/>
        <v>271.46160770422546</v>
      </c>
      <c r="E30" s="2424">
        <f t="shared" si="195"/>
        <v>442.69434542172456</v>
      </c>
      <c r="F30" s="2424">
        <f t="shared" si="195"/>
        <v>241.34030753190925</v>
      </c>
      <c r="G30" s="3540"/>
      <c r="H30" s="2436">
        <v>2</v>
      </c>
      <c r="I30" s="2436">
        <v>0.77</v>
      </c>
      <c r="J30" s="2436">
        <v>0.69</v>
      </c>
      <c r="K30" s="2436">
        <v>0.8</v>
      </c>
      <c r="L30" s="2437">
        <v>0.88</v>
      </c>
      <c r="N30" s="2426">
        <f t="shared" si="193"/>
        <v>7.7000000000000002E-3</v>
      </c>
      <c r="O30" s="2451">
        <f t="shared" si="188"/>
        <v>6.8999999999999999E-3</v>
      </c>
      <c r="P30" s="2451">
        <f t="shared" si="188"/>
        <v>8.0000000000000002E-3</v>
      </c>
      <c r="Q30" s="2451">
        <f t="shared" si="188"/>
        <v>8.8000000000000005E-3</v>
      </c>
      <c r="R30" s="2427"/>
      <c r="S30" s="2426"/>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23" t="s">
        <v>148</v>
      </c>
      <c r="B31" s="2424">
        <f t="shared" si="194"/>
        <v>319.87748030386797</v>
      </c>
      <c r="C31" s="2424">
        <f t="shared" si="194"/>
        <v>269.60135833173649</v>
      </c>
      <c r="D31" s="2424">
        <f t="shared" si="191"/>
        <v>269.60135833173649</v>
      </c>
      <c r="E31" s="2424">
        <f t="shared" si="195"/>
        <v>439.18089823583784</v>
      </c>
      <c r="F31" s="2424">
        <f t="shared" si="195"/>
        <v>239.23503918706311</v>
      </c>
      <c r="G31" s="3541"/>
      <c r="H31" s="2425">
        <v>1</v>
      </c>
      <c r="I31" s="2425">
        <v>0.51</v>
      </c>
      <c r="J31" s="2425">
        <v>0.54</v>
      </c>
      <c r="K31" s="2425">
        <v>0.48</v>
      </c>
      <c r="L31" s="2431">
        <v>0.93</v>
      </c>
      <c r="N31" s="2442">
        <f t="shared" si="193"/>
        <v>5.1000000000000004E-3</v>
      </c>
      <c r="O31" s="2443">
        <f t="shared" si="188"/>
        <v>5.4000000000000003E-3</v>
      </c>
      <c r="P31" s="2443">
        <f t="shared" si="188"/>
        <v>4.7999999999999996E-3</v>
      </c>
      <c r="Q31" s="2443">
        <f t="shared" si="188"/>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5" thickBot="1">
      <c r="A32" s="2423" t="s">
        <v>147</v>
      </c>
      <c r="B32" s="2452">
        <v>318</v>
      </c>
      <c r="C32" s="2452">
        <v>268</v>
      </c>
      <c r="D32" s="2452">
        <f t="shared" si="191"/>
        <v>268</v>
      </c>
      <c r="E32" s="2452">
        <v>437</v>
      </c>
      <c r="F32" s="2453">
        <v>237</v>
      </c>
      <c r="G32" s="3539">
        <v>2014</v>
      </c>
      <c r="H32" s="2444">
        <v>4</v>
      </c>
      <c r="I32" s="2444">
        <v>0.21</v>
      </c>
      <c r="J32" s="2444">
        <v>0.41</v>
      </c>
      <c r="K32" s="2444">
        <v>0.12</v>
      </c>
      <c r="L32" s="2445">
        <v>0.89</v>
      </c>
      <c r="N32" s="2426">
        <f t="shared" si="193"/>
        <v>2.0999999999999999E-3</v>
      </c>
      <c r="O32" s="2411">
        <f t="shared" si="188"/>
        <v>4.0999999999999995E-3</v>
      </c>
      <c r="P32" s="2411">
        <f t="shared" si="188"/>
        <v>1.1999999999999999E-3</v>
      </c>
      <c r="Q32" s="2411">
        <f t="shared" si="188"/>
        <v>8.8999999999999999E-3</v>
      </c>
      <c r="R32" s="2427"/>
      <c r="S32" s="2440"/>
      <c r="T32" s="2441"/>
      <c r="U32" s="2441"/>
      <c r="V32" s="2441"/>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23" t="s">
        <v>146</v>
      </c>
      <c r="B33" s="2424">
        <f t="shared" ref="B33:C35" si="196">B32/(1+N32)</f>
        <v>317.33359944117353</v>
      </c>
      <c r="C33" s="2424">
        <f t="shared" si="196"/>
        <v>266.90568668459315</v>
      </c>
      <c r="D33" s="2424">
        <f t="shared" si="191"/>
        <v>266.90568668459315</v>
      </c>
      <c r="E33" s="2424">
        <f t="shared" ref="E33:F35" si="197">E32/(1+P32)</f>
        <v>436.47622852576905</v>
      </c>
      <c r="F33" s="2424">
        <f t="shared" si="197"/>
        <v>234.90930716622066</v>
      </c>
      <c r="G33" s="3540"/>
      <c r="H33" s="2454">
        <v>3</v>
      </c>
      <c r="I33" s="2454">
        <v>0.83</v>
      </c>
      <c r="J33" s="2454">
        <v>1.47</v>
      </c>
      <c r="K33" s="2454">
        <v>0.65</v>
      </c>
      <c r="L33" s="2455">
        <v>0.72</v>
      </c>
      <c r="N33" s="2426">
        <f t="shared" si="193"/>
        <v>8.3000000000000001E-3</v>
      </c>
      <c r="O33" s="2411">
        <f t="shared" si="188"/>
        <v>1.47E-2</v>
      </c>
      <c r="P33" s="2411">
        <f t="shared" si="188"/>
        <v>6.5000000000000006E-3</v>
      </c>
      <c r="Q33" s="2411">
        <f t="shared" si="188"/>
        <v>7.1999999999999998E-3</v>
      </c>
      <c r="R33" s="2427"/>
      <c r="S33" s="2426"/>
      <c r="T33" s="2411"/>
      <c r="U33" s="2411"/>
      <c r="V33" s="2411"/>
      <c r="X33" s="2410">
        <f>ROUND(SUMPRODUCT(PRODUCT(1+N33:N$34)),4)</f>
        <v>1.0325</v>
      </c>
      <c r="Y33" s="2410">
        <f>ROUND(SUMPRODUCT(PRODUCT(1+O33:O$34)),4)</f>
        <v>1.0353000000000001</v>
      </c>
      <c r="Z33" s="2410">
        <f t="shared" ref="Z33:Z34" si="198">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5" thickBot="1">
      <c r="A34" s="2423" t="s">
        <v>145</v>
      </c>
      <c r="B34" s="2424">
        <f t="shared" si="196"/>
        <v>314.72141172386546</v>
      </c>
      <c r="C34" s="2424">
        <f t="shared" si="196"/>
        <v>263.03901319069001</v>
      </c>
      <c r="D34" s="2424">
        <f t="shared" si="191"/>
        <v>263.03901319069001</v>
      </c>
      <c r="E34" s="2424">
        <f t="shared" si="197"/>
        <v>433.65745506782821</v>
      </c>
      <c r="F34" s="2424">
        <f t="shared" si="197"/>
        <v>233.23005080045735</v>
      </c>
      <c r="G34" s="3540"/>
      <c r="H34" s="2444">
        <v>2</v>
      </c>
      <c r="I34" s="2444">
        <v>2.4</v>
      </c>
      <c r="J34" s="2444">
        <v>2.0299999999999998</v>
      </c>
      <c r="K34" s="2444">
        <v>2.59</v>
      </c>
      <c r="L34" s="2445">
        <v>1.52</v>
      </c>
      <c r="N34" s="2426">
        <f t="shared" si="193"/>
        <v>2.4E-2</v>
      </c>
      <c r="O34" s="2411">
        <f t="shared" si="188"/>
        <v>2.0299999999999999E-2</v>
      </c>
      <c r="P34" s="2411">
        <f t="shared" si="188"/>
        <v>2.5899999999999999E-2</v>
      </c>
      <c r="Q34" s="2411">
        <f t="shared" si="188"/>
        <v>1.52E-2</v>
      </c>
      <c r="R34" s="2427"/>
      <c r="S34" s="2426"/>
      <c r="T34" s="2411"/>
      <c r="U34" s="2411"/>
      <c r="V34" s="2411"/>
      <c r="X34" s="2410">
        <f>1+N34</f>
        <v>1.024</v>
      </c>
      <c r="Y34" s="2410">
        <f>1+O34</f>
        <v>1.0203</v>
      </c>
      <c r="Z34" s="2410">
        <f t="shared" si="198"/>
        <v>1.0203</v>
      </c>
      <c r="AA34" s="2410">
        <f>1+P34</f>
        <v>1.0259</v>
      </c>
      <c r="AB34" s="2410">
        <f>1+Q34</f>
        <v>1.0152000000000001</v>
      </c>
      <c r="AD34" s="2411">
        <f>ROUND(AVERAGE(I34:I$35)/100,4)</f>
        <v>2.69E-2</v>
      </c>
      <c r="AE34" s="2411">
        <f>ROUND(AVERAGE(J34:J$35)/100,4)</f>
        <v>2.1899999999999999E-2</v>
      </c>
      <c r="AF34" s="2411">
        <f t="shared" ref="AF34" si="199">AE34</f>
        <v>2.1899999999999999E-2</v>
      </c>
      <c r="AG34" s="2411">
        <f>ROUND(AVERAGE(K34:K$35)/100,4)</f>
        <v>2.9399999999999999E-2</v>
      </c>
      <c r="AH34" s="2411">
        <f>ROUND(AVERAGE(L34:L$35)/100,4)</f>
        <v>1.44E-2</v>
      </c>
    </row>
    <row r="35" spans="1:34" s="2460" customFormat="1" ht="13.5" thickBot="1">
      <c r="A35" s="2456" t="s">
        <v>144</v>
      </c>
      <c r="B35" s="2457">
        <f t="shared" si="196"/>
        <v>307.34512863658733</v>
      </c>
      <c r="C35" s="2457">
        <f t="shared" si="196"/>
        <v>257.80556031626975</v>
      </c>
      <c r="D35" s="2457">
        <f t="shared" si="191"/>
        <v>257.80556031626975</v>
      </c>
      <c r="E35" s="2457">
        <f t="shared" si="197"/>
        <v>422.70928459677179</v>
      </c>
      <c r="F35" s="2457">
        <f t="shared" si="197"/>
        <v>229.73803270336617</v>
      </c>
      <c r="G35" s="3541"/>
      <c r="H35" s="2458">
        <v>1</v>
      </c>
      <c r="I35" s="2458">
        <v>2.97</v>
      </c>
      <c r="J35" s="2458">
        <v>2.34</v>
      </c>
      <c r="K35" s="2458">
        <v>3.28</v>
      </c>
      <c r="L35" s="2459">
        <v>1.36</v>
      </c>
      <c r="N35" s="2461">
        <f t="shared" si="193"/>
        <v>2.9700000000000001E-2</v>
      </c>
      <c r="O35" s="2462">
        <f t="shared" si="188"/>
        <v>2.3399999999999997E-2</v>
      </c>
      <c r="P35" s="2462">
        <f t="shared" si="188"/>
        <v>3.2799999999999996E-2</v>
      </c>
      <c r="Q35" s="2462">
        <f t="shared" si="188"/>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5" thickBot="1">
      <c r="A36" s="2423" t="s">
        <v>1130</v>
      </c>
      <c r="B36" s="2438">
        <v>299</v>
      </c>
      <c r="C36" s="2438">
        <v>252</v>
      </c>
      <c r="D36" s="2438">
        <f t="shared" si="191"/>
        <v>252</v>
      </c>
      <c r="E36" s="2438">
        <v>409</v>
      </c>
      <c r="F36" s="2439">
        <v>227</v>
      </c>
      <c r="G36" s="3544">
        <v>2013</v>
      </c>
      <c r="H36" s="2468">
        <v>4</v>
      </c>
      <c r="I36" s="2468">
        <v>1.83</v>
      </c>
      <c r="J36" s="2468">
        <v>1.68</v>
      </c>
      <c r="K36" s="2468">
        <v>1.97</v>
      </c>
      <c r="L36" s="2469">
        <v>0.87</v>
      </c>
      <c r="N36" s="2446">
        <f t="shared" si="193"/>
        <v>1.83E-2</v>
      </c>
      <c r="O36" s="2447">
        <f t="shared" si="188"/>
        <v>1.6799999999999999E-2</v>
      </c>
      <c r="P36" s="2447">
        <f t="shared" si="188"/>
        <v>1.9699999999999999E-2</v>
      </c>
      <c r="Q36" s="2447">
        <f t="shared" si="188"/>
        <v>8.6999999999999994E-3</v>
      </c>
      <c r="R36" s="2427"/>
      <c r="S36" s="2440"/>
      <c r="T36" s="2441"/>
      <c r="U36" s="2441"/>
      <c r="V36" s="2441"/>
      <c r="X36" s="2441"/>
      <c r="Y36" s="2441"/>
      <c r="Z36" s="2441"/>
    </row>
    <row r="37" spans="1:34">
      <c r="A37" s="2423" t="s">
        <v>1131</v>
      </c>
      <c r="B37" s="2424">
        <f t="shared" ref="B37:C39" si="200">B36/(1+N36)</f>
        <v>293.62663262299913</v>
      </c>
      <c r="C37" s="2424">
        <f t="shared" si="200"/>
        <v>247.83634933123525</v>
      </c>
      <c r="D37" s="2424">
        <f t="shared" si="191"/>
        <v>247.83634933123525</v>
      </c>
      <c r="E37" s="2424">
        <f t="shared" ref="E37:F39" si="201">E36/(1+P36)</f>
        <v>401.09836226341076</v>
      </c>
      <c r="F37" s="2424">
        <f t="shared" si="201"/>
        <v>225.04213343908003</v>
      </c>
      <c r="G37" s="3545"/>
      <c r="H37" s="2449">
        <v>3</v>
      </c>
      <c r="I37" s="2449">
        <v>1.86</v>
      </c>
      <c r="J37" s="2449">
        <v>1.72</v>
      </c>
      <c r="K37" s="2449">
        <v>1.98</v>
      </c>
      <c r="L37" s="2450">
        <v>0.88</v>
      </c>
      <c r="N37" s="2426">
        <f t="shared" si="193"/>
        <v>1.8600000000000002E-2</v>
      </c>
      <c r="O37" s="2451">
        <f t="shared" si="188"/>
        <v>1.72E-2</v>
      </c>
      <c r="P37" s="2451">
        <f t="shared" si="188"/>
        <v>1.9799999999999998E-2</v>
      </c>
      <c r="Q37" s="2451">
        <f t="shared" si="188"/>
        <v>8.8000000000000005E-3</v>
      </c>
      <c r="R37" s="2427"/>
      <c r="S37" s="2426"/>
      <c r="T37" s="2411"/>
      <c r="U37" s="2411"/>
      <c r="V37" s="2411"/>
    </row>
    <row r="38" spans="1:34">
      <c r="A38" s="2423" t="s">
        <v>1132</v>
      </c>
      <c r="B38" s="2424">
        <f t="shared" si="200"/>
        <v>288.2649053828776</v>
      </c>
      <c r="C38" s="2424">
        <f t="shared" si="200"/>
        <v>243.64564425013293</v>
      </c>
      <c r="D38" s="2424">
        <f t="shared" si="191"/>
        <v>243.64564425013293</v>
      </c>
      <c r="E38" s="2424">
        <f t="shared" si="201"/>
        <v>393.31080825986544</v>
      </c>
      <c r="F38" s="2424">
        <f t="shared" si="201"/>
        <v>223.07903790551154</v>
      </c>
      <c r="G38" s="3545"/>
      <c r="H38" s="2436">
        <v>2</v>
      </c>
      <c r="I38" s="2436">
        <v>2.04</v>
      </c>
      <c r="J38" s="2436">
        <v>2.33</v>
      </c>
      <c r="K38" s="2436">
        <v>2.0699999999999998</v>
      </c>
      <c r="L38" s="2437">
        <v>0.69</v>
      </c>
      <c r="N38" s="2426">
        <f t="shared" si="193"/>
        <v>2.0400000000000001E-2</v>
      </c>
      <c r="O38" s="2451">
        <f t="shared" si="188"/>
        <v>2.3300000000000001E-2</v>
      </c>
      <c r="P38" s="2451">
        <f t="shared" si="188"/>
        <v>2.07E-2</v>
      </c>
      <c r="Q38" s="2451">
        <f t="shared" si="188"/>
        <v>6.8999999999999999E-3</v>
      </c>
      <c r="R38" s="2427"/>
      <c r="S38" s="2426"/>
      <c r="T38" s="2411"/>
      <c r="U38" s="2411"/>
      <c r="V38" s="2411"/>
      <c r="X38" s="2470"/>
      <c r="Y38" s="2471"/>
    </row>
    <row r="39" spans="1:34">
      <c r="A39" s="2423" t="s">
        <v>1133</v>
      </c>
      <c r="B39" s="2424">
        <f t="shared" si="200"/>
        <v>282.50186729015837</v>
      </c>
      <c r="C39" s="2424">
        <f t="shared" si="200"/>
        <v>238.09796174155468</v>
      </c>
      <c r="D39" s="2424">
        <f t="shared" si="191"/>
        <v>238.09796174155468</v>
      </c>
      <c r="E39" s="2424">
        <f t="shared" si="201"/>
        <v>385.33438646014054</v>
      </c>
      <c r="F39" s="2424">
        <f t="shared" si="201"/>
        <v>221.55034055567739</v>
      </c>
      <c r="G39" s="3546"/>
      <c r="H39" s="2425">
        <v>1</v>
      </c>
      <c r="I39" s="2425">
        <v>1.67</v>
      </c>
      <c r="J39" s="2425">
        <v>1.31</v>
      </c>
      <c r="K39" s="2425">
        <v>1.85</v>
      </c>
      <c r="L39" s="2431">
        <v>0.96</v>
      </c>
      <c r="N39" s="2442">
        <f t="shared" si="193"/>
        <v>1.67E-2</v>
      </c>
      <c r="O39" s="2443">
        <f t="shared" si="193"/>
        <v>1.3100000000000001E-2</v>
      </c>
      <c r="P39" s="2443">
        <f t="shared" si="193"/>
        <v>1.8500000000000003E-2</v>
      </c>
      <c r="Q39" s="2443">
        <f t="shared" si="193"/>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5" thickBot="1">
      <c r="A40" s="2423" t="s">
        <v>1134</v>
      </c>
      <c r="B40" s="2473">
        <v>278</v>
      </c>
      <c r="C40" s="2473">
        <v>234</v>
      </c>
      <c r="D40" s="2473">
        <f t="shared" si="191"/>
        <v>234</v>
      </c>
      <c r="E40" s="2473">
        <v>379</v>
      </c>
      <c r="F40" s="2474">
        <v>220</v>
      </c>
      <c r="G40" s="3539">
        <v>2012</v>
      </c>
      <c r="H40" s="2444">
        <v>4</v>
      </c>
      <c r="I40" s="2444">
        <v>0.91</v>
      </c>
      <c r="J40" s="2444">
        <v>0.68</v>
      </c>
      <c r="K40" s="2444">
        <v>0.98</v>
      </c>
      <c r="L40" s="2445">
        <v>0.9</v>
      </c>
      <c r="N40" s="2426">
        <f t="shared" si="193"/>
        <v>9.1000000000000004E-3</v>
      </c>
      <c r="O40" s="2411">
        <f t="shared" si="193"/>
        <v>6.8000000000000005E-3</v>
      </c>
      <c r="P40" s="2411">
        <f t="shared" si="193"/>
        <v>9.7999999999999997E-3</v>
      </c>
      <c r="Q40" s="2411">
        <f t="shared" si="193"/>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91"/>
        <v>232.41954707985698</v>
      </c>
      <c r="E41" s="2424">
        <f t="shared" ref="E41:F43" si="202">E40/(1+P40)</f>
        <v>375.32184591008121</v>
      </c>
      <c r="F41" s="2424">
        <f t="shared" si="202"/>
        <v>218.03766105054513</v>
      </c>
      <c r="G41" s="3540"/>
      <c r="H41" s="2449">
        <v>3</v>
      </c>
      <c r="I41" s="2449">
        <v>0.09</v>
      </c>
      <c r="J41" s="2449">
        <v>0.28999999999999998</v>
      </c>
      <c r="K41" s="2449">
        <v>-0.01</v>
      </c>
      <c r="L41" s="2450">
        <v>0.57999999999999996</v>
      </c>
      <c r="N41" s="2426">
        <f t="shared" si="193"/>
        <v>8.9999999999999998E-4</v>
      </c>
      <c r="O41" s="2411">
        <f t="shared" si="193"/>
        <v>2.8999999999999998E-3</v>
      </c>
      <c r="P41" s="2411">
        <f t="shared" si="193"/>
        <v>-1E-4</v>
      </c>
      <c r="Q41" s="2411">
        <f t="shared" si="193"/>
        <v>5.7999999999999996E-3</v>
      </c>
      <c r="R41" s="2427"/>
      <c r="S41" s="2426"/>
      <c r="T41" s="2411"/>
      <c r="U41" s="2411"/>
      <c r="V41" s="2411"/>
    </row>
    <row r="42" spans="1:34">
      <c r="A42" s="2423" t="s">
        <v>1136</v>
      </c>
      <c r="B42" s="2424">
        <f>B41/(1+N41)</f>
        <v>275.24529281292263</v>
      </c>
      <c r="C42" s="2424">
        <f>C41/(1+O41)</f>
        <v>231.74747938962707</v>
      </c>
      <c r="D42" s="2424">
        <f t="shared" si="191"/>
        <v>231.74747938962707</v>
      </c>
      <c r="E42" s="2424">
        <f t="shared" si="202"/>
        <v>375.35938184826603</v>
      </c>
      <c r="F42" s="2424">
        <f t="shared" si="202"/>
        <v>216.78033510692495</v>
      </c>
      <c r="G42" s="3540"/>
      <c r="H42" s="2436">
        <v>2</v>
      </c>
      <c r="I42" s="2436">
        <v>0.02</v>
      </c>
      <c r="J42" s="2436">
        <v>0.12</v>
      </c>
      <c r="K42" s="2436">
        <v>-0.08</v>
      </c>
      <c r="L42" s="2437">
        <v>1.24</v>
      </c>
      <c r="N42" s="2426">
        <f t="shared" si="193"/>
        <v>2.0000000000000001E-4</v>
      </c>
      <c r="O42" s="2411">
        <f t="shared" si="193"/>
        <v>1.1999999999999999E-3</v>
      </c>
      <c r="P42" s="2411">
        <f t="shared" si="193"/>
        <v>-8.0000000000000004E-4</v>
      </c>
      <c r="Q42" s="2411">
        <f t="shared" si="193"/>
        <v>1.24E-2</v>
      </c>
      <c r="R42" s="2427"/>
      <c r="S42" s="2426"/>
      <c r="T42" s="2411"/>
      <c r="U42" s="2411"/>
      <c r="V42" s="2411"/>
    </row>
    <row r="43" spans="1:34" ht="13.5" thickBot="1">
      <c r="A43" s="2423" t="s">
        <v>1137</v>
      </c>
      <c r="B43" s="2424">
        <f>B42/(1+N42)</f>
        <v>275.19025476197027</v>
      </c>
      <c r="C43" s="2475">
        <v>232</v>
      </c>
      <c r="D43" s="2475">
        <f t="shared" si="191"/>
        <v>232</v>
      </c>
      <c r="E43" s="2424">
        <f t="shared" si="202"/>
        <v>375.65990977608692</v>
      </c>
      <c r="F43" s="2424">
        <f t="shared" si="202"/>
        <v>214.12518283971252</v>
      </c>
      <c r="G43" s="3541"/>
      <c r="H43" s="2425">
        <v>1</v>
      </c>
      <c r="I43" s="2425">
        <v>0.02</v>
      </c>
      <c r="J43" s="2425">
        <v>0.13</v>
      </c>
      <c r="K43" s="2425">
        <v>-0.04</v>
      </c>
      <c r="L43" s="2431">
        <v>0.46</v>
      </c>
      <c r="N43" s="2426">
        <f t="shared" si="193"/>
        <v>2.0000000000000001E-4</v>
      </c>
      <c r="O43" s="2411">
        <f t="shared" si="193"/>
        <v>1.2999999999999999E-3</v>
      </c>
      <c r="P43" s="2411">
        <f t="shared" si="193"/>
        <v>-4.0000000000000002E-4</v>
      </c>
      <c r="Q43" s="2411">
        <f t="shared" si="193"/>
        <v>4.5999999999999999E-3</v>
      </c>
      <c r="R43" s="2427"/>
      <c r="S43" s="2442">
        <f>B43/B44-1</f>
        <v>6.9183549807361189E-4</v>
      </c>
      <c r="T43" s="2443">
        <f>C43/C44-1</f>
        <v>0</v>
      </c>
      <c r="U43" s="2443">
        <f>E43/E44-1</f>
        <v>-9.0449527636460303E-4</v>
      </c>
      <c r="V43" s="2443">
        <f>F43/F44-1</f>
        <v>5.2825485432512753E-3</v>
      </c>
      <c r="X43" s="2411"/>
      <c r="Y43" s="2411"/>
      <c r="Z43" s="2411"/>
    </row>
    <row r="44" spans="1:34" ht="13.5" thickBot="1">
      <c r="A44" s="2423" t="s">
        <v>1138</v>
      </c>
      <c r="B44" s="2438">
        <v>275</v>
      </c>
      <c r="C44" s="2438">
        <v>232</v>
      </c>
      <c r="D44" s="2438">
        <f t="shared" si="191"/>
        <v>232</v>
      </c>
      <c r="E44" s="2438">
        <v>376</v>
      </c>
      <c r="F44" s="2439">
        <v>213</v>
      </c>
      <c r="G44" s="3539">
        <v>2011</v>
      </c>
      <c r="H44" s="2444">
        <v>4</v>
      </c>
      <c r="I44" s="2444">
        <v>-0.2</v>
      </c>
      <c r="J44" s="2444">
        <v>0.04</v>
      </c>
      <c r="K44" s="2444">
        <v>-0.34</v>
      </c>
      <c r="L44" s="2445">
        <v>0.46</v>
      </c>
      <c r="N44" s="2446">
        <f t="shared" si="193"/>
        <v>-2E-3</v>
      </c>
      <c r="O44" s="2447">
        <f t="shared" si="193"/>
        <v>4.0000000000000002E-4</v>
      </c>
      <c r="P44" s="2447">
        <f t="shared" si="193"/>
        <v>-3.4000000000000002E-3</v>
      </c>
      <c r="Q44" s="2447">
        <f t="shared" si="193"/>
        <v>4.5999999999999999E-3</v>
      </c>
      <c r="R44" s="2427"/>
      <c r="S44" s="2440"/>
      <c r="T44" s="2441"/>
      <c r="U44" s="2441"/>
      <c r="V44" s="2441"/>
      <c r="X44" s="2441"/>
      <c r="Y44" s="2441"/>
      <c r="Z44" s="2441"/>
    </row>
    <row r="45" spans="1:34">
      <c r="A45" s="2423" t="s">
        <v>1139</v>
      </c>
      <c r="B45" s="2424">
        <f t="shared" ref="B45:C47" si="203">B44/(1+N44)</f>
        <v>275.55110220440883</v>
      </c>
      <c r="C45" s="2424">
        <f t="shared" si="203"/>
        <v>231.90723710515795</v>
      </c>
      <c r="D45" s="2424">
        <f t="shared" si="191"/>
        <v>231.90723710515795</v>
      </c>
      <c r="E45" s="2424">
        <f t="shared" ref="E45:F47" si="204">E44/(1+P44)</f>
        <v>377.28276138872161</v>
      </c>
      <c r="F45" s="2424">
        <f t="shared" si="204"/>
        <v>212.02468644236512</v>
      </c>
      <c r="G45" s="3540">
        <v>2011</v>
      </c>
      <c r="H45" s="2449">
        <v>3</v>
      </c>
      <c r="I45" s="2449">
        <v>0.13</v>
      </c>
      <c r="J45" s="2449">
        <v>0.75</v>
      </c>
      <c r="K45" s="2449">
        <v>-0.08</v>
      </c>
      <c r="L45" s="2450">
        <v>0.53</v>
      </c>
      <c r="N45" s="2426">
        <f t="shared" si="193"/>
        <v>1.2999999999999999E-3</v>
      </c>
      <c r="O45" s="2451">
        <f t="shared" si="193"/>
        <v>7.4999999999999997E-3</v>
      </c>
      <c r="P45" s="2451">
        <f t="shared" si="193"/>
        <v>-8.0000000000000004E-4</v>
      </c>
      <c r="Q45" s="2451">
        <f t="shared" si="193"/>
        <v>5.3E-3</v>
      </c>
      <c r="R45" s="2427"/>
      <c r="S45" s="2426"/>
      <c r="T45" s="2411"/>
      <c r="U45" s="2411"/>
      <c r="V45" s="2411"/>
    </row>
    <row r="46" spans="1:34">
      <c r="A46" s="2423" t="s">
        <v>1140</v>
      </c>
      <c r="B46" s="2424">
        <f t="shared" si="203"/>
        <v>275.19335084830601</v>
      </c>
      <c r="C46" s="2424">
        <f t="shared" si="203"/>
        <v>230.18088050139744</v>
      </c>
      <c r="D46" s="2424">
        <f t="shared" si="191"/>
        <v>230.18088050139744</v>
      </c>
      <c r="E46" s="2424">
        <f t="shared" si="204"/>
        <v>377.58482925212331</v>
      </c>
      <c r="F46" s="2424">
        <f t="shared" si="204"/>
        <v>210.90687997847917</v>
      </c>
      <c r="G46" s="3540">
        <v>2011</v>
      </c>
      <c r="H46" s="2436">
        <v>2</v>
      </c>
      <c r="I46" s="2436">
        <v>-0.4</v>
      </c>
      <c r="J46" s="2436">
        <v>0.17</v>
      </c>
      <c r="K46" s="2436">
        <v>-0.57999999999999996</v>
      </c>
      <c r="L46" s="2437">
        <v>-0.2</v>
      </c>
      <c r="N46" s="2426">
        <f t="shared" si="193"/>
        <v>-4.0000000000000001E-3</v>
      </c>
      <c r="O46" s="2451">
        <f t="shared" si="193"/>
        <v>1.7000000000000001E-3</v>
      </c>
      <c r="P46" s="2451">
        <f t="shared" si="193"/>
        <v>-5.7999999999999996E-3</v>
      </c>
      <c r="Q46" s="2451">
        <f t="shared" si="193"/>
        <v>-2E-3</v>
      </c>
      <c r="R46" s="2427"/>
      <c r="S46" s="2426"/>
      <c r="T46" s="2411"/>
      <c r="U46" s="2411"/>
      <c r="V46" s="2411"/>
    </row>
    <row r="47" spans="1:34" ht="13.5" thickBot="1">
      <c r="A47" s="2423" t="s">
        <v>1141</v>
      </c>
      <c r="B47" s="2424">
        <f t="shared" si="203"/>
        <v>276.29854502841971</v>
      </c>
      <c r="C47" s="2424">
        <f t="shared" si="203"/>
        <v>229.79023709833027</v>
      </c>
      <c r="D47" s="2424">
        <f t="shared" si="191"/>
        <v>229.79023709833027</v>
      </c>
      <c r="E47" s="2424">
        <f t="shared" si="204"/>
        <v>379.78759731655936</v>
      </c>
      <c r="F47" s="2424">
        <f t="shared" si="204"/>
        <v>211.32953905659235</v>
      </c>
      <c r="G47" s="3541">
        <v>2011</v>
      </c>
      <c r="H47" s="2425">
        <v>1</v>
      </c>
      <c r="I47" s="2425">
        <v>2.65</v>
      </c>
      <c r="J47" s="2425">
        <v>3.76</v>
      </c>
      <c r="K47" s="2425">
        <v>1.89</v>
      </c>
      <c r="L47" s="2431">
        <v>7.95</v>
      </c>
      <c r="N47" s="2442">
        <f t="shared" si="193"/>
        <v>2.6499999999999999E-2</v>
      </c>
      <c r="O47" s="2443">
        <f t="shared" si="193"/>
        <v>3.7599999999999995E-2</v>
      </c>
      <c r="P47" s="2443">
        <f t="shared" si="193"/>
        <v>1.89E-2</v>
      </c>
      <c r="Q47" s="2443">
        <f t="shared" si="193"/>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5" thickBot="1">
      <c r="A48" s="2423" t="s">
        <v>1142</v>
      </c>
      <c r="B48" s="2438">
        <v>269</v>
      </c>
      <c r="C48" s="2438">
        <v>221</v>
      </c>
      <c r="D48" s="2438">
        <f t="shared" si="191"/>
        <v>221</v>
      </c>
      <c r="E48" s="2438">
        <v>373</v>
      </c>
      <c r="F48" s="2439">
        <v>196</v>
      </c>
      <c r="G48" s="3539">
        <v>2010</v>
      </c>
      <c r="H48" s="2444">
        <v>4</v>
      </c>
      <c r="I48" s="2444">
        <v>5.72</v>
      </c>
      <c r="J48" s="2444">
        <v>6.57</v>
      </c>
      <c r="K48" s="2444">
        <v>5.72</v>
      </c>
      <c r="L48" s="2445">
        <v>2.72</v>
      </c>
      <c r="N48" s="2426">
        <f t="shared" si="193"/>
        <v>5.7200000000000001E-2</v>
      </c>
      <c r="O48" s="2411">
        <f t="shared" si="193"/>
        <v>6.5700000000000008E-2</v>
      </c>
      <c r="P48" s="2411">
        <f t="shared" si="193"/>
        <v>5.7200000000000001E-2</v>
      </c>
      <c r="Q48" s="2411">
        <f t="shared" si="193"/>
        <v>2.7200000000000002E-2</v>
      </c>
      <c r="R48" s="2427"/>
      <c r="S48" s="2440"/>
      <c r="T48" s="2441"/>
      <c r="U48" s="2441"/>
      <c r="V48" s="2441"/>
      <c r="X48" s="2441"/>
      <c r="Y48" s="2441"/>
      <c r="Z48" s="2441"/>
    </row>
    <row r="49" spans="1:26">
      <c r="A49" s="2423" t="s">
        <v>1143</v>
      </c>
      <c r="B49" s="2424">
        <f t="shared" ref="B49:C51" si="205">B48/(1+N48)</f>
        <v>254.44570563753314</v>
      </c>
      <c r="C49" s="2424">
        <f t="shared" si="205"/>
        <v>207.37543398705074</v>
      </c>
      <c r="D49" s="2424">
        <f t="shared" si="191"/>
        <v>207.37543398705074</v>
      </c>
      <c r="E49" s="2424">
        <f t="shared" ref="E49:F51" si="206">E48/(1+P48)</f>
        <v>352.81876655315932</v>
      </c>
      <c r="F49" s="2424">
        <f t="shared" si="206"/>
        <v>190.809968847352</v>
      </c>
      <c r="G49" s="3540">
        <v>2010</v>
      </c>
      <c r="H49" s="2449">
        <v>3</v>
      </c>
      <c r="I49" s="2449">
        <v>4.7300000000000004</v>
      </c>
      <c r="J49" s="2449">
        <v>3.9</v>
      </c>
      <c r="K49" s="2449">
        <v>5.03</v>
      </c>
      <c r="L49" s="2450">
        <v>4.21</v>
      </c>
      <c r="N49" s="2426">
        <f t="shared" si="193"/>
        <v>4.7300000000000002E-2</v>
      </c>
      <c r="O49" s="2411">
        <f t="shared" si="193"/>
        <v>3.9E-2</v>
      </c>
      <c r="P49" s="2411">
        <f t="shared" si="193"/>
        <v>5.0300000000000004E-2</v>
      </c>
      <c r="Q49" s="2411">
        <f t="shared" si="193"/>
        <v>4.2099999999999999E-2</v>
      </c>
      <c r="R49" s="2427"/>
      <c r="S49" s="2426"/>
      <c r="T49" s="2411"/>
      <c r="U49" s="2411"/>
      <c r="V49" s="2411"/>
    </row>
    <row r="50" spans="1:26">
      <c r="A50" s="2423" t="s">
        <v>1144</v>
      </c>
      <c r="B50" s="2424">
        <f t="shared" si="205"/>
        <v>242.95398227588385</v>
      </c>
      <c r="C50" s="2424">
        <f t="shared" si="205"/>
        <v>199.59137053614126</v>
      </c>
      <c r="D50" s="2424">
        <f t="shared" si="191"/>
        <v>199.59137053614126</v>
      </c>
      <c r="E50" s="2424">
        <f t="shared" si="206"/>
        <v>335.92189522342125</v>
      </c>
      <c r="F50" s="2424">
        <f t="shared" si="206"/>
        <v>183.10139991109489</v>
      </c>
      <c r="G50" s="3540">
        <v>2010</v>
      </c>
      <c r="H50" s="2436">
        <v>2</v>
      </c>
      <c r="I50" s="2436">
        <v>4.6900000000000004</v>
      </c>
      <c r="J50" s="2436">
        <v>3.55</v>
      </c>
      <c r="K50" s="2436">
        <v>5.07</v>
      </c>
      <c r="L50" s="2437">
        <v>4.2300000000000004</v>
      </c>
      <c r="N50" s="2426">
        <f t="shared" si="193"/>
        <v>4.6900000000000004E-2</v>
      </c>
      <c r="O50" s="2411">
        <f t="shared" si="193"/>
        <v>3.5499999999999997E-2</v>
      </c>
      <c r="P50" s="2411">
        <f t="shared" si="193"/>
        <v>5.0700000000000002E-2</v>
      </c>
      <c r="Q50" s="2411">
        <f t="shared" si="193"/>
        <v>4.2300000000000004E-2</v>
      </c>
      <c r="R50" s="2427"/>
      <c r="S50" s="2426"/>
      <c r="T50" s="2411"/>
      <c r="U50" s="2411"/>
      <c r="V50" s="2411"/>
    </row>
    <row r="51" spans="1:26" ht="13.5" thickBot="1">
      <c r="A51" s="2423" t="s">
        <v>1145</v>
      </c>
      <c r="B51" s="2424">
        <f t="shared" si="205"/>
        <v>232.06990378821649</v>
      </c>
      <c r="C51" s="2424">
        <f t="shared" si="205"/>
        <v>192.74878854286936</v>
      </c>
      <c r="D51" s="2424">
        <f t="shared" si="191"/>
        <v>192.74878854286936</v>
      </c>
      <c r="E51" s="2424">
        <f t="shared" si="206"/>
        <v>319.71247284992984</v>
      </c>
      <c r="F51" s="2424">
        <f t="shared" si="206"/>
        <v>175.67053622862409</v>
      </c>
      <c r="G51" s="3541">
        <v>2010</v>
      </c>
      <c r="H51" s="2425">
        <v>1</v>
      </c>
      <c r="I51" s="2425">
        <v>5.4</v>
      </c>
      <c r="J51" s="2425">
        <v>3.2</v>
      </c>
      <c r="K51" s="2425">
        <v>6.16</v>
      </c>
      <c r="L51" s="2431">
        <v>4.51</v>
      </c>
      <c r="N51" s="2426">
        <f t="shared" si="193"/>
        <v>5.4000000000000006E-2</v>
      </c>
      <c r="O51" s="2411">
        <f t="shared" si="193"/>
        <v>3.2000000000000001E-2</v>
      </c>
      <c r="P51" s="2411">
        <f t="shared" si="193"/>
        <v>6.1600000000000002E-2</v>
      </c>
      <c r="Q51" s="2411">
        <f t="shared" si="193"/>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5" thickBot="1">
      <c r="A52" s="2423" t="s">
        <v>1146</v>
      </c>
      <c r="B52" s="2438">
        <v>220</v>
      </c>
      <c r="C52" s="2438">
        <v>187</v>
      </c>
      <c r="D52" s="2438">
        <f t="shared" si="191"/>
        <v>187</v>
      </c>
      <c r="E52" s="2438">
        <v>301</v>
      </c>
      <c r="F52" s="2439">
        <v>168</v>
      </c>
      <c r="G52" s="3539">
        <v>2009</v>
      </c>
      <c r="H52" s="2444">
        <v>4</v>
      </c>
      <c r="I52" s="2444">
        <v>2.2999999999999998</v>
      </c>
      <c r="J52" s="2444">
        <v>1.04</v>
      </c>
      <c r="K52" s="2444">
        <v>2.84</v>
      </c>
      <c r="L52" s="2445">
        <v>0.67</v>
      </c>
      <c r="N52" s="2446">
        <f t="shared" si="193"/>
        <v>2.3E-2</v>
      </c>
      <c r="O52" s="2447">
        <f t="shared" si="193"/>
        <v>1.04E-2</v>
      </c>
      <c r="P52" s="2447">
        <f t="shared" si="193"/>
        <v>2.8399999999999998E-2</v>
      </c>
      <c r="Q52" s="2447">
        <f t="shared" si="193"/>
        <v>6.7000000000000002E-3</v>
      </c>
      <c r="R52" s="2427"/>
      <c r="S52" s="2440"/>
      <c r="T52" s="2441"/>
      <c r="U52" s="2441"/>
      <c r="V52" s="2441"/>
      <c r="X52" s="2441"/>
      <c r="Y52" s="2441"/>
      <c r="Z52" s="2441"/>
    </row>
    <row r="53" spans="1:26">
      <c r="A53" s="2423" t="s">
        <v>1147</v>
      </c>
      <c r="B53" s="2424">
        <f t="shared" ref="B53:C55" si="207">B52/(1+N52)</f>
        <v>215.05376344086022</v>
      </c>
      <c r="C53" s="2424">
        <f t="shared" si="207"/>
        <v>185.0752177355503</v>
      </c>
      <c r="D53" s="2424">
        <f t="shared" si="191"/>
        <v>185.0752177355503</v>
      </c>
      <c r="E53" s="2424">
        <f t="shared" ref="E53:F55" si="208">E52/(1+P52)</f>
        <v>292.68767016725008</v>
      </c>
      <c r="F53" s="2424">
        <f t="shared" si="208"/>
        <v>166.88189132810174</v>
      </c>
      <c r="G53" s="3540">
        <v>2009</v>
      </c>
      <c r="H53" s="2449">
        <v>3</v>
      </c>
      <c r="I53" s="2449">
        <v>2.1</v>
      </c>
      <c r="J53" s="2449">
        <v>1.86</v>
      </c>
      <c r="K53" s="2449">
        <v>2.29</v>
      </c>
      <c r="L53" s="2450">
        <v>0.85</v>
      </c>
      <c r="N53" s="2426">
        <f t="shared" si="193"/>
        <v>2.1000000000000001E-2</v>
      </c>
      <c r="O53" s="2451">
        <f t="shared" si="193"/>
        <v>1.8600000000000002E-2</v>
      </c>
      <c r="P53" s="2451">
        <f t="shared" si="193"/>
        <v>2.29E-2</v>
      </c>
      <c r="Q53" s="2451">
        <f t="shared" si="193"/>
        <v>8.5000000000000006E-3</v>
      </c>
      <c r="R53" s="2427"/>
      <c r="S53" s="2426"/>
      <c r="T53" s="2411"/>
      <c r="U53" s="2411"/>
      <c r="V53" s="2411"/>
    </row>
    <row r="54" spans="1:26">
      <c r="A54" s="2423" t="s">
        <v>1148</v>
      </c>
      <c r="B54" s="2424">
        <f t="shared" si="207"/>
        <v>210.630522469011</v>
      </c>
      <c r="C54" s="2424">
        <f t="shared" si="207"/>
        <v>181.69567812247232</v>
      </c>
      <c r="D54" s="2424">
        <f t="shared" si="191"/>
        <v>181.69567812247232</v>
      </c>
      <c r="E54" s="2424">
        <f t="shared" si="208"/>
        <v>286.13517466736738</v>
      </c>
      <c r="F54" s="2424">
        <f t="shared" si="208"/>
        <v>165.47535084591149</v>
      </c>
      <c r="G54" s="3540">
        <v>2009</v>
      </c>
      <c r="H54" s="2436">
        <v>2</v>
      </c>
      <c r="I54" s="2436">
        <v>0.86</v>
      </c>
      <c r="J54" s="2436">
        <v>-1.1299999999999999</v>
      </c>
      <c r="K54" s="2436">
        <v>1.79</v>
      </c>
      <c r="L54" s="2437">
        <v>-2.0699999999999998</v>
      </c>
      <c r="N54" s="2426">
        <f t="shared" si="193"/>
        <v>8.6E-3</v>
      </c>
      <c r="O54" s="2451">
        <f t="shared" si="193"/>
        <v>-1.1299999999999999E-2</v>
      </c>
      <c r="P54" s="2451">
        <f t="shared" si="193"/>
        <v>1.7899999999999999E-2</v>
      </c>
      <c r="Q54" s="2451">
        <f t="shared" si="193"/>
        <v>-2.07E-2</v>
      </c>
      <c r="R54" s="2427"/>
      <c r="S54" s="2426"/>
      <c r="T54" s="2411"/>
      <c r="U54" s="2411"/>
      <c r="V54" s="2411"/>
    </row>
    <row r="55" spans="1:26">
      <c r="A55" s="2423" t="s">
        <v>1149</v>
      </c>
      <c r="B55" s="2424">
        <f t="shared" si="207"/>
        <v>208.83454537875372</v>
      </c>
      <c r="C55" s="2424">
        <f t="shared" si="207"/>
        <v>183.77230517090351</v>
      </c>
      <c r="D55" s="2424">
        <f t="shared" si="191"/>
        <v>183.77230517090351</v>
      </c>
      <c r="E55" s="2424">
        <f t="shared" si="208"/>
        <v>281.10342338870947</v>
      </c>
      <c r="F55" s="2424">
        <f t="shared" si="208"/>
        <v>168.97309388942256</v>
      </c>
      <c r="G55" s="3541">
        <v>2009</v>
      </c>
      <c r="H55" s="2425">
        <v>1</v>
      </c>
      <c r="I55" s="2425">
        <v>-2.64</v>
      </c>
      <c r="J55" s="2425">
        <v>-2.5299999999999998</v>
      </c>
      <c r="K55" s="2425">
        <v>-3.02</v>
      </c>
      <c r="L55" s="2431">
        <v>1.52</v>
      </c>
      <c r="N55" s="2442">
        <f t="shared" si="193"/>
        <v>-2.64E-2</v>
      </c>
      <c r="O55" s="2443">
        <f t="shared" si="193"/>
        <v>-2.53E-2</v>
      </c>
      <c r="P55" s="2443">
        <f t="shared" si="193"/>
        <v>-3.0200000000000001E-2</v>
      </c>
      <c r="Q55" s="2443">
        <f t="shared" si="193"/>
        <v>1.52E-2</v>
      </c>
      <c r="R55" s="2427"/>
      <c r="S55" s="2442">
        <f>B55/B56-1</f>
        <v>-2.4137638417038754E-2</v>
      </c>
      <c r="T55" s="2443">
        <f>C55/C56-1</f>
        <v>-2.248773845264096E-2</v>
      </c>
      <c r="U55" s="2443">
        <f>E55/E56-1</f>
        <v>-2.7323794502735366E-2</v>
      </c>
      <c r="V55" s="2443">
        <f>F55/F56-1</f>
        <v>1.7910204153148035E-2</v>
      </c>
      <c r="X55" s="2411"/>
      <c r="Y55" s="2411"/>
      <c r="Z55" s="2411"/>
    </row>
    <row r="56" spans="1:26" ht="13.5" thickBot="1">
      <c r="A56" s="2423" t="s">
        <v>1150</v>
      </c>
      <c r="B56" s="2473">
        <v>214</v>
      </c>
      <c r="C56" s="2473">
        <v>188</v>
      </c>
      <c r="D56" s="2473">
        <f t="shared" si="191"/>
        <v>188</v>
      </c>
      <c r="E56" s="2473">
        <v>289</v>
      </c>
      <c r="F56" s="2474">
        <v>166</v>
      </c>
      <c r="G56" s="3539">
        <v>2008</v>
      </c>
      <c r="H56" s="2444">
        <v>4</v>
      </c>
      <c r="I56" s="2444">
        <v>1.73</v>
      </c>
      <c r="J56" s="2444">
        <v>0.03</v>
      </c>
      <c r="K56" s="2444">
        <v>2.59</v>
      </c>
      <c r="L56" s="2445">
        <v>-1.66</v>
      </c>
      <c r="N56" s="2426">
        <f t="shared" si="193"/>
        <v>1.7299999999999999E-2</v>
      </c>
      <c r="O56" s="2411">
        <f t="shared" si="193"/>
        <v>2.9999999999999997E-4</v>
      </c>
      <c r="P56" s="2411">
        <f t="shared" si="193"/>
        <v>2.5899999999999999E-2</v>
      </c>
      <c r="Q56" s="2411">
        <f t="shared" si="193"/>
        <v>-1.66E-2</v>
      </c>
      <c r="R56" s="2427"/>
      <c r="S56" s="2440"/>
      <c r="T56" s="2441"/>
      <c r="U56" s="2441"/>
      <c r="V56" s="2441"/>
      <c r="X56" s="2441"/>
      <c r="Y56" s="2441"/>
      <c r="Z56" s="2441"/>
    </row>
    <row r="57" spans="1:26">
      <c r="A57" s="2423" t="s">
        <v>1151</v>
      </c>
      <c r="B57" s="2424">
        <f t="shared" ref="B57:C59" si="209">B56/(1+N56)</f>
        <v>210.36075887152265</v>
      </c>
      <c r="C57" s="2424">
        <f t="shared" si="209"/>
        <v>187.94361691492554</v>
      </c>
      <c r="D57" s="2424">
        <f t="shared" si="191"/>
        <v>187.94361691492554</v>
      </c>
      <c r="E57" s="2424">
        <f t="shared" ref="E57:F59" si="210">E56/(1+P56)</f>
        <v>281.70386977288234</v>
      </c>
      <c r="F57" s="2424">
        <f t="shared" si="210"/>
        <v>168.80211511083994</v>
      </c>
      <c r="G57" s="3540">
        <v>2008</v>
      </c>
      <c r="H57" s="2449">
        <v>3</v>
      </c>
      <c r="I57" s="2449">
        <v>1.96</v>
      </c>
      <c r="J57" s="2449">
        <v>2.36</v>
      </c>
      <c r="K57" s="2449">
        <v>1.82</v>
      </c>
      <c r="L57" s="2450">
        <v>2.2200000000000002</v>
      </c>
      <c r="N57" s="2426">
        <f t="shared" si="193"/>
        <v>1.9599999999999999E-2</v>
      </c>
      <c r="O57" s="2411">
        <f t="shared" si="193"/>
        <v>2.3599999999999999E-2</v>
      </c>
      <c r="P57" s="2411">
        <f t="shared" si="193"/>
        <v>1.8200000000000001E-2</v>
      </c>
      <c r="Q57" s="2411">
        <f t="shared" si="193"/>
        <v>2.2200000000000001E-2</v>
      </c>
      <c r="R57" s="2427"/>
      <c r="S57" s="2426"/>
      <c r="T57" s="2411"/>
      <c r="U57" s="2411"/>
      <c r="V57" s="2411"/>
    </row>
    <row r="58" spans="1:26">
      <c r="A58" s="2423" t="s">
        <v>1152</v>
      </c>
      <c r="B58" s="2424">
        <f t="shared" si="209"/>
        <v>206.31694671589116</v>
      </c>
      <c r="C58" s="2424">
        <f t="shared" si="209"/>
        <v>183.61041121036101</v>
      </c>
      <c r="D58" s="2424">
        <f t="shared" si="191"/>
        <v>183.61041121036101</v>
      </c>
      <c r="E58" s="2424">
        <f t="shared" si="210"/>
        <v>276.66850301795557</v>
      </c>
      <c r="F58" s="2424">
        <f t="shared" si="210"/>
        <v>165.1360938278614</v>
      </c>
      <c r="G58" s="3540">
        <v>2008</v>
      </c>
      <c r="H58" s="2436">
        <v>2</v>
      </c>
      <c r="I58" s="2436">
        <v>4.93</v>
      </c>
      <c r="J58" s="2436">
        <v>7.38</v>
      </c>
      <c r="K58" s="2436">
        <v>3.98</v>
      </c>
      <c r="L58" s="2437">
        <v>6.86</v>
      </c>
      <c r="N58" s="2426">
        <f t="shared" si="193"/>
        <v>4.9299999999999997E-2</v>
      </c>
      <c r="O58" s="2411">
        <f t="shared" si="193"/>
        <v>7.3800000000000004E-2</v>
      </c>
      <c r="P58" s="2411">
        <f t="shared" si="193"/>
        <v>3.9800000000000002E-2</v>
      </c>
      <c r="Q58" s="2411">
        <f t="shared" si="193"/>
        <v>6.8600000000000008E-2</v>
      </c>
      <c r="R58" s="2427"/>
      <c r="S58" s="2426"/>
      <c r="T58" s="2411"/>
      <c r="U58" s="2411"/>
      <c r="V58" s="2411"/>
    </row>
    <row r="59" spans="1:26" s="2479" customFormat="1" ht="13.5" thickBot="1">
      <c r="A59" s="2423" t="s">
        <v>1153</v>
      </c>
      <c r="B59" s="2476">
        <f t="shared" si="209"/>
        <v>196.62341248059772</v>
      </c>
      <c r="C59" s="2476">
        <f t="shared" si="209"/>
        <v>170.99125648199012</v>
      </c>
      <c r="D59" s="2476">
        <f t="shared" si="191"/>
        <v>170.99125648199012</v>
      </c>
      <c r="E59" s="2476">
        <f t="shared" si="210"/>
        <v>266.07857570490052</v>
      </c>
      <c r="F59" s="2476">
        <f t="shared" si="210"/>
        <v>154.53499328828505</v>
      </c>
      <c r="G59" s="3541">
        <v>2008</v>
      </c>
      <c r="H59" s="2477">
        <v>1</v>
      </c>
      <c r="I59" s="2477">
        <v>4.1399999999999997</v>
      </c>
      <c r="J59" s="2477">
        <v>3.45</v>
      </c>
      <c r="K59" s="2477">
        <v>4.95</v>
      </c>
      <c r="L59" s="2478">
        <v>4.82</v>
      </c>
      <c r="N59" s="2480">
        <f t="shared" si="193"/>
        <v>4.1399999999999999E-2</v>
      </c>
      <c r="O59" s="2481">
        <f t="shared" si="193"/>
        <v>3.4500000000000003E-2</v>
      </c>
      <c r="P59" s="2481">
        <f t="shared" si="193"/>
        <v>4.9500000000000002E-2</v>
      </c>
      <c r="Q59" s="2481">
        <f t="shared" si="193"/>
        <v>4.82E-2</v>
      </c>
      <c r="R59" s="2482"/>
      <c r="S59" s="2480">
        <f>B59/B60-1</f>
        <v>4.5869215322328349E-2</v>
      </c>
      <c r="T59" s="2481">
        <f>C59/C60-1</f>
        <v>3.6310645345394743E-2</v>
      </c>
      <c r="U59" s="2481">
        <f>E59/E60-1</f>
        <v>4.7553447657088688E-2</v>
      </c>
      <c r="V59" s="2481">
        <f>F59/F60-1</f>
        <v>4.4155360055980086E-2</v>
      </c>
      <c r="X59" s="2481"/>
      <c r="Y59" s="2481"/>
      <c r="Z59" s="2481"/>
    </row>
    <row r="60" spans="1:26" ht="13.5" thickBot="1">
      <c r="A60" s="2423" t="s">
        <v>1154</v>
      </c>
      <c r="B60" s="2438">
        <v>188</v>
      </c>
      <c r="C60" s="2438">
        <v>165</v>
      </c>
      <c r="D60" s="2438">
        <f t="shared" si="191"/>
        <v>165</v>
      </c>
      <c r="E60" s="2438">
        <v>254</v>
      </c>
      <c r="F60" s="2439">
        <v>148</v>
      </c>
      <c r="G60" s="3539">
        <v>2007</v>
      </c>
      <c r="H60" s="2483">
        <v>4</v>
      </c>
      <c r="I60" s="2483">
        <v>5.51</v>
      </c>
      <c r="J60" s="2483">
        <v>4.8899999999999997</v>
      </c>
      <c r="K60" s="2483">
        <v>6.43</v>
      </c>
      <c r="L60" s="2484">
        <v>5.36</v>
      </c>
      <c r="N60" s="2485">
        <f t="shared" ref="N60:O63" si="211">B60/B61-1</f>
        <v>4.1339718365245526E-2</v>
      </c>
      <c r="O60" s="2486">
        <f t="shared" si="211"/>
        <v>4.0324492593776018E-2</v>
      </c>
      <c r="P60" s="2486">
        <f t="shared" ref="P60:Q63" si="212">E60/E61-1</f>
        <v>6.1625555347990968E-2</v>
      </c>
      <c r="Q60" s="2486">
        <f t="shared" si="212"/>
        <v>4.6757569250590603E-2</v>
      </c>
      <c r="R60" s="2427"/>
      <c r="S60" s="2440"/>
      <c r="T60" s="2441"/>
      <c r="U60" s="2441"/>
      <c r="V60" s="2441"/>
      <c r="X60" s="2441"/>
      <c r="Y60" s="2441"/>
      <c r="Z60" s="2441"/>
    </row>
    <row r="61" spans="1:26">
      <c r="A61" s="2423" t="s">
        <v>1155</v>
      </c>
      <c r="B61" s="2424">
        <f t="shared" ref="B61:C63" si="213">B62+(B$60-B$64)*I61/SUM(I$60:I$63)</f>
        <v>180.5366651097618</v>
      </c>
      <c r="C61" s="2424">
        <f t="shared" si="213"/>
        <v>158.60435967302453</v>
      </c>
      <c r="D61" s="2424">
        <f t="shared" si="191"/>
        <v>158.60435967302453</v>
      </c>
      <c r="E61" s="2424">
        <f t="shared" ref="E61:F63" si="214">E62+(E$60-E$64)*K61/SUM(K$60:K$63)</f>
        <v>239.25573260785075</v>
      </c>
      <c r="F61" s="2424">
        <f t="shared" si="214"/>
        <v>141.38899430740037</v>
      </c>
      <c r="G61" s="3540">
        <v>2007</v>
      </c>
      <c r="H61" s="2449">
        <v>3</v>
      </c>
      <c r="I61" s="2449">
        <v>8.65</v>
      </c>
      <c r="J61" s="2449">
        <v>8.06</v>
      </c>
      <c r="K61" s="2449">
        <v>9.94</v>
      </c>
      <c r="L61" s="2450">
        <v>5.8</v>
      </c>
      <c r="N61" s="2485">
        <f t="shared" si="211"/>
        <v>6.940217571740015E-2</v>
      </c>
      <c r="O61" s="2486">
        <f t="shared" si="211"/>
        <v>7.1197482471153428E-2</v>
      </c>
      <c r="P61" s="2486">
        <f t="shared" si="212"/>
        <v>0.10529679922579582</v>
      </c>
      <c r="Q61" s="2486">
        <f t="shared" si="212"/>
        <v>5.3292245059512133E-2</v>
      </c>
      <c r="R61" s="2427"/>
      <c r="S61" s="2426"/>
      <c r="T61" s="2411"/>
      <c r="U61" s="2411"/>
      <c r="V61" s="2411"/>
      <c r="X61" s="2487"/>
      <c r="Y61" s="2487"/>
      <c r="Z61" s="2487"/>
    </row>
    <row r="62" spans="1:26">
      <c r="A62" s="2423" t="s">
        <v>1156</v>
      </c>
      <c r="B62" s="2424">
        <f t="shared" si="213"/>
        <v>168.82017748715555</v>
      </c>
      <c r="C62" s="2424">
        <f t="shared" si="213"/>
        <v>148.06267029972753</v>
      </c>
      <c r="D62" s="2424">
        <f t="shared" si="191"/>
        <v>148.06267029972753</v>
      </c>
      <c r="E62" s="2424">
        <f t="shared" si="214"/>
        <v>216.46288379323747</v>
      </c>
      <c r="F62" s="2424">
        <f t="shared" si="214"/>
        <v>134.23529411764704</v>
      </c>
      <c r="G62" s="3540">
        <v>2007</v>
      </c>
      <c r="H62" s="2436">
        <v>2</v>
      </c>
      <c r="I62" s="2436">
        <v>3.67</v>
      </c>
      <c r="J62" s="2436">
        <v>2.3199999999999998</v>
      </c>
      <c r="K62" s="2436">
        <v>5.0199999999999996</v>
      </c>
      <c r="L62" s="2437">
        <v>6.71</v>
      </c>
      <c r="N62" s="2485">
        <f t="shared" si="211"/>
        <v>3.0339138143848032E-2</v>
      </c>
      <c r="O62" s="2486">
        <f t="shared" si="211"/>
        <v>2.0922341588790472E-2</v>
      </c>
      <c r="P62" s="2486">
        <f t="shared" si="212"/>
        <v>5.6164796592717003E-2</v>
      </c>
      <c r="Q62" s="2486">
        <f t="shared" si="212"/>
        <v>6.5704536723887319E-2</v>
      </c>
      <c r="R62" s="2427"/>
      <c r="S62" s="2426"/>
      <c r="T62" s="2411"/>
      <c r="U62" s="2411"/>
      <c r="V62" s="2411"/>
      <c r="X62" s="2487"/>
      <c r="Y62" s="2487"/>
      <c r="Z62" s="2487"/>
    </row>
    <row r="63" spans="1:26">
      <c r="A63" s="2423" t="s">
        <v>1157</v>
      </c>
      <c r="B63" s="2424">
        <f t="shared" si="213"/>
        <v>163.84913591779542</v>
      </c>
      <c r="C63" s="2424">
        <f t="shared" si="213"/>
        <v>145.0283378746594</v>
      </c>
      <c r="D63" s="2424">
        <f t="shared" si="191"/>
        <v>145.0283378746594</v>
      </c>
      <c r="E63" s="2424">
        <f t="shared" si="214"/>
        <v>204.95180722891567</v>
      </c>
      <c r="F63" s="2424">
        <f t="shared" si="214"/>
        <v>125.95920303605313</v>
      </c>
      <c r="G63" s="3541">
        <v>2007</v>
      </c>
      <c r="H63" s="2425">
        <v>1</v>
      </c>
      <c r="I63" s="2425">
        <v>3.58</v>
      </c>
      <c r="J63" s="2425">
        <v>3.08</v>
      </c>
      <c r="K63" s="2425">
        <v>4.34</v>
      </c>
      <c r="L63" s="2431">
        <v>3.21</v>
      </c>
      <c r="N63" s="2488">
        <f t="shared" si="211"/>
        <v>3.0497710174814063E-2</v>
      </c>
      <c r="O63" s="2489">
        <f t="shared" si="211"/>
        <v>2.8569772160704998E-2</v>
      </c>
      <c r="P63" s="2489">
        <f t="shared" si="212"/>
        <v>5.1034908866234296E-2</v>
      </c>
      <c r="Q63" s="2489">
        <f t="shared" si="212"/>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5" thickBot="1">
      <c r="A64" s="2423" t="s">
        <v>1158</v>
      </c>
      <c r="B64" s="2452">
        <v>159</v>
      </c>
      <c r="C64" s="2452">
        <v>141</v>
      </c>
      <c r="D64" s="2452">
        <f t="shared" si="191"/>
        <v>141</v>
      </c>
      <c r="E64" s="2452">
        <v>195</v>
      </c>
      <c r="F64" s="2453">
        <v>122</v>
      </c>
      <c r="G64" s="3539">
        <v>2006</v>
      </c>
      <c r="H64" s="2444">
        <v>4</v>
      </c>
      <c r="I64" s="2444">
        <v>3.79</v>
      </c>
      <c r="J64" s="2444">
        <v>2.21</v>
      </c>
      <c r="K64" s="2444">
        <v>5.65</v>
      </c>
      <c r="L64" s="2445">
        <v>5.41</v>
      </c>
      <c r="N64" s="2485">
        <f t="shared" ref="N64:O67" si="215">I64/SUM(I$64:I$67)*(B$64/B$68-1)</f>
        <v>7.245466462748526E-2</v>
      </c>
      <c r="O64" s="2486">
        <f t="shared" si="215"/>
        <v>2.3237230038062766E-2</v>
      </c>
      <c r="P64" s="2486">
        <f t="shared" ref="P64:Q67" si="216">K64/SUM(K$64:K$67)*(E$64/E$68-1)</f>
        <v>0.16146893866323722</v>
      </c>
      <c r="Q64" s="2486">
        <f t="shared" si="216"/>
        <v>5.0755230321793784E-2</v>
      </c>
      <c r="R64" s="2427"/>
      <c r="S64" s="2440"/>
      <c r="T64" s="2441"/>
      <c r="U64" s="2441"/>
      <c r="V64" s="2441"/>
      <c r="X64" s="2487"/>
      <c r="Y64" s="2487"/>
      <c r="Z64" s="2487"/>
    </row>
    <row r="65" spans="1:26">
      <c r="A65" s="2423" t="s">
        <v>1159</v>
      </c>
      <c r="B65" s="2424">
        <f t="shared" ref="B65:C67" si="217">B66+(B$64-B$68)*I65/SUM(I$64:I$67)</f>
        <v>149.00125628140702</v>
      </c>
      <c r="C65" s="2424">
        <f t="shared" si="217"/>
        <v>137.95592286501378</v>
      </c>
      <c r="D65" s="2424">
        <f t="shared" si="191"/>
        <v>137.95592286501378</v>
      </c>
      <c r="E65" s="2424">
        <f t="shared" ref="E65:F67" si="218">E66+(E$64-E$68)*K65/SUM(K$64:K$67)</f>
        <v>169.97231450719823</v>
      </c>
      <c r="F65" s="2424">
        <f t="shared" si="218"/>
        <v>116.21390374331551</v>
      </c>
      <c r="G65" s="3540">
        <v>2006</v>
      </c>
      <c r="H65" s="2449">
        <v>3</v>
      </c>
      <c r="I65" s="2449">
        <v>0.92</v>
      </c>
      <c r="J65" s="2449">
        <v>1.08</v>
      </c>
      <c r="K65" s="2449">
        <v>0.73</v>
      </c>
      <c r="L65" s="2450">
        <v>1.08</v>
      </c>
      <c r="N65" s="2485">
        <f t="shared" si="215"/>
        <v>1.7587939698492462E-2</v>
      </c>
      <c r="O65" s="2486">
        <f t="shared" si="215"/>
        <v>1.1355750425840628E-2</v>
      </c>
      <c r="P65" s="2486">
        <f t="shared" si="216"/>
        <v>2.0862358446754544E-2</v>
      </c>
      <c r="Q65" s="2486">
        <f t="shared" si="216"/>
        <v>1.0132282578103011E-2</v>
      </c>
      <c r="R65" s="2427"/>
      <c r="S65" s="2426"/>
      <c r="T65" s="2411"/>
      <c r="U65" s="2411"/>
      <c r="V65" s="2411"/>
      <c r="X65" s="2487"/>
      <c r="Y65" s="2487"/>
      <c r="Z65" s="2487"/>
    </row>
    <row r="66" spans="1:26">
      <c r="A66" s="2423" t="s">
        <v>1160</v>
      </c>
      <c r="B66" s="2424">
        <f t="shared" si="217"/>
        <v>146.57412060301507</v>
      </c>
      <c r="C66" s="2424">
        <f t="shared" si="217"/>
        <v>136.46831955922866</v>
      </c>
      <c r="D66" s="2424">
        <f t="shared" si="191"/>
        <v>136.46831955922866</v>
      </c>
      <c r="E66" s="2424">
        <f t="shared" si="218"/>
        <v>166.73864894795128</v>
      </c>
      <c r="F66" s="2424">
        <f t="shared" si="218"/>
        <v>115.05882352941177</v>
      </c>
      <c r="G66" s="3540">
        <v>2006</v>
      </c>
      <c r="H66" s="2436">
        <v>2</v>
      </c>
      <c r="I66" s="2436">
        <v>0.96</v>
      </c>
      <c r="J66" s="2436">
        <v>0.25</v>
      </c>
      <c r="K66" s="2436">
        <v>1.9</v>
      </c>
      <c r="L66" s="2437">
        <v>0.95</v>
      </c>
      <c r="N66" s="2485">
        <f t="shared" si="215"/>
        <v>1.8352632728861701E-2</v>
      </c>
      <c r="O66" s="2486">
        <f t="shared" si="215"/>
        <v>2.6286459319075526E-3</v>
      </c>
      <c r="P66" s="2486">
        <f t="shared" si="216"/>
        <v>5.4299289107991269E-2</v>
      </c>
      <c r="Q66" s="2486">
        <f t="shared" si="216"/>
        <v>8.9126559714794995E-3</v>
      </c>
      <c r="R66" s="2427"/>
      <c r="S66" s="2426"/>
      <c r="T66" s="2411"/>
      <c r="U66" s="2411"/>
      <c r="V66" s="2411"/>
      <c r="X66" s="2487"/>
      <c r="Y66" s="2487"/>
      <c r="Z66" s="2487"/>
    </row>
    <row r="67" spans="1:26">
      <c r="A67" s="2423" t="s">
        <v>1161</v>
      </c>
      <c r="B67" s="2424">
        <f t="shared" si="217"/>
        <v>144.04145728643215</v>
      </c>
      <c r="C67" s="2424">
        <f t="shared" si="217"/>
        <v>136.12396694214877</v>
      </c>
      <c r="D67" s="2424">
        <f t="shared" si="191"/>
        <v>136.12396694214877</v>
      </c>
      <c r="E67" s="2424">
        <f t="shared" si="218"/>
        <v>158.32225913621264</v>
      </c>
      <c r="F67" s="2424">
        <f t="shared" si="218"/>
        <v>114.04278074866311</v>
      </c>
      <c r="G67" s="3541">
        <v>2006</v>
      </c>
      <c r="H67" s="2425">
        <v>1</v>
      </c>
      <c r="I67" s="2425">
        <v>2.29</v>
      </c>
      <c r="J67" s="2425">
        <v>3.72</v>
      </c>
      <c r="K67" s="2425">
        <v>0.75</v>
      </c>
      <c r="L67" s="2431">
        <v>0.04</v>
      </c>
      <c r="N67" s="2488">
        <f t="shared" si="215"/>
        <v>4.3778675988638847E-2</v>
      </c>
      <c r="O67" s="2489">
        <f t="shared" si="215"/>
        <v>3.9114251466784385E-2</v>
      </c>
      <c r="P67" s="2489">
        <f t="shared" si="216"/>
        <v>2.1433929911049188E-2</v>
      </c>
      <c r="Q67" s="2489">
        <f t="shared" si="216"/>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5" thickBot="1">
      <c r="A68" s="2423" t="s">
        <v>1162</v>
      </c>
      <c r="B68" s="2452">
        <v>138</v>
      </c>
      <c r="C68" s="2452">
        <v>131</v>
      </c>
      <c r="D68" s="2452">
        <f t="shared" si="191"/>
        <v>131</v>
      </c>
      <c r="E68" s="2452">
        <v>155</v>
      </c>
      <c r="F68" s="2453">
        <v>114</v>
      </c>
      <c r="G68" s="3539">
        <v>2005</v>
      </c>
      <c r="H68" s="2444">
        <v>4</v>
      </c>
      <c r="I68" s="2444">
        <v>3.29</v>
      </c>
      <c r="J68" s="2444">
        <v>1.44</v>
      </c>
      <c r="K68" s="2444">
        <v>0.66</v>
      </c>
      <c r="L68" s="2445">
        <v>7.78</v>
      </c>
      <c r="N68" s="2485">
        <f t="shared" ref="N68:O71" si="219">I68/SUM(I$68:I$71)*(B$68/B$72-1)</f>
        <v>9.9404603216919935E-2</v>
      </c>
      <c r="O68" s="2486">
        <f t="shared" si="219"/>
        <v>4.7636550760861554E-2</v>
      </c>
      <c r="P68" s="2486">
        <f t="shared" ref="P68:Q71" si="220">K68/SUM(K$68:K$71)*(E$68/E$72-1)</f>
        <v>8.3756345177664976E-2</v>
      </c>
      <c r="Q68" s="2486">
        <f t="shared" si="220"/>
        <v>5.2148766661559584E-2</v>
      </c>
      <c r="R68" s="2427"/>
      <c r="S68" s="2440"/>
      <c r="T68" s="2441"/>
      <c r="U68" s="2441"/>
      <c r="V68" s="2441"/>
      <c r="X68" s="2487"/>
      <c r="Y68" s="2487"/>
      <c r="Z68" s="2487"/>
    </row>
    <row r="69" spans="1:26">
      <c r="A69" s="2423" t="s">
        <v>1163</v>
      </c>
      <c r="B69" s="2424">
        <f t="shared" ref="B69:C71" si="221">B70+(B$68-B$72)*I69/SUM(I$68:I$71)</f>
        <v>125.9720430107527</v>
      </c>
      <c r="C69" s="2424">
        <f t="shared" si="221"/>
        <v>125.1883408071749</v>
      </c>
      <c r="D69" s="2424">
        <f t="shared" si="191"/>
        <v>125.1883408071749</v>
      </c>
      <c r="E69" s="2424">
        <f t="shared" ref="E69:F71" si="222">E70+(E$68-E$72)*K69/SUM(K$68:K$71)</f>
        <v>144.61421319796952</v>
      </c>
      <c r="F69" s="2424">
        <f t="shared" si="222"/>
        <v>108.42008196721311</v>
      </c>
      <c r="G69" s="3540">
        <v>2005</v>
      </c>
      <c r="H69" s="2449">
        <v>3</v>
      </c>
      <c r="I69" s="2449">
        <v>0.46</v>
      </c>
      <c r="J69" s="2449">
        <v>0.32</v>
      </c>
      <c r="K69" s="2449">
        <v>0.42</v>
      </c>
      <c r="L69" s="2450">
        <v>0.64</v>
      </c>
      <c r="N69" s="2485">
        <f t="shared" si="219"/>
        <v>1.3898515951301874E-2</v>
      </c>
      <c r="O69" s="2486">
        <f t="shared" si="219"/>
        <v>1.0585900169080346E-2</v>
      </c>
      <c r="P69" s="2486">
        <f t="shared" si="220"/>
        <v>5.3299492385786795E-2</v>
      </c>
      <c r="Q69" s="2486">
        <f t="shared" si="220"/>
        <v>4.2898728359123568E-3</v>
      </c>
      <c r="R69" s="2427"/>
      <c r="S69" s="2426"/>
      <c r="T69" s="2411"/>
      <c r="U69" s="2411"/>
      <c r="V69" s="2411"/>
      <c r="X69" s="2487"/>
      <c r="Y69" s="2487"/>
      <c r="Z69" s="2487"/>
    </row>
    <row r="70" spans="1:26">
      <c r="A70" s="2423" t="s">
        <v>1164</v>
      </c>
      <c r="B70" s="2424">
        <f t="shared" si="221"/>
        <v>124.29032258064517</v>
      </c>
      <c r="C70" s="2424">
        <f t="shared" si="221"/>
        <v>123.8968609865471</v>
      </c>
      <c r="D70" s="2424">
        <f t="shared" si="191"/>
        <v>123.8968609865471</v>
      </c>
      <c r="E70" s="2424">
        <f t="shared" si="222"/>
        <v>138.00507614213197</v>
      </c>
      <c r="F70" s="2424">
        <f t="shared" si="222"/>
        <v>107.96106557377048</v>
      </c>
      <c r="G70" s="3540">
        <v>2005</v>
      </c>
      <c r="H70" s="2436">
        <v>2</v>
      </c>
      <c r="I70" s="2436">
        <v>0.47</v>
      </c>
      <c r="J70" s="2436">
        <v>0.1</v>
      </c>
      <c r="K70" s="2436">
        <v>0.52</v>
      </c>
      <c r="L70" s="2437">
        <v>0.79</v>
      </c>
      <c r="N70" s="2485">
        <f t="shared" si="219"/>
        <v>1.420065760241713E-2</v>
      </c>
      <c r="O70" s="2486">
        <f t="shared" si="219"/>
        <v>3.3080938028376083E-3</v>
      </c>
      <c r="P70" s="2486">
        <f t="shared" si="220"/>
        <v>6.598984771573603E-2</v>
      </c>
      <c r="Q70" s="2486">
        <f t="shared" si="220"/>
        <v>5.2953117818293153E-3</v>
      </c>
      <c r="R70" s="2427"/>
      <c r="S70" s="2426"/>
      <c r="T70" s="2411"/>
      <c r="U70" s="2411"/>
      <c r="V70" s="2411"/>
      <c r="X70" s="2487"/>
      <c r="Y70" s="2487"/>
      <c r="Z70" s="2487"/>
    </row>
    <row r="71" spans="1:26">
      <c r="A71" s="2423" t="s">
        <v>1165</v>
      </c>
      <c r="B71" s="2424">
        <f t="shared" si="221"/>
        <v>122.57204301075269</v>
      </c>
      <c r="C71" s="2424">
        <f t="shared" si="221"/>
        <v>123.4932735426009</v>
      </c>
      <c r="D71" s="2424">
        <f t="shared" si="191"/>
        <v>123.4932735426009</v>
      </c>
      <c r="E71" s="2424">
        <f t="shared" si="222"/>
        <v>129.82233502538071</v>
      </c>
      <c r="F71" s="2424">
        <f t="shared" si="222"/>
        <v>107.39446721311475</v>
      </c>
      <c r="G71" s="3541">
        <v>2005</v>
      </c>
      <c r="H71" s="2425">
        <v>1</v>
      </c>
      <c r="I71" s="2425">
        <v>0.43</v>
      </c>
      <c r="J71" s="2425">
        <v>0.37</v>
      </c>
      <c r="K71" s="2425">
        <v>0.37</v>
      </c>
      <c r="L71" s="2431">
        <v>0.55000000000000004</v>
      </c>
      <c r="N71" s="2488">
        <f t="shared" si="219"/>
        <v>1.2992090997956099E-2</v>
      </c>
      <c r="O71" s="2489">
        <f t="shared" si="219"/>
        <v>1.2239947070499151E-2</v>
      </c>
      <c r="P71" s="2489">
        <f t="shared" si="220"/>
        <v>4.6954314720812178E-2</v>
      </c>
      <c r="Q71" s="2489">
        <f t="shared" si="220"/>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5" thickBot="1">
      <c r="A72" s="2423" t="s">
        <v>1166</v>
      </c>
      <c r="B72" s="2473">
        <v>121</v>
      </c>
      <c r="C72" s="2473">
        <v>122</v>
      </c>
      <c r="D72" s="2473">
        <f t="shared" si="191"/>
        <v>122</v>
      </c>
      <c r="E72" s="2473">
        <v>124</v>
      </c>
      <c r="F72" s="2474">
        <v>107</v>
      </c>
      <c r="G72" s="3539">
        <v>2004</v>
      </c>
      <c r="H72" s="2444">
        <v>4</v>
      </c>
      <c r="I72" s="2444">
        <v>0.33</v>
      </c>
      <c r="J72" s="2444">
        <v>0.5</v>
      </c>
      <c r="K72" s="2444">
        <v>0.5</v>
      </c>
      <c r="L72" s="2445">
        <v>0</v>
      </c>
      <c r="N72" s="2485">
        <f t="shared" ref="N72:O75" si="223">I72/SUM(I$72:I$75)*(B$72/B$76-1)</f>
        <v>1.3391770148526898E-2</v>
      </c>
      <c r="O72" s="2486">
        <f t="shared" si="223"/>
        <v>1.063264221158958E-2</v>
      </c>
      <c r="P72" s="2486">
        <f t="shared" ref="P72:Q75" si="224">K72/SUM(K$72:K$75)*(E$72/E$76-1)</f>
        <v>2.2244466688911134E-2</v>
      </c>
      <c r="Q72" s="2486">
        <f t="shared" si="224"/>
        <v>0</v>
      </c>
      <c r="R72" s="2427"/>
      <c r="S72" s="2440"/>
      <c r="T72" s="2441"/>
      <c r="U72" s="2441"/>
      <c r="V72" s="2441"/>
      <c r="X72" s="2487"/>
      <c r="Y72" s="2487"/>
      <c r="Z72" s="2487"/>
    </row>
    <row r="73" spans="1:26">
      <c r="A73" s="2423" t="s">
        <v>1167</v>
      </c>
      <c r="B73" s="2424">
        <f t="shared" ref="B73:C75" si="225">B74+(B$72-B$76)*I73/SUM(I$72:I$75)</f>
        <v>119.51351351351352</v>
      </c>
      <c r="C73" s="2424">
        <f t="shared" si="225"/>
        <v>120.7878787878788</v>
      </c>
      <c r="D73" s="2424">
        <f t="shared" si="191"/>
        <v>120.7878787878788</v>
      </c>
      <c r="E73" s="2424">
        <f t="shared" ref="E73:F75" si="226">E74+(E$72-E$76)*K73/SUM(K$72:K$75)</f>
        <v>121.5975975975976</v>
      </c>
      <c r="F73" s="2424">
        <f t="shared" si="226"/>
        <v>107</v>
      </c>
      <c r="G73" s="3540">
        <v>2004</v>
      </c>
      <c r="H73" s="2449">
        <v>3</v>
      </c>
      <c r="I73" s="2449">
        <v>0.56000000000000005</v>
      </c>
      <c r="J73" s="2449">
        <v>0.8</v>
      </c>
      <c r="K73" s="2449">
        <v>0.83</v>
      </c>
      <c r="L73" s="2450">
        <v>0.06</v>
      </c>
      <c r="N73" s="2485">
        <f t="shared" si="223"/>
        <v>2.2725428130833527E-2</v>
      </c>
      <c r="O73" s="2486">
        <f t="shared" si="223"/>
        <v>1.7012227538543329E-2</v>
      </c>
      <c r="P73" s="2486">
        <f t="shared" si="224"/>
        <v>3.6925814703592477E-2</v>
      </c>
      <c r="Q73" s="2486">
        <f t="shared" si="224"/>
        <v>2.8846153846153744E-2</v>
      </c>
      <c r="R73" s="2427"/>
      <c r="S73" s="2426"/>
      <c r="T73" s="2411"/>
      <c r="U73" s="2411"/>
      <c r="V73" s="2411"/>
      <c r="X73" s="2487"/>
      <c r="Y73" s="2487"/>
      <c r="Z73" s="2487"/>
    </row>
    <row r="74" spans="1:26">
      <c r="A74" s="2423" t="s">
        <v>1168</v>
      </c>
      <c r="B74" s="2424">
        <f t="shared" si="225"/>
        <v>116.99099099099099</v>
      </c>
      <c r="C74" s="2424">
        <f t="shared" si="225"/>
        <v>118.84848484848486</v>
      </c>
      <c r="D74" s="2424">
        <f t="shared" si="191"/>
        <v>118.84848484848486</v>
      </c>
      <c r="E74" s="2424">
        <f t="shared" si="226"/>
        <v>117.60960960960961</v>
      </c>
      <c r="F74" s="2424">
        <f t="shared" si="226"/>
        <v>104</v>
      </c>
      <c r="G74" s="3540">
        <v>2004</v>
      </c>
      <c r="H74" s="2436">
        <v>2</v>
      </c>
      <c r="I74" s="2436">
        <v>1</v>
      </c>
      <c r="J74" s="2436">
        <v>1.5</v>
      </c>
      <c r="K74" s="2436">
        <v>1.5</v>
      </c>
      <c r="L74" s="2437">
        <v>0</v>
      </c>
      <c r="N74" s="2485">
        <f t="shared" si="223"/>
        <v>4.0581121662202721E-2</v>
      </c>
      <c r="O74" s="2486">
        <f t="shared" si="223"/>
        <v>3.1897926634768738E-2</v>
      </c>
      <c r="P74" s="2486">
        <f t="shared" si="224"/>
        <v>6.6733400066733395E-2</v>
      </c>
      <c r="Q74" s="2486">
        <f t="shared" si="224"/>
        <v>0</v>
      </c>
      <c r="R74" s="2427"/>
      <c r="S74" s="2426"/>
      <c r="T74" s="2411"/>
      <c r="U74" s="2411"/>
      <c r="V74" s="2411"/>
      <c r="X74" s="2487"/>
      <c r="Y74" s="2487"/>
      <c r="Z74" s="2487"/>
    </row>
    <row r="75" spans="1:26" s="2479" customFormat="1" ht="13.5" thickBot="1">
      <c r="A75" s="2423" t="s">
        <v>1169</v>
      </c>
      <c r="B75" s="2476">
        <f t="shared" si="225"/>
        <v>112.48648648648648</v>
      </c>
      <c r="C75" s="2476">
        <f t="shared" si="225"/>
        <v>115.21212121212122</v>
      </c>
      <c r="D75" s="2476">
        <f t="shared" si="191"/>
        <v>115.21212121212122</v>
      </c>
      <c r="E75" s="2476">
        <f t="shared" si="226"/>
        <v>110.4024024024024</v>
      </c>
      <c r="F75" s="2476">
        <f t="shared" si="226"/>
        <v>104</v>
      </c>
      <c r="G75" s="3541">
        <v>2004</v>
      </c>
      <c r="H75" s="2477">
        <v>1</v>
      </c>
      <c r="I75" s="2477">
        <v>0.33</v>
      </c>
      <c r="J75" s="2477">
        <v>0.5</v>
      </c>
      <c r="K75" s="2477">
        <v>0.5</v>
      </c>
      <c r="L75" s="2478">
        <v>0</v>
      </c>
      <c r="N75" s="2490">
        <f t="shared" si="223"/>
        <v>1.3391770148526898E-2</v>
      </c>
      <c r="O75" s="2491">
        <f t="shared" si="223"/>
        <v>1.063264221158958E-2</v>
      </c>
      <c r="P75" s="2491">
        <f t="shared" si="224"/>
        <v>2.2244466688911134E-2</v>
      </c>
      <c r="Q75" s="2491">
        <f t="shared" si="224"/>
        <v>0</v>
      </c>
      <c r="R75" s="2482"/>
      <c r="S75" s="2480">
        <f>B75/B76-1</f>
        <v>1.3391770148526883E-2</v>
      </c>
      <c r="T75" s="2481">
        <f>C75/C76-1</f>
        <v>1.063264221158966E-2</v>
      </c>
      <c r="U75" s="2481">
        <f>E75/E76-1</f>
        <v>2.2244466688911224E-2</v>
      </c>
      <c r="V75" s="2481">
        <f>F75/F76-1</f>
        <v>0</v>
      </c>
      <c r="X75" s="2492"/>
      <c r="Y75" s="2492"/>
      <c r="Z75" s="2492"/>
    </row>
    <row r="76" spans="1:26" ht="13.5" thickBot="1">
      <c r="A76" s="2423" t="s">
        <v>1170</v>
      </c>
      <c r="B76" s="2493">
        <v>111</v>
      </c>
      <c r="C76" s="2493">
        <v>114</v>
      </c>
      <c r="D76" s="2493">
        <f t="shared" si="191"/>
        <v>114</v>
      </c>
      <c r="E76" s="2493">
        <v>108</v>
      </c>
      <c r="F76" s="2494">
        <v>104</v>
      </c>
      <c r="G76" s="3539">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227">B78+(B$76-B$80)/4</f>
        <v>109.75</v>
      </c>
      <c r="C77" s="2497">
        <f t="shared" si="227"/>
        <v>112.25</v>
      </c>
      <c r="D77" s="2497">
        <f t="shared" si="191"/>
        <v>112.25</v>
      </c>
      <c r="E77" s="2497">
        <f t="shared" ref="E77:F79" si="228">E78+(E$76-E$80)/4</f>
        <v>107.25</v>
      </c>
      <c r="F77" s="2497">
        <f t="shared" si="228"/>
        <v>103.5</v>
      </c>
      <c r="G77" s="3540">
        <v>2003</v>
      </c>
      <c r="H77" s="2449">
        <v>3</v>
      </c>
      <c r="I77" s="2495"/>
      <c r="J77" s="2495"/>
      <c r="K77" s="2495"/>
      <c r="L77" s="2495"/>
      <c r="X77" s="2487"/>
      <c r="Y77" s="2487"/>
      <c r="Z77" s="2487"/>
    </row>
    <row r="78" spans="1:26">
      <c r="A78" s="2423" t="s">
        <v>1172</v>
      </c>
      <c r="B78" s="2497">
        <f t="shared" si="227"/>
        <v>108.5</v>
      </c>
      <c r="C78" s="2497">
        <f t="shared" si="227"/>
        <v>110.5</v>
      </c>
      <c r="D78" s="2497">
        <f t="shared" si="191"/>
        <v>110.5</v>
      </c>
      <c r="E78" s="2497">
        <f t="shared" si="228"/>
        <v>106.5</v>
      </c>
      <c r="F78" s="2497">
        <f t="shared" si="228"/>
        <v>103</v>
      </c>
      <c r="G78" s="3540">
        <v>2003</v>
      </c>
      <c r="H78" s="2436">
        <v>2</v>
      </c>
      <c r="I78" s="2495"/>
      <c r="J78" s="2495"/>
      <c r="K78" s="2495"/>
      <c r="L78" s="2495"/>
      <c r="X78" s="2487"/>
      <c r="Y78" s="2487"/>
      <c r="Z78" s="2487"/>
    </row>
    <row r="79" spans="1:26" ht="13.5" thickBot="1">
      <c r="A79" s="2423" t="s">
        <v>1173</v>
      </c>
      <c r="B79" s="2497">
        <f t="shared" si="227"/>
        <v>107.25</v>
      </c>
      <c r="C79" s="2497">
        <f t="shared" si="227"/>
        <v>108.75</v>
      </c>
      <c r="D79" s="2497">
        <f t="shared" si="191"/>
        <v>108.75</v>
      </c>
      <c r="E79" s="2497">
        <f t="shared" si="228"/>
        <v>105.75</v>
      </c>
      <c r="F79" s="2497">
        <f t="shared" si="228"/>
        <v>102.5</v>
      </c>
      <c r="G79" s="3541">
        <v>2003</v>
      </c>
      <c r="H79" s="2498">
        <v>1</v>
      </c>
      <c r="I79" s="2495"/>
      <c r="J79" s="2495"/>
      <c r="K79" s="2495"/>
      <c r="L79" s="2495"/>
      <c r="S79" s="2426"/>
      <c r="T79" s="2411"/>
      <c r="U79" s="2411"/>
      <c r="X79" s="2487"/>
      <c r="Y79" s="2487"/>
      <c r="Z79" s="2487"/>
    </row>
    <row r="80" spans="1:26" ht="13.5" thickBot="1">
      <c r="A80" s="2423" t="s">
        <v>1174</v>
      </c>
      <c r="B80" s="2499">
        <v>106</v>
      </c>
      <c r="C80" s="2499">
        <v>107</v>
      </c>
      <c r="D80" s="2499">
        <f t="shared" si="191"/>
        <v>107</v>
      </c>
      <c r="E80" s="2499">
        <v>105</v>
      </c>
      <c r="F80" s="2500">
        <v>102</v>
      </c>
      <c r="G80" s="3539">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229">B82+(B$80-B$84)/4</f>
        <v>105</v>
      </c>
      <c r="C81" s="2497">
        <f t="shared" si="229"/>
        <v>106</v>
      </c>
      <c r="D81" s="2497">
        <f t="shared" si="191"/>
        <v>106</v>
      </c>
      <c r="E81" s="2497">
        <f t="shared" ref="E81:F83" si="230">E82+(E$80-E$84)/4</f>
        <v>104.5</v>
      </c>
      <c r="F81" s="2497">
        <f t="shared" si="230"/>
        <v>101.5</v>
      </c>
      <c r="G81" s="3540">
        <v>2002</v>
      </c>
      <c r="H81" s="2449">
        <v>3</v>
      </c>
      <c r="I81" s="2495"/>
      <c r="J81" s="2495"/>
      <c r="K81" s="2495"/>
      <c r="L81" s="2495"/>
      <c r="X81" s="2487"/>
      <c r="Y81" s="2487"/>
      <c r="Z81" s="2487"/>
    </row>
    <row r="82" spans="1:26">
      <c r="A82" s="2423" t="s">
        <v>1176</v>
      </c>
      <c r="B82" s="2497">
        <f t="shared" si="229"/>
        <v>104</v>
      </c>
      <c r="C82" s="2497">
        <f t="shared" si="229"/>
        <v>105</v>
      </c>
      <c r="D82" s="2497">
        <f t="shared" si="191"/>
        <v>105</v>
      </c>
      <c r="E82" s="2497">
        <f t="shared" si="230"/>
        <v>104</v>
      </c>
      <c r="F82" s="2497">
        <f t="shared" si="230"/>
        <v>101</v>
      </c>
      <c r="G82" s="3540">
        <v>2002</v>
      </c>
      <c r="H82" s="2436">
        <v>2</v>
      </c>
      <c r="I82" s="2495"/>
      <c r="J82" s="2495"/>
      <c r="K82" s="2495"/>
      <c r="L82" s="2495"/>
      <c r="X82" s="2487"/>
      <c r="Y82" s="2487"/>
      <c r="Z82" s="2487"/>
    </row>
    <row r="83" spans="1:26" s="2460" customFormat="1" ht="13.5" thickBot="1">
      <c r="A83" s="2456" t="s">
        <v>1177</v>
      </c>
      <c r="B83" s="2463">
        <f t="shared" si="229"/>
        <v>103</v>
      </c>
      <c r="C83" s="2463">
        <f t="shared" si="229"/>
        <v>104</v>
      </c>
      <c r="D83" s="2463">
        <f t="shared" si="191"/>
        <v>104</v>
      </c>
      <c r="E83" s="2463">
        <f t="shared" si="230"/>
        <v>103.5</v>
      </c>
      <c r="F83" s="2463">
        <f t="shared" si="230"/>
        <v>100.5</v>
      </c>
      <c r="G83" s="3541">
        <v>2002</v>
      </c>
      <c r="H83" s="2501">
        <v>1</v>
      </c>
      <c r="I83" s="2502"/>
      <c r="J83" s="2502"/>
      <c r="K83" s="2502"/>
      <c r="L83" s="2502"/>
      <c r="N83" s="2503"/>
      <c r="S83" s="2503"/>
      <c r="X83" s="2504"/>
      <c r="Y83" s="2504"/>
      <c r="Z83" s="2504"/>
    </row>
    <row r="84" spans="1:26" ht="13.5" thickBot="1">
      <c r="B84" s="2505">
        <v>102</v>
      </c>
      <c r="C84" s="2506">
        <v>103</v>
      </c>
      <c r="D84" s="2506">
        <f t="shared" si="191"/>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5"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5"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32533</v>
      </c>
      <c r="C2" s="2" t="s">
        <v>133</v>
      </c>
      <c r="D2" s="205"/>
      <c r="E2" s="205"/>
      <c r="F2" s="205"/>
      <c r="G2" s="205"/>
    </row>
    <row r="3" spans="1:7" s="206" customFormat="1" ht="18" customHeight="1" thickBot="1">
      <c r="A3" s="209" t="s">
        <v>85</v>
      </c>
      <c r="B3" s="210">
        <f ca="1">ROUND(B2*10000/'数据-汇总表'!E3,0)</f>
        <v>40452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161</v>
      </c>
      <c r="D10" s="954">
        <f>'数据-汇总表'!E6</f>
        <v>8042.29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161</v>
      </c>
      <c r="D19" s="958">
        <f>'数据-汇总表'!E3</f>
        <v>8042.29</v>
      </c>
      <c r="E19" s="217">
        <f>'数据-取费表'!B31</f>
        <v>200</v>
      </c>
      <c r="F19" s="237"/>
      <c r="G19" s="1" t="s">
        <v>1042</v>
      </c>
    </row>
    <row r="20" spans="1:7" s="220" customFormat="1" ht="13.5" customHeight="1">
      <c r="A20" s="885" t="s">
        <v>1025</v>
      </c>
      <c r="B20" s="216" t="s">
        <v>104</v>
      </c>
      <c r="C20" s="238">
        <f>ROUND((C5+C19)*F20,0)</f>
        <v>415</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1864</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14</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3178</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3178</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28423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3943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3619</v>
      </c>
      <c r="D34" s="223"/>
      <c r="E34" s="226"/>
      <c r="F34" s="263">
        <f>IF('数据-取费表'!B24=0,1,'数据-取费表'!N16)</f>
        <v>1</v>
      </c>
      <c r="G34" s="225" t="s">
        <v>116</v>
      </c>
    </row>
    <row r="35" spans="1:7" ht="13.5" customHeight="1">
      <c r="A35" s="888" t="s">
        <v>796</v>
      </c>
      <c r="B35" s="221" t="s">
        <v>60</v>
      </c>
      <c r="C35" s="226">
        <f>ROUND(C34*F35,0)</f>
        <v>109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161</v>
      </c>
      <c r="D37" s="223">
        <f>'数据-汇总表'!E3</f>
        <v>8042.29</v>
      </c>
      <c r="E37" s="255">
        <f>'数据-取费表'!B35</f>
        <v>200</v>
      </c>
      <c r="F37" s="265"/>
      <c r="G37" s="267" t="s">
        <v>119</v>
      </c>
    </row>
    <row r="38" spans="1:7" ht="13.5" customHeight="1">
      <c r="A38" s="888" t="s">
        <v>799</v>
      </c>
      <c r="B38" s="221" t="s">
        <v>63</v>
      </c>
      <c r="C38" s="226">
        <f>ROUND(C34*F38,0)</f>
        <v>54</v>
      </c>
      <c r="D38" s="226"/>
      <c r="E38" s="226"/>
      <c r="F38" s="265">
        <f>'数据-取费表'!B36</f>
        <v>1.4999999999999999E-2</v>
      </c>
      <c r="G38" s="225" t="s">
        <v>117</v>
      </c>
    </row>
    <row r="39" spans="1:7" s="220" customFormat="1" ht="13.5" customHeight="1">
      <c r="A39" s="885" t="s">
        <v>783</v>
      </c>
      <c r="B39" s="216" t="s">
        <v>104</v>
      </c>
      <c r="C39" s="238">
        <f>ROUND(C33*F20,0)</f>
        <v>79</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175</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172</v>
      </c>
      <c r="D42" s="244"/>
      <c r="E42" s="244"/>
      <c r="F42" s="245"/>
      <c r="G42" s="3432" t="s">
        <v>121</v>
      </c>
    </row>
    <row r="43" spans="1:7" ht="13.5" customHeight="1">
      <c r="A43" s="888" t="s">
        <v>792</v>
      </c>
      <c r="B43" s="221" t="s">
        <v>1032</v>
      </c>
      <c r="C43" s="244">
        <f ca="1">ROUND(IF('数据-取费表'!B22&lt;=1,C39*F22*'数据-取费表'!B21/2,C39*(POWER((1+F22),'数据-取费表'!B21/2)-1)),0)</f>
        <v>3</v>
      </c>
      <c r="D43" s="244"/>
      <c r="E43" s="244"/>
      <c r="F43" s="245"/>
      <c r="G43" s="3433"/>
    </row>
    <row r="44" spans="1:7" ht="13.5" customHeight="1">
      <c r="A44" s="888" t="s">
        <v>793</v>
      </c>
      <c r="B44" s="221" t="s">
        <v>1034</v>
      </c>
      <c r="C44" s="244">
        <f ca="1">ROUND(IF('数据-取费表'!B22&lt;=1,C40*F22*'数据-取费表'!B21/2,C40*(POWER((1+F22),'数据-取费表'!B21/2)-1)),4)</f>
        <v>8.9999999999999998E-4</v>
      </c>
      <c r="D44" s="244"/>
      <c r="E44" s="244"/>
      <c r="F44" s="245"/>
      <c r="G44" s="3434"/>
    </row>
    <row r="45" spans="1:7" s="220" customFormat="1" ht="13.5" customHeight="1">
      <c r="A45" s="885" t="s">
        <v>786</v>
      </c>
      <c r="B45" s="250" t="s">
        <v>112</v>
      </c>
      <c r="C45" s="251">
        <f>C46</f>
        <v>603</v>
      </c>
      <c r="D45" s="241">
        <f>C47</f>
        <v>3.0000000000000001E-3</v>
      </c>
      <c r="E45" s="242" t="s">
        <v>129</v>
      </c>
      <c r="F45" s="252"/>
      <c r="G45" s="253" t="s">
        <v>1040</v>
      </c>
    </row>
    <row r="46" spans="1:7" s="220" customFormat="1" ht="13.5" customHeight="1">
      <c r="A46" s="888" t="s">
        <v>794</v>
      </c>
      <c r="B46" s="254" t="s">
        <v>1033</v>
      </c>
      <c r="C46" s="255">
        <f>ROUND((C33+C39)*F27,0)</f>
        <v>603</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5202</v>
      </c>
      <c r="D49" s="238"/>
      <c r="E49" s="238"/>
      <c r="F49" s="270"/>
      <c r="G49" s="240" t="s">
        <v>1041</v>
      </c>
    </row>
    <row r="50" spans="1:7" s="264" customFormat="1" ht="24">
      <c r="A50" s="885" t="s">
        <v>789</v>
      </c>
      <c r="B50" s="216" t="s">
        <v>124</v>
      </c>
      <c r="C50" s="238"/>
      <c r="D50" s="238"/>
      <c r="E50" s="238"/>
      <c r="F50" s="270">
        <f>IF('数据-取费表'!B24=0,'数据-取费表'!N16,1)</f>
        <v>0.79</v>
      </c>
      <c r="G50" s="253" t="s">
        <v>125</v>
      </c>
    </row>
    <row r="51" spans="1:7" ht="16.5" customHeight="1">
      <c r="A51" s="885" t="s">
        <v>790</v>
      </c>
      <c r="B51" s="216" t="s">
        <v>132</v>
      </c>
      <c r="C51" s="238">
        <f ca="1">ROUND(C49*F50,0)</f>
        <v>4110</v>
      </c>
      <c r="D51" s="238"/>
      <c r="E51" s="238"/>
      <c r="F51" s="270"/>
      <c r="G51" s="240" t="s">
        <v>64</v>
      </c>
    </row>
    <row r="52" spans="1:7" s="214" customFormat="1" ht="16.5" thickBot="1">
      <c r="A52" s="271" t="s">
        <v>65</v>
      </c>
      <c r="B52" s="272"/>
      <c r="C52" s="273">
        <f ca="1">C31+C51</f>
        <v>32533</v>
      </c>
      <c r="D52" s="272"/>
      <c r="E52" s="272"/>
      <c r="F52" s="272"/>
      <c r="G52" s="274"/>
    </row>
    <row r="55" spans="1:7" ht="15">
      <c r="B55" s="276" t="s">
        <v>66</v>
      </c>
      <c r="C55" s="277"/>
    </row>
    <row r="56" spans="1:7">
      <c r="B56" s="279" t="s">
        <v>67</v>
      </c>
      <c r="C56" s="280">
        <f ca="1">ROUND(C51/C52,3)</f>
        <v>0.126</v>
      </c>
    </row>
    <row r="57" spans="1:7">
      <c r="B57" s="279" t="s">
        <v>68</v>
      </c>
      <c r="C57" s="281">
        <f ca="1">1-C56</f>
        <v>0.874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8" t="s">
        <v>156</v>
      </c>
      <c r="B1" s="3548"/>
      <c r="C1" s="3548"/>
      <c r="D1" s="3548"/>
      <c r="E1" s="3548"/>
      <c r="F1" s="354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9" t="s">
        <v>169</v>
      </c>
      <c r="B2" s="3549"/>
      <c r="C2" s="3549"/>
      <c r="D2" s="3549"/>
      <c r="E2" s="3549"/>
      <c r="F2" s="354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0"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1"/>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8" t="s">
        <v>839</v>
      </c>
      <c r="B1" s="3548"/>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44396</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6" t="s">
        <v>3059</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6"/>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518" t="s">
        <v>1338</v>
      </c>
      <c r="E1" s="1512" t="s">
        <v>1342</v>
      </c>
      <c r="F1" s="1513" t="s">
        <v>1346</v>
      </c>
    </row>
    <row r="2" spans="1:13" ht="18.75">
      <c r="A2" s="1519" t="s">
        <v>1339</v>
      </c>
    </row>
    <row r="3" spans="1:13">
      <c r="A3" s="1520" t="s">
        <v>1340</v>
      </c>
    </row>
    <row r="4" spans="1:13">
      <c r="A4" s="1510" t="s">
        <v>1341</v>
      </c>
      <c r="B4" s="1515" t="s">
        <v>1343</v>
      </c>
      <c r="C4" s="1516"/>
      <c r="D4" s="1517"/>
      <c r="E4" s="1515" t="s">
        <v>27</v>
      </c>
      <c r="F4" s="1516"/>
      <c r="G4" s="1517"/>
      <c r="H4" s="1515" t="s">
        <v>1344</v>
      </c>
      <c r="I4" s="1516"/>
      <c r="J4" s="1517"/>
      <c r="K4" s="1515" t="s">
        <v>6</v>
      </c>
      <c r="L4" s="1516"/>
      <c r="M4" s="1517"/>
    </row>
    <row r="5" spans="1:13">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94" t="str">
        <f>IF(项目基本情况!B9="房地产市场价值","估价结果一览表","结果表-2")</f>
        <v>结果表-2</v>
      </c>
      <c r="B1" s="3194"/>
      <c r="C1" s="3194"/>
      <c r="D1" s="3194"/>
      <c r="E1" s="3194"/>
      <c r="F1" s="3194"/>
      <c r="G1" s="3194"/>
      <c r="H1" s="3194"/>
      <c r="I1" s="3194"/>
    </row>
    <row r="2" spans="1:9" ht="30" customHeight="1" thickTop="1">
      <c r="A2" s="3195" t="s">
        <v>1606</v>
      </c>
      <c r="B2" s="3195" t="s">
        <v>1607</v>
      </c>
      <c r="C2" s="3195" t="s">
        <v>1608</v>
      </c>
      <c r="D2" s="3195" t="str">
        <f>结果表!D116</f>
        <v>出让国有建设用地使用权价值</v>
      </c>
      <c r="E2" s="3195"/>
      <c r="F2" s="3195" t="str">
        <f>结果表!F116</f>
        <v>在建建筑物价值</v>
      </c>
      <c r="G2" s="3195"/>
      <c r="H2" s="3195" t="str">
        <f>IF(项目基本情况!B9="房地产市场价值","房地产市场价值","房地产价值")</f>
        <v>房地产价值</v>
      </c>
      <c r="I2" s="3195"/>
    </row>
    <row r="3" spans="1:9" ht="15">
      <c r="A3" s="3196"/>
      <c r="B3" s="3196"/>
      <c r="C3" s="3196"/>
      <c r="D3" s="963" t="s">
        <v>1603</v>
      </c>
      <c r="E3" s="963" t="s">
        <v>1609</v>
      </c>
      <c r="F3" s="963" t="s">
        <v>1603</v>
      </c>
      <c r="G3" s="963" t="s">
        <v>1604</v>
      </c>
      <c r="H3" s="963" t="s">
        <v>1603</v>
      </c>
      <c r="I3" s="963" t="s">
        <v>1604</v>
      </c>
    </row>
    <row r="4" spans="1:9" ht="15">
      <c r="A4" s="1690" t="str">
        <f>项目基本情况!S2</f>
        <v>北京市房地产</v>
      </c>
      <c r="B4" s="963">
        <f>项目基本情况!C17</f>
        <v>8042.29</v>
      </c>
      <c r="C4" s="963">
        <f>项目基本情况!C18</f>
        <v>3986.98</v>
      </c>
      <c r="D4" s="963">
        <f ca="1">结果表!D118</f>
        <v>42333</v>
      </c>
      <c r="E4" s="963">
        <f ca="1">结果表!E118</f>
        <v>52638</v>
      </c>
      <c r="F4" s="963">
        <f ca="1">结果表!F118</f>
        <v>4547</v>
      </c>
      <c r="G4" s="963">
        <f ca="1">结果表!G118</f>
        <v>5654</v>
      </c>
      <c r="H4" s="963">
        <f ca="1">结果表!H118</f>
        <v>46880</v>
      </c>
      <c r="I4" s="963">
        <f ca="1">结果表!I118</f>
        <v>58292</v>
      </c>
    </row>
    <row r="5" spans="1:9" ht="30" customHeight="1">
      <c r="A5" s="3196" t="s">
        <v>1605</v>
      </c>
      <c r="B5" s="3196"/>
      <c r="C5" s="3196"/>
      <c r="D5" s="3197" t="str">
        <f ca="1">结果表!D119</f>
        <v>肆亿贰仟叁佰叁拾叁万元整</v>
      </c>
      <c r="E5" s="3197"/>
      <c r="F5" s="3197" t="str">
        <f ca="1">结果表!F119</f>
        <v>肆仟伍佰肆拾柒万元整</v>
      </c>
      <c r="G5" s="3197"/>
      <c r="H5" s="3197" t="str">
        <f ca="1">结果表!H119</f>
        <v>肆亿陆仟捌佰捌拾万元整</v>
      </c>
      <c r="I5" s="3197"/>
    </row>
    <row r="6" spans="1:9" ht="15.75">
      <c r="A6" s="3198" t="str">
        <f>结果表!A120</f>
        <v>估价师知悉的法定优先受偿款</v>
      </c>
      <c r="B6" s="3198"/>
      <c r="C6" s="3198"/>
      <c r="D6" s="3198">
        <f>结果表!D120</f>
        <v>0</v>
      </c>
      <c r="E6" s="3198"/>
      <c r="F6" s="3198"/>
      <c r="G6" s="3198"/>
      <c r="H6" s="3198"/>
      <c r="I6" s="3198"/>
    </row>
    <row r="7" spans="1:9" ht="15">
      <c r="A7" s="3196" t="s">
        <v>1605</v>
      </c>
      <c r="B7" s="3196"/>
      <c r="C7" s="3196"/>
      <c r="D7" s="3199" t="str">
        <f>结果表!D121</f>
        <v>零元整</v>
      </c>
      <c r="E7" s="3200"/>
      <c r="F7" s="3200"/>
      <c r="G7" s="3200"/>
      <c r="H7" s="3200"/>
      <c r="I7" s="3201"/>
    </row>
    <row r="8" spans="1:9" ht="15.75">
      <c r="A8" s="3198" t="str">
        <f>结果表!A122</f>
        <v>房地产抵押价值</v>
      </c>
      <c r="B8" s="3198"/>
      <c r="C8" s="3198"/>
      <c r="D8" s="3198">
        <f ca="1">结果表!D122</f>
        <v>46880</v>
      </c>
      <c r="E8" s="3198"/>
      <c r="F8" s="3198"/>
      <c r="G8" s="3198"/>
      <c r="H8" s="3198"/>
      <c r="I8" s="3198"/>
    </row>
    <row r="9" spans="1:9" ht="15">
      <c r="A9" s="3196" t="s">
        <v>1605</v>
      </c>
      <c r="B9" s="3196"/>
      <c r="C9" s="3196"/>
      <c r="D9" s="3197" t="str">
        <f ca="1">结果表!D123</f>
        <v>肆亿陆仟捌佰捌拾万元整</v>
      </c>
      <c r="E9" s="3197"/>
      <c r="F9" s="3197"/>
      <c r="G9" s="3197"/>
      <c r="H9" s="3197"/>
      <c r="I9" s="3197"/>
    </row>
    <row r="10" spans="1:9" ht="15.75">
      <c r="A10" s="3198" t="str">
        <f>结果表!A124</f>
        <v/>
      </c>
      <c r="B10" s="3198"/>
      <c r="C10" s="3198"/>
      <c r="D10" s="3198" t="str">
        <f>结果表!D124</f>
        <v>——</v>
      </c>
      <c r="E10" s="3198"/>
      <c r="F10" s="3198"/>
      <c r="G10" s="3198"/>
      <c r="H10" s="3198"/>
      <c r="I10" s="3198"/>
    </row>
    <row r="11" spans="1:9" ht="15">
      <c r="A11" s="3196" t="s">
        <v>1605</v>
      </c>
      <c r="B11" s="3196"/>
      <c r="C11" s="3196"/>
      <c r="D11" s="3197" t="e">
        <f>结果表!D125</f>
        <v>#VALUE!</v>
      </c>
      <c r="E11" s="3197"/>
      <c r="F11" s="3197"/>
      <c r="G11" s="3197"/>
      <c r="H11" s="3197"/>
      <c r="I11" s="3197"/>
    </row>
    <row r="12" spans="1:9" ht="15.75">
      <c r="A12" s="3198" t="str">
        <f>结果表!A126</f>
        <v>抵押净值</v>
      </c>
      <c r="B12" s="3198"/>
      <c r="C12" s="3198"/>
      <c r="D12" s="3198">
        <f ca="1">结果表!D126</f>
        <v>33882</v>
      </c>
      <c r="E12" s="3198"/>
      <c r="F12" s="3198"/>
      <c r="G12" s="3198"/>
      <c r="H12" s="3198"/>
      <c r="I12" s="3198"/>
    </row>
    <row r="13" spans="1:9" ht="15.75" thickBot="1">
      <c r="A13" s="3202" t="s">
        <v>1605</v>
      </c>
      <c r="B13" s="3202"/>
      <c r="C13" s="3202"/>
      <c r="D13" s="3203" t="str">
        <f ca="1">结果表!D127</f>
        <v>叁亿叁仟捌佰捌拾贰万元整</v>
      </c>
      <c r="E13" s="3203"/>
      <c r="F13" s="3203"/>
      <c r="G13" s="3203"/>
      <c r="H13" s="3203"/>
      <c r="I13" s="3203"/>
    </row>
    <row r="14" spans="1:9" ht="15" thickTop="1">
      <c r="A14" s="3204" t="s">
        <v>1610</v>
      </c>
      <c r="B14" s="3204"/>
      <c r="C14" s="3204"/>
      <c r="D14" s="3204"/>
      <c r="E14" s="3204"/>
      <c r="F14" s="3204"/>
      <c r="G14" s="3204"/>
      <c r="H14" s="3204"/>
      <c r="I14" s="3204"/>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205" t="s">
        <v>1627</v>
      </c>
      <c r="B1" s="3205"/>
      <c r="C1" s="3205"/>
      <c r="D1" s="3205"/>
    </row>
    <row r="2" spans="1:4" ht="18">
      <c r="A2" s="3206" t="s">
        <v>1611</v>
      </c>
      <c r="B2" s="3206"/>
      <c r="C2" s="3206"/>
      <c r="D2" s="3206"/>
    </row>
    <row r="3" spans="1:4" ht="18.75">
      <c r="A3" s="1694" t="s">
        <v>1612</v>
      </c>
      <c r="B3" s="1694" t="s">
        <v>1613</v>
      </c>
      <c r="C3" s="1694" t="s">
        <v>1614</v>
      </c>
      <c r="D3" s="1694" t="s">
        <v>1615</v>
      </c>
    </row>
    <row r="4" spans="1:4" ht="56.25" customHeight="1">
      <c r="A4" s="1695" t="str">
        <f>项目基本情况!B4</f>
        <v>郑燚</v>
      </c>
      <c r="B4" s="1696">
        <f ca="1">项目基本情况!C4</f>
        <v>1120070131</v>
      </c>
      <c r="C4" s="1697"/>
      <c r="D4" s="1698" t="s">
        <v>1616</v>
      </c>
    </row>
    <row r="5" spans="1:4" ht="56.25" customHeight="1">
      <c r="A5" s="1695" t="str">
        <f>项目基本情况!D4</f>
        <v>吴薇</v>
      </c>
      <c r="B5" s="1696">
        <f ca="1">项目基本情况!E4</f>
        <v>1419970001</v>
      </c>
      <c r="C5" s="1699"/>
      <c r="D5" s="1698" t="s">
        <v>1616</v>
      </c>
    </row>
    <row r="6" spans="1:4" ht="18">
      <c r="A6" s="3206" t="s">
        <v>1617</v>
      </c>
      <c r="B6" s="3206"/>
      <c r="C6" s="3206"/>
      <c r="D6" s="3206"/>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207" t="s">
        <v>1620</v>
      </c>
      <c r="B11" s="3208"/>
      <c r="C11" s="3208"/>
      <c r="D11" s="3208"/>
    </row>
    <row r="12" spans="1:4" ht="15.7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8" t="str">
        <f>IF(项目基本情况!B8="抵押","4.本次评估估价师所知悉的法定优先受偿款情况说明如下：","——")</f>
        <v>4.本次评估估价师所知悉的法定优先受偿款情况说明如下：</v>
      </c>
      <c r="B14" s="3209"/>
      <c r="C14" s="3209"/>
      <c r="D14" s="3209"/>
    </row>
    <row r="15" spans="1:4" ht="42" customHeight="1">
      <c r="A15" s="32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8"/>
      <c r="C15" s="3208"/>
      <c r="D15" s="3208"/>
    </row>
    <row r="16" spans="1:4" ht="30" customHeight="1">
      <c r="A16" s="3211" t="s">
        <v>1621</v>
      </c>
      <c r="B16" s="3211"/>
      <c r="C16" s="3211"/>
      <c r="D16" s="3211"/>
    </row>
    <row r="17" spans="1:4" ht="144" customHeight="1">
      <c r="A17" s="3211" t="s">
        <v>1622</v>
      </c>
      <c r="B17" s="3211"/>
      <c r="C17" s="3211"/>
      <c r="D17" s="3211"/>
    </row>
    <row r="18" spans="1:4" ht="15.75" customHeight="1">
      <c r="A18" s="3208" t="str">
        <f>IF(项目基本情况!B8="抵押",结果表!K120,"——")</f>
        <v>故，本次评估不存在估价师知悉的法定优先受偿款</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8"/>
      <c r="C20" s="3208"/>
      <c r="D20" s="3208"/>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2"/>
      <c r="C21" s="3212"/>
      <c r="D21" s="3212"/>
    </row>
    <row r="22" spans="1:4" ht="18.75" customHeight="1">
      <c r="A22" s="3213" t="s">
        <v>1623</v>
      </c>
      <c r="B22" s="3213"/>
      <c r="C22" s="3213"/>
      <c r="D22" s="3213"/>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210">
        <v>42551</v>
      </c>
      <c r="D31" s="32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219" t="s">
        <v>1634</v>
      </c>
      <c r="B15" s="3214" t="s">
        <v>136</v>
      </c>
      <c r="C15" s="3215"/>
    </row>
    <row r="16" spans="1:7" ht="13.5">
      <c r="A16" s="3220"/>
      <c r="B16" s="3214" t="s">
        <v>69</v>
      </c>
      <c r="C16" s="3215"/>
    </row>
    <row r="17" spans="1:3" ht="13.5">
      <c r="A17" s="3220"/>
      <c r="B17" s="3217" t="s">
        <v>1635</v>
      </c>
      <c r="C17" s="1717" t="s">
        <v>1634</v>
      </c>
    </row>
    <row r="18" spans="1:3" ht="13.5">
      <c r="A18" s="3220"/>
      <c r="B18" s="3217"/>
      <c r="C18" s="1717" t="s">
        <v>1636</v>
      </c>
    </row>
    <row r="19" spans="1:3" ht="13.5">
      <c r="A19" s="3220"/>
      <c r="B19" s="3217"/>
      <c r="C19" s="1717" t="s">
        <v>1637</v>
      </c>
    </row>
    <row r="20" spans="1:3" ht="13.5">
      <c r="A20" s="3221"/>
      <c r="B20" s="3216" t="s">
        <v>1638</v>
      </c>
      <c r="C20" s="3215"/>
    </row>
    <row r="21" spans="1:3" ht="13.5">
      <c r="A21" s="1718" t="s">
        <v>1639</v>
      </c>
      <c r="B21" s="1719"/>
      <c r="C21" s="1720"/>
    </row>
    <row r="22" spans="1:3" ht="13.5">
      <c r="A22" s="3218" t="s">
        <v>1640</v>
      </c>
      <c r="B22" s="3216" t="s">
        <v>1641</v>
      </c>
      <c r="C22" s="3215"/>
    </row>
    <row r="23" spans="1:3" ht="13.5">
      <c r="A23" s="3218"/>
      <c r="B23" s="3216" t="s">
        <v>1642</v>
      </c>
      <c r="C23" s="3215"/>
    </row>
    <row r="24" spans="1:3" ht="13.5">
      <c r="A24" s="3218"/>
      <c r="B24" s="3216" t="s">
        <v>1643</v>
      </c>
      <c r="C24" s="3215"/>
    </row>
    <row r="25" spans="1:3" ht="13.5">
      <c r="A25" s="3218"/>
      <c r="B25" s="3217" t="s">
        <v>1644</v>
      </c>
      <c r="C25" s="1717" t="s">
        <v>1645</v>
      </c>
    </row>
    <row r="26" spans="1:3" ht="13.5">
      <c r="A26" s="3218"/>
      <c r="B26" s="3217"/>
      <c r="C26" s="1717" t="s">
        <v>1646</v>
      </c>
    </row>
    <row r="27" spans="1:3" ht="13.5">
      <c r="A27" s="3218"/>
      <c r="B27" s="3217"/>
      <c r="C27" s="1717" t="s">
        <v>1647</v>
      </c>
    </row>
    <row r="28" spans="1:3" ht="13.5">
      <c r="A28" s="3218"/>
      <c r="B28" s="3217"/>
      <c r="C28" s="1717" t="s">
        <v>1648</v>
      </c>
    </row>
    <row r="29" spans="1:3" ht="13.5">
      <c r="A29" s="3218"/>
      <c r="B29" s="3217"/>
      <c r="C29" s="1717" t="s">
        <v>1649</v>
      </c>
    </row>
    <row r="30" spans="1:3" ht="13.5">
      <c r="A30" s="3218"/>
      <c r="B30" s="3217"/>
      <c r="C30" s="1717" t="s">
        <v>1650</v>
      </c>
    </row>
    <row r="31" spans="1:3" ht="13.5">
      <c r="A31" s="3218"/>
      <c r="B31" s="3217"/>
      <c r="C31" s="1717" t="s">
        <v>1651</v>
      </c>
    </row>
    <row r="32" spans="1:3" ht="13.5">
      <c r="A32" s="3218"/>
      <c r="B32" s="3217"/>
      <c r="C32" s="1717" t="s">
        <v>1652</v>
      </c>
    </row>
    <row r="33" spans="1:3" ht="13.5">
      <c r="A33" s="3218"/>
      <c r="B33" s="3217"/>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44399</v>
      </c>
      <c r="C2" s="2563" t="s">
        <v>2881</v>
      </c>
      <c r="D2" s="2563"/>
      <c r="E2" s="2563"/>
      <c r="F2" s="2559"/>
      <c r="G2" s="2559"/>
      <c r="H2" s="2559"/>
    </row>
    <row r="3" spans="1:8" ht="24" customHeight="1">
      <c r="A3" s="2564" t="s">
        <v>2882</v>
      </c>
      <c r="B3" s="2565" t="s">
        <v>2883</v>
      </c>
      <c r="C3" s="2565" t="s">
        <v>2884</v>
      </c>
      <c r="D3" s="2566" t="s">
        <v>2885</v>
      </c>
      <c r="E3" s="2567" t="s">
        <v>2886</v>
      </c>
      <c r="F3" s="1472" t="s">
        <v>2887</v>
      </c>
      <c r="G3" s="2565" t="s">
        <v>2884</v>
      </c>
      <c r="H3" s="2566" t="s">
        <v>2888</v>
      </c>
    </row>
    <row r="4" spans="1:8" ht="24" customHeight="1">
      <c r="A4" s="1472" t="s">
        <v>2889</v>
      </c>
      <c r="B4" s="1472">
        <f ca="1">IF(C4&lt;B2,"已过期",1119970066)</f>
        <v>1119970066</v>
      </c>
      <c r="C4" s="2568">
        <v>44876</v>
      </c>
      <c r="D4" s="2569" t="str">
        <f ca="1">A4&amp;"（注册号："&amp;B4&amp;"）"</f>
        <v>梁津（注册号：1119970066）</v>
      </c>
      <c r="E4" s="2570" t="s">
        <v>2889</v>
      </c>
      <c r="F4" s="1472">
        <f ca="1">IF(G4&lt;B2,"已过期",96010014)</f>
        <v>96010014</v>
      </c>
      <c r="G4" s="2571">
        <v>47118</v>
      </c>
      <c r="H4" s="2572" t="str">
        <f ca="1">E4&amp;"（注册号："&amp;F4&amp;"）"</f>
        <v>梁津（注册号：96010014）</v>
      </c>
    </row>
    <row r="5" spans="1:8" ht="24" customHeight="1">
      <c r="A5" s="1472" t="s">
        <v>2890</v>
      </c>
      <c r="B5" s="1472">
        <f ca="1">IF(C5&lt;B2,"已过期",1119970111)</f>
        <v>1119970111</v>
      </c>
      <c r="C5" s="2568">
        <v>44876</v>
      </c>
      <c r="D5" s="2569" t="str">
        <f t="shared" ref="D5:D15" ca="1" si="0">A5&amp;"（注册号："&amp;B5&amp;"）"</f>
        <v>叶凌（注册号：1119970111）</v>
      </c>
      <c r="E5" s="2570" t="s">
        <v>2890</v>
      </c>
      <c r="F5" s="1472">
        <f ca="1">IF(G5&lt;B2,"已过期",94010078)</f>
        <v>94010078</v>
      </c>
      <c r="G5" s="2571">
        <v>46387</v>
      </c>
      <c r="H5" s="2572" t="str">
        <f t="shared" ref="H5:H16" ca="1" si="1">E5&amp;"（注册号："&amp;F5&amp;"）"</f>
        <v>叶凌（注册号：94010078）</v>
      </c>
    </row>
    <row r="6" spans="1:8" ht="24" customHeight="1">
      <c r="A6" s="1472" t="s">
        <v>2891</v>
      </c>
      <c r="B6" s="1472" t="str">
        <f ca="1">IF(C6&lt;B2,"已过期",1120050019)</f>
        <v>已过期</v>
      </c>
      <c r="C6" s="2568">
        <v>44395</v>
      </c>
      <c r="D6" s="2569" t="str">
        <f t="shared" ca="1" si="0"/>
        <v>王鹏（注册号：已过期）</v>
      </c>
      <c r="E6" s="2570" t="s">
        <v>2891</v>
      </c>
      <c r="F6" s="1472">
        <f ca="1">IF(G6&lt;B2,"已过期",2002110030)</f>
        <v>2002110030</v>
      </c>
      <c r="G6" s="2571">
        <v>46387</v>
      </c>
      <c r="H6" s="2572" t="str">
        <f t="shared" ca="1" si="1"/>
        <v>王鹏（注册号：2002110030）</v>
      </c>
    </row>
    <row r="7" spans="1:8" ht="24" customHeight="1">
      <c r="A7" s="1472" t="s">
        <v>2892</v>
      </c>
      <c r="B7" s="1472">
        <f ca="1">IF(C7&lt;B2,"已过期",1120000080)</f>
        <v>1120000080</v>
      </c>
      <c r="C7" s="2568">
        <v>44876</v>
      </c>
      <c r="D7" s="2569" t="str">
        <f t="shared" ca="1" si="0"/>
        <v>欧红伟（注册号：1120000080）</v>
      </c>
      <c r="E7" s="2570" t="s">
        <v>2892</v>
      </c>
      <c r="F7" s="1472">
        <f ca="1">IF(G7&lt;B2,"已过期",2000110082)</f>
        <v>2000110082</v>
      </c>
      <c r="G7" s="2571">
        <v>46387</v>
      </c>
      <c r="H7" s="2572" t="str">
        <f t="shared" ca="1" si="1"/>
        <v>欧红伟（注册号：2000110082）</v>
      </c>
    </row>
    <row r="8" spans="1:8" ht="24" customHeight="1">
      <c r="A8" s="1472" t="s">
        <v>2893</v>
      </c>
      <c r="B8" s="1472">
        <f ca="1">IF(C8&lt;B2,"已过期",1419970001)</f>
        <v>1419970001</v>
      </c>
      <c r="C8" s="2568">
        <v>44899</v>
      </c>
      <c r="D8" s="2569" t="str">
        <f t="shared" ca="1" si="0"/>
        <v>吴薇（注册号：1419970001）</v>
      </c>
      <c r="E8" s="2570" t="s">
        <v>2893</v>
      </c>
      <c r="F8" s="1472">
        <f ca="1">IF(G8&lt;B2,"已过期",2002110125)</f>
        <v>2002110125</v>
      </c>
      <c r="G8" s="2571">
        <v>47118</v>
      </c>
      <c r="H8" s="2572" t="str">
        <f t="shared" ca="1" si="1"/>
        <v>吴薇（注册号：2002110125）</v>
      </c>
    </row>
    <row r="9" spans="1:8" ht="24" customHeight="1">
      <c r="A9" s="1472" t="s">
        <v>2894</v>
      </c>
      <c r="B9" s="1472">
        <f ca="1">IF(C9&lt;B2,"已过期",1120060040)</f>
        <v>1120060040</v>
      </c>
      <c r="C9" s="2573">
        <v>44554</v>
      </c>
      <c r="D9" s="2569" t="str">
        <f t="shared" ca="1" si="0"/>
        <v>陈颖（注册号：1120060040）</v>
      </c>
      <c r="E9" s="2570" t="s">
        <v>2894</v>
      </c>
      <c r="F9" s="1472">
        <f ca="1">IF(G9&lt;B2,"已过期",2004110096)</f>
        <v>2004110096</v>
      </c>
      <c r="G9" s="2571">
        <v>47118</v>
      </c>
      <c r="H9" s="2572" t="str">
        <f t="shared" ca="1" si="1"/>
        <v>陈颖（注册号：2004110096）</v>
      </c>
    </row>
    <row r="10" spans="1:8" ht="24" customHeight="1">
      <c r="A10" s="1472" t="s">
        <v>2895</v>
      </c>
      <c r="B10" s="1472">
        <f ca="1">IF(C10&lt;B2,"已过期",1120100036)</f>
        <v>1120100036</v>
      </c>
      <c r="C10" s="2573">
        <v>44675</v>
      </c>
      <c r="D10" s="2569" t="str">
        <f t="shared" ca="1" si="0"/>
        <v>崔锴（注册号：1120100036）</v>
      </c>
      <c r="E10" s="2570" t="s">
        <v>2895</v>
      </c>
      <c r="F10" s="1472">
        <f ca="1">IF(G10&lt;B2,"已过期",2010110070)</f>
        <v>2010110070</v>
      </c>
      <c r="G10" s="2571">
        <v>47907</v>
      </c>
      <c r="H10" s="2572" t="str">
        <f t="shared" ca="1" si="1"/>
        <v>崔锴（注册号：2010110070）</v>
      </c>
    </row>
    <row r="11" spans="1:8" ht="24" customHeight="1">
      <c r="A11" s="1472" t="s">
        <v>2896</v>
      </c>
      <c r="B11" s="1472">
        <f ca="1">IF(C11&lt;B2,"已过期",1120070131)</f>
        <v>1120070131</v>
      </c>
      <c r="C11" s="2568">
        <v>44849</v>
      </c>
      <c r="D11" s="2569" t="str">
        <f t="shared" ca="1" si="0"/>
        <v>郑燚（注册号：1120070131）</v>
      </c>
      <c r="E11" s="2570" t="s">
        <v>2896</v>
      </c>
      <c r="F11" s="1472">
        <f ca="1">IF(G11&lt;B2,"已过期",2014110011)</f>
        <v>2014110011</v>
      </c>
      <c r="G11" s="2571">
        <v>49302</v>
      </c>
      <c r="H11" s="2572" t="str">
        <f t="shared" ca="1" si="1"/>
        <v>郑燚（注册号：2014110011）</v>
      </c>
    </row>
    <row r="12" spans="1:8" ht="24" customHeight="1">
      <c r="A12" s="1472" t="s">
        <v>2897</v>
      </c>
      <c r="B12" s="1472">
        <f ca="1">IF(C12&lt;B2,"已过期",1120040230)</f>
        <v>1120040230</v>
      </c>
      <c r="C12" s="2573">
        <v>44864</v>
      </c>
      <c r="D12" s="2569" t="str">
        <f t="shared" ca="1" si="0"/>
        <v>苏海（注册号：1120040230）</v>
      </c>
      <c r="E12" s="2570" t="s">
        <v>2897</v>
      </c>
      <c r="F12" s="1472">
        <f ca="1">IF(G12&lt;B2,"已过期",98030020)</f>
        <v>98030020</v>
      </c>
      <c r="G12" s="2571">
        <v>47118</v>
      </c>
      <c r="H12" s="2572" t="str">
        <f t="shared" ca="1" si="1"/>
        <v>苏海（注册号：98030020）</v>
      </c>
    </row>
    <row r="13" spans="1:8" ht="24" customHeight="1">
      <c r="A13" s="1472" t="s">
        <v>2898</v>
      </c>
      <c r="B13" s="1472" t="str">
        <f ca="1">IF(C13&lt;B2,"已过期",1120020033)</f>
        <v>已过期</v>
      </c>
      <c r="C13" s="2568">
        <v>44339</v>
      </c>
      <c r="D13" s="2569" t="str">
        <f t="shared" ca="1" si="0"/>
        <v>刘敬东（注册号：已过期）</v>
      </c>
      <c r="E13" s="2570" t="s">
        <v>2898</v>
      </c>
      <c r="F13" s="1472">
        <f ca="1">IF(G13&lt;B2,"已过期",2000110137)</f>
        <v>2000110137</v>
      </c>
      <c r="G13" s="2571">
        <v>46387</v>
      </c>
      <c r="H13" s="2572" t="str">
        <f t="shared" ca="1" si="1"/>
        <v>刘敬东（注册号：2000110137）</v>
      </c>
    </row>
    <row r="14" spans="1:8" ht="24" customHeight="1">
      <c r="A14" s="1472" t="s">
        <v>2899</v>
      </c>
      <c r="B14" s="1472">
        <f ca="1">IF(C14&lt;B2,"已过期",1119980106)</f>
        <v>1119980106</v>
      </c>
      <c r="C14" s="2573">
        <v>44969</v>
      </c>
      <c r="D14" s="2569" t="str">
        <f t="shared" ca="1" si="0"/>
        <v>刘俊财（注册号：1119980106）</v>
      </c>
      <c r="E14" s="2570" t="s">
        <v>2899</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2900</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222" t="s">
        <v>2901</v>
      </c>
      <c r="B17" s="3222"/>
      <c r="C17" s="3222"/>
      <c r="D17" s="3222"/>
      <c r="E17" s="3222"/>
      <c r="F17" s="3222"/>
      <c r="G17" s="3222"/>
      <c r="H17" s="3222"/>
    </row>
    <row r="18" spans="1:8" ht="24" customHeight="1">
      <c r="A18" s="3223" t="s">
        <v>2902</v>
      </c>
      <c r="B18" s="3223"/>
      <c r="C18" s="3223"/>
      <c r="D18" s="2566"/>
      <c r="E18" s="3224" t="s">
        <v>2903</v>
      </c>
      <c r="F18" s="3223"/>
      <c r="G18" s="3223"/>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比较法-办公</vt:lpstr>
      <vt:lpstr>典型户型修正</vt:lpstr>
      <vt:lpstr>Sheet1</vt:lpstr>
      <vt:lpstr>成本法</vt:lpstr>
      <vt:lpstr>成本法 (元)</vt:lpstr>
      <vt:lpstr>假设开发法</vt:lpstr>
      <vt:lpstr>基准地价修正</vt:lpstr>
      <vt:lpstr>收益法</vt:lpstr>
      <vt:lpstr>收益法 (元)</vt:lpstr>
      <vt:lpstr>收益法（汇总）</vt:lpstr>
      <vt:lpstr>酒店收入计算</vt:lpstr>
      <vt:lpstr>酒店过往经营表现</vt:lpstr>
      <vt:lpstr>酒店经营情况</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2021-07-22T05:53:06Z</dcterms:modified>
</cp:coreProperties>
</file>