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朝阳路69号租金-吴姐中行\"/>
    </mc:Choice>
  </mc:AlternateContent>
  <xr:revisionPtr revIDLastSave="0" documentId="13_ncr:1_{010D4301-D6F3-45A3-82F1-7B3D361EC701}" xr6:coauthVersionLast="47" xr6:coauthVersionMax="47" xr10:uidLastSave="{00000000-0000-0000-0000-000000000000}"/>
  <bookViews>
    <workbookView xWindow="-110" yWindow="-110" windowWidth="25820" windowHeight="1402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典型户型修正" sheetId="31" state="hidden" r:id="rId28"/>
    <sheet name="租金案例" sheetId="81" r:id="rId29"/>
    <sheet name="面积信息" sheetId="80" r:id="rId30"/>
    <sheet name="项目信息" sheetId="83" r:id="rId31"/>
    <sheet name="比较法-商业售价" sheetId="84" r:id="rId32"/>
    <sheet name="收益法倒推" sheetId="82" r:id="rId33"/>
    <sheet name="售价案例" sheetId="85"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1" hidden="1">'比较法-商业售价'!$A$1:$L$49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1">'比较法-商业售价'!$A$1:$K$54,'比较法-商业售价'!$A$57:$M$131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1">'比较法-商业售价'!$B$116:$M$116</definedName>
    <definedName name="商业层高">'比较法-商业租金'!$B$116:$M$116</definedName>
    <definedName name="商业成新度" localSheetId="31">'比较法-商业售价'!$B$109:$M$109</definedName>
    <definedName name="商业成新度">'比较法-商业租金'!$B$109:$M$109</definedName>
    <definedName name="商业繁华度">定义!$L$1:$L$6</definedName>
    <definedName name="商业公共部分装修" localSheetId="31">'比较法-商业售价'!$B$107:$M$107</definedName>
    <definedName name="商业公共部分装修">'比较法-商业租金'!$B$107:$M$107</definedName>
    <definedName name="商业基础设施水平" localSheetId="31">'比较法-商业售价'!$B$112:$M$112</definedName>
    <definedName name="商业基础设施水平">'比较法-商业租金'!$B$112:$M$112</definedName>
    <definedName name="商业建筑结构" localSheetId="31">'比较法-商业售价'!$B$105:$M$105</definedName>
    <definedName name="商业建筑结构">'比较法-商业租金'!$B$105:$M$105</definedName>
    <definedName name="商业交易情况" localSheetId="31">'比较法-商业售价'!$A$61:$M$61</definedName>
    <definedName name="商业交易情况">'比较法-商业租金'!$A$61:$M$61</definedName>
    <definedName name="商业街名称">修正!$C$73:$C$140</definedName>
    <definedName name="商业进深比" localSheetId="31">'比较法-商业售价'!$B$120:$M$120</definedName>
    <definedName name="商业进深比">'比较法-商业租金'!$B$120:$M$120</definedName>
    <definedName name="商业类型" localSheetId="31">'比较法-商业售价'!$B$100:$M$100</definedName>
    <definedName name="商业类型">'比较法-商业租金'!$B$100:$M$100</definedName>
    <definedName name="商业临街状况" localSheetId="31">'比较法-商业售价'!$B$86:$M$86</definedName>
    <definedName name="商业临街状况">'比较法-商业租金'!$B$86:$M$86</definedName>
    <definedName name="商业楼层" localSheetId="31">'比较法-商业售价'!$B$92:$M$92</definedName>
    <definedName name="商业楼层">'比较法-商业租金'!$B$92:$M$92</definedName>
    <definedName name="商业内部装修" localSheetId="31">'比较法-商业售价'!$B$122:$M$122</definedName>
    <definedName name="商业内部装修">'比较法-商业租金'!$B$122:$M$122</definedName>
    <definedName name="商业人流量" localSheetId="31">'比较法-商业售价'!$B$90:$M$90</definedName>
    <definedName name="商业人流量">'比较法-商业租金'!$B$90:$M$90</definedName>
    <definedName name="商业业态" localSheetId="31">'比较法-商业售价'!$B$114:$M$114</definedName>
    <definedName name="商业业态">'比较法-商业租金'!$B$114:$M$114</definedName>
    <definedName name="商业用途" localSheetId="31">'比较法-商业售价'!$B$63:$M$63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1" i="74" l="1"/>
  <c r="E11" i="74"/>
  <c r="K103" i="84"/>
  <c r="K104" i="84"/>
  <c r="D103" i="84"/>
  <c r="E103" i="84"/>
  <c r="F103" i="84"/>
  <c r="G103" i="84"/>
  <c r="H103" i="84"/>
  <c r="I103" i="84"/>
  <c r="J103" i="84"/>
  <c r="D104" i="84"/>
  <c r="E104" i="84"/>
  <c r="F104" i="84"/>
  <c r="G104" i="84"/>
  <c r="H104" i="84"/>
  <c r="I104" i="84"/>
  <c r="J104" i="84"/>
  <c r="C104" i="84"/>
  <c r="C103" i="84"/>
  <c r="E51" i="33"/>
  <c r="C51" i="33"/>
  <c r="F19" i="6" l="1"/>
  <c r="E10" i="74"/>
  <c r="B14" i="74"/>
  <c r="E104" i="33"/>
  <c r="F104" i="33" s="1"/>
  <c r="D104" i="33"/>
  <c r="D4" i="31" s="1"/>
  <c r="C33" i="33"/>
  <c r="I36" i="84"/>
  <c r="G36" i="84"/>
  <c r="E36" i="84"/>
  <c r="I36" i="33"/>
  <c r="G36" i="33"/>
  <c r="E36" i="33"/>
  <c r="N6" i="1"/>
  <c r="C5" i="31"/>
  <c r="D5" i="31"/>
  <c r="E5" i="31"/>
  <c r="F5" i="31"/>
  <c r="D3" i="31"/>
  <c r="E3" i="31"/>
  <c r="F3" i="31"/>
  <c r="G3" i="31"/>
  <c r="E4" i="31"/>
  <c r="C4" i="31"/>
  <c r="C3" i="31"/>
  <c r="B25" i="31"/>
  <c r="B26" i="31"/>
  <c r="B27" i="31"/>
  <c r="B24" i="31"/>
  <c r="A439" i="31"/>
  <c r="A438" i="31"/>
  <c r="A437" i="31"/>
  <c r="I11" i="84"/>
  <c r="G11" i="84"/>
  <c r="E11" i="84"/>
  <c r="D66" i="84"/>
  <c r="C66" i="84" s="1"/>
  <c r="E66" i="84"/>
  <c r="I47" i="84"/>
  <c r="G47" i="84"/>
  <c r="E47" i="84"/>
  <c r="I33" i="84"/>
  <c r="G33" i="84"/>
  <c r="E33" i="84"/>
  <c r="I5" i="84"/>
  <c r="G5" i="84"/>
  <c r="E5" i="84"/>
  <c r="I32" i="82"/>
  <c r="I31" i="82"/>
  <c r="H29" i="82"/>
  <c r="H28" i="82"/>
  <c r="H27" i="82"/>
  <c r="H25" i="82"/>
  <c r="H22" i="82"/>
  <c r="I20" i="82"/>
  <c r="I8" i="82"/>
  <c r="I7" i="82"/>
  <c r="I6" i="82"/>
  <c r="I5" i="82"/>
  <c r="F4" i="31" l="1"/>
  <c r="G104" i="33"/>
  <c r="B130" i="84"/>
  <c r="B128" i="84"/>
  <c r="B126" i="84"/>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D117" i="84"/>
  <c r="E117" i="84" s="1"/>
  <c r="F117" i="84" s="1"/>
  <c r="G117" i="84" s="1"/>
  <c r="I115" i="84"/>
  <c r="J115" i="84" s="1"/>
  <c r="K115" i="84" s="1"/>
  <c r="L115" i="84" s="1"/>
  <c r="M115" i="84" s="1"/>
  <c r="E115" i="84"/>
  <c r="F115" i="84" s="1"/>
  <c r="G115" i="84" s="1"/>
  <c r="H115" i="84" s="1"/>
  <c r="D115" i="84"/>
  <c r="G113" i="84"/>
  <c r="H113" i="84" s="1"/>
  <c r="I113" i="84" s="1"/>
  <c r="J113" i="84" s="1"/>
  <c r="K113" i="84" s="1"/>
  <c r="L113" i="84" s="1"/>
  <c r="M113" i="84" s="1"/>
  <c r="D113" i="84"/>
  <c r="E113" i="84" s="1"/>
  <c r="F113" i="84" s="1"/>
  <c r="E111" i="84"/>
  <c r="F111" i="84" s="1"/>
  <c r="G111" i="84" s="1"/>
  <c r="H111" i="84" s="1"/>
  <c r="I111" i="84" s="1"/>
  <c r="J111" i="84" s="1"/>
  <c r="K111" i="84" s="1"/>
  <c r="L111" i="84" s="1"/>
  <c r="M111" i="84" s="1"/>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B92" i="84"/>
  <c r="E91" i="84"/>
  <c r="D91" i="84"/>
  <c r="B90" i="84"/>
  <c r="B88" i="84"/>
  <c r="E87" i="84"/>
  <c r="F87" i="84" s="1"/>
  <c r="G87" i="84" s="1"/>
  <c r="H87" i="84" s="1"/>
  <c r="I87" i="84" s="1"/>
  <c r="J87" i="84" s="1"/>
  <c r="K87" i="84" s="1"/>
  <c r="L87" i="84" s="1"/>
  <c r="M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F69" i="84"/>
  <c r="G69" i="84" s="1"/>
  <c r="H69" i="84" s="1"/>
  <c r="I69" i="84" s="1"/>
  <c r="J69" i="84" s="1"/>
  <c r="K69" i="84" s="1"/>
  <c r="L69" i="84" s="1"/>
  <c r="M69" i="84" s="1"/>
  <c r="D69" i="84"/>
  <c r="E69" i="84" s="1"/>
  <c r="M67" i="84"/>
  <c r="L67" i="84"/>
  <c r="K67" i="84"/>
  <c r="J67" i="84"/>
  <c r="I67" i="84"/>
  <c r="H67" i="84"/>
  <c r="G67" i="84"/>
  <c r="F67" i="84"/>
  <c r="E67" i="84"/>
  <c r="D67" i="84"/>
  <c r="C67" i="84"/>
  <c r="C63" i="84"/>
  <c r="F58" i="84"/>
  <c r="G58" i="84" s="1"/>
  <c r="H58" i="84" s="1"/>
  <c r="I58" i="84" s="1"/>
  <c r="J58" i="84" s="1"/>
  <c r="P49" i="84"/>
  <c r="P48" i="84"/>
  <c r="K48" i="84"/>
  <c r="P47" i="84"/>
  <c r="G54" i="84"/>
  <c r="H54" i="84" s="1"/>
  <c r="Z46" i="84"/>
  <c r="Q46" i="84"/>
  <c r="J46" i="84"/>
  <c r="AC46" i="84" s="1"/>
  <c r="H46" i="84"/>
  <c r="AB46" i="84" s="1"/>
  <c r="F46" i="84"/>
  <c r="AA46" i="84" s="1"/>
  <c r="Q45" i="84"/>
  <c r="Z45" i="84" s="1"/>
  <c r="J45" i="84"/>
  <c r="AC45" i="84" s="1"/>
  <c r="H45" i="84"/>
  <c r="AB45" i="84" s="1"/>
  <c r="F45" i="84"/>
  <c r="AA45" i="84" s="1"/>
  <c r="U44" i="84"/>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W41" i="84" s="1"/>
  <c r="H41" i="84"/>
  <c r="AB41" i="84" s="1"/>
  <c r="F41" i="84"/>
  <c r="AA41" i="84" s="1"/>
  <c r="Q40" i="84"/>
  <c r="Z40" i="84" s="1"/>
  <c r="J40" i="84"/>
  <c r="AC40" i="84" s="1"/>
  <c r="H40" i="84"/>
  <c r="AB40" i="84" s="1"/>
  <c r="F40" i="84"/>
  <c r="AA40" i="84" s="1"/>
  <c r="Q39" i="84"/>
  <c r="Z39" i="84" s="1"/>
  <c r="J39" i="84"/>
  <c r="AC39" i="84" s="1"/>
  <c r="H39" i="84"/>
  <c r="AB39" i="84" s="1"/>
  <c r="F39" i="84"/>
  <c r="S39" i="84" s="1"/>
  <c r="Q38" i="84"/>
  <c r="Z38" i="84" s="1"/>
  <c r="J38" i="84"/>
  <c r="AC38" i="84" s="1"/>
  <c r="H38" i="84"/>
  <c r="AB38" i="84" s="1"/>
  <c r="F38" i="84"/>
  <c r="AA38" i="84" s="1"/>
  <c r="AC37" i="84"/>
  <c r="W37" i="84"/>
  <c r="Q37" i="84"/>
  <c r="Z37" i="84" s="1"/>
  <c r="J37" i="84"/>
  <c r="H37" i="84"/>
  <c r="AB37" i="84" s="1"/>
  <c r="F37" i="84"/>
  <c r="AA37" i="84" s="1"/>
  <c r="Q36" i="84"/>
  <c r="Z36" i="84" s="1"/>
  <c r="H36" i="84"/>
  <c r="AB36" i="84" s="1"/>
  <c r="C36" i="84"/>
  <c r="U35" i="84"/>
  <c r="Q35" i="84"/>
  <c r="Z35" i="84" s="1"/>
  <c r="J35" i="84"/>
  <c r="AC35" i="84" s="1"/>
  <c r="H35" i="84"/>
  <c r="AB35" i="84" s="1"/>
  <c r="F35" i="84"/>
  <c r="AA35" i="84" s="1"/>
  <c r="AA34" i="84"/>
  <c r="Q34" i="84"/>
  <c r="Z34" i="84" s="1"/>
  <c r="J34" i="84"/>
  <c r="AC34" i="84" s="1"/>
  <c r="H34" i="84"/>
  <c r="AB34" i="84" s="1"/>
  <c r="F34" i="84"/>
  <c r="S34" i="84" s="1"/>
  <c r="Q33" i="84"/>
  <c r="Z33" i="84" s="1"/>
  <c r="AC32" i="84"/>
  <c r="Q32" i="84"/>
  <c r="Z32" i="84" s="1"/>
  <c r="J32" i="84"/>
  <c r="W32" i="84" s="1"/>
  <c r="H32" i="84"/>
  <c r="AB32" i="84" s="1"/>
  <c r="F32" i="84"/>
  <c r="AA32" i="84" s="1"/>
  <c r="Q31" i="84"/>
  <c r="Z31" i="84" s="1"/>
  <c r="Q30" i="84"/>
  <c r="Z30" i="84" s="1"/>
  <c r="J30" i="84"/>
  <c r="AC30" i="84" s="1"/>
  <c r="H30" i="84"/>
  <c r="AB30" i="84" s="1"/>
  <c r="F30" i="84"/>
  <c r="AA30" i="84" s="1"/>
  <c r="Z29" i="84"/>
  <c r="Q29" i="84"/>
  <c r="J29" i="84"/>
  <c r="AC29" i="84" s="1"/>
  <c r="H29" i="84"/>
  <c r="AB29" i="84" s="1"/>
  <c r="F29" i="84"/>
  <c r="AA29" i="84" s="1"/>
  <c r="Q28" i="84"/>
  <c r="Z28" i="84" s="1"/>
  <c r="J28" i="84"/>
  <c r="AC28" i="84" s="1"/>
  <c r="H28" i="84"/>
  <c r="AB28" i="84" s="1"/>
  <c r="F28" i="84"/>
  <c r="AA28" i="84" s="1"/>
  <c r="Q27" i="84"/>
  <c r="Z27" i="84" s="1"/>
  <c r="H27" i="84"/>
  <c r="AB27" i="84" s="1"/>
  <c r="F27" i="84"/>
  <c r="AA27" i="84" s="1"/>
  <c r="Q26" i="84"/>
  <c r="Z26" i="84" s="1"/>
  <c r="J26" i="84"/>
  <c r="AC26" i="84" s="1"/>
  <c r="H26" i="84"/>
  <c r="AB26" i="84" s="1"/>
  <c r="F26" i="84"/>
  <c r="S26" i="84" s="1"/>
  <c r="Q25" i="84"/>
  <c r="Z25" i="84" s="1"/>
  <c r="J25" i="84"/>
  <c r="AC25" i="84" s="1"/>
  <c r="H25" i="84"/>
  <c r="AB25" i="84" s="1"/>
  <c r="F25" i="84"/>
  <c r="AA25" i="84" s="1"/>
  <c r="AC23" i="84"/>
  <c r="AB23" i="84"/>
  <c r="Q23" i="84"/>
  <c r="Z23" i="84" s="1"/>
  <c r="J23" i="84"/>
  <c r="W23" i="84" s="1"/>
  <c r="H23" i="84"/>
  <c r="U23" i="84" s="1"/>
  <c r="F23" i="84"/>
  <c r="AA23" i="84" s="1"/>
  <c r="C23" i="84"/>
  <c r="AC21" i="84"/>
  <c r="AB21" i="84"/>
  <c r="AA21" i="84"/>
  <c r="Q21" i="84"/>
  <c r="Z21" i="84" s="1"/>
  <c r="J21" i="84"/>
  <c r="W21" i="84" s="1"/>
  <c r="H21" i="84"/>
  <c r="U21" i="84" s="1"/>
  <c r="F21" i="84"/>
  <c r="S21" i="84" s="1"/>
  <c r="C21" i="84"/>
  <c r="AB19" i="84"/>
  <c r="AA19" i="84"/>
  <c r="Q19" i="84"/>
  <c r="Z19" i="84" s="1"/>
  <c r="J19" i="84"/>
  <c r="AC19" i="84" s="1"/>
  <c r="H19" i="84"/>
  <c r="U19" i="84" s="1"/>
  <c r="F19" i="84"/>
  <c r="S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I12" i="84"/>
  <c r="J12" i="84" s="1"/>
  <c r="G12" i="84"/>
  <c r="H12" i="84" s="1"/>
  <c r="AB12" i="84" s="1"/>
  <c r="E12" i="84"/>
  <c r="F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AC8" i="84" s="1"/>
  <c r="H8" i="84"/>
  <c r="U8" i="84" s="1"/>
  <c r="F8" i="84"/>
  <c r="S8" i="84" s="1"/>
  <c r="I7" i="84"/>
  <c r="G7" i="84"/>
  <c r="E7" i="84"/>
  <c r="C7" i="84"/>
  <c r="C58" i="84" s="1"/>
  <c r="D58" i="84" s="1"/>
  <c r="E58" i="84" s="1"/>
  <c r="Q5" i="81"/>
  <c r="N5" i="81"/>
  <c r="M5" i="81"/>
  <c r="L5" i="81"/>
  <c r="Q4" i="81"/>
  <c r="N4" i="81"/>
  <c r="O4" i="81" s="1"/>
  <c r="M4" i="81"/>
  <c r="L4" i="81"/>
  <c r="Q3" i="81"/>
  <c r="N3" i="81"/>
  <c r="M3" i="81"/>
  <c r="L3" i="81"/>
  <c r="O5" i="81"/>
  <c r="O3" i="81"/>
  <c r="M29" i="82"/>
  <c r="M28" i="82" s="1"/>
  <c r="E29" i="82"/>
  <c r="H26" i="82"/>
  <c r="E25" i="82"/>
  <c r="E24" i="82"/>
  <c r="C22" i="82"/>
  <c r="C21" i="82"/>
  <c r="E19" i="82" s="1"/>
  <c r="F19" i="82"/>
  <c r="F16" i="82"/>
  <c r="J15" i="82"/>
  <c r="E15" i="82"/>
  <c r="C15" i="82"/>
  <c r="J14" i="82"/>
  <c r="J12" i="82"/>
  <c r="O3" i="82"/>
  <c r="O4" i="82" s="1"/>
  <c r="I12" i="33"/>
  <c r="G12" i="33"/>
  <c r="E12" i="33"/>
  <c r="G33" i="33"/>
  <c r="G47" i="33"/>
  <c r="I47" i="33"/>
  <c r="E47" i="33"/>
  <c r="C36" i="33"/>
  <c r="I33" i="33"/>
  <c r="E33" i="33"/>
  <c r="I5" i="33"/>
  <c r="G5" i="33"/>
  <c r="E5" i="33"/>
  <c r="I7" i="33"/>
  <c r="G7" i="33"/>
  <c r="E7" i="33"/>
  <c r="B21" i="1"/>
  <c r="Y6" i="1"/>
  <c r="N21" i="1"/>
  <c r="N19" i="1"/>
  <c r="M18" i="1"/>
  <c r="N18" i="1"/>
  <c r="J6" i="80"/>
  <c r="I14" i="3"/>
  <c r="I15" i="3"/>
  <c r="I16" i="3"/>
  <c r="I13" i="3"/>
  <c r="C14" i="3"/>
  <c r="C15" i="3"/>
  <c r="C16" i="3"/>
  <c r="C13" i="3"/>
  <c r="C11" i="4"/>
  <c r="D3" i="4"/>
  <c r="E27" i="45"/>
  <c r="D2" i="84"/>
  <c r="H104" i="33" l="1"/>
  <c r="I104" i="33" s="1"/>
  <c r="J104" i="33" s="1"/>
  <c r="K104" i="33" s="1"/>
  <c r="G4" i="31"/>
  <c r="W8" i="84"/>
  <c r="AA8" i="84"/>
  <c r="U27" i="84"/>
  <c r="AC41" i="84"/>
  <c r="U40" i="84"/>
  <c r="AA39" i="84"/>
  <c r="AA26" i="84"/>
  <c r="K58" i="84"/>
  <c r="L58" i="84" s="1"/>
  <c r="M58" i="84" s="1"/>
  <c r="N58" i="84" s="1"/>
  <c r="O58" i="84" s="1"/>
  <c r="J7" i="84"/>
  <c r="F7" i="84"/>
  <c r="H7" i="84"/>
  <c r="AC12" i="84"/>
  <c r="W12" i="84"/>
  <c r="AA12" i="84"/>
  <c r="S12" i="84"/>
  <c r="W11" i="84"/>
  <c r="W14" i="84"/>
  <c r="W19" i="84"/>
  <c r="S23" i="84"/>
  <c r="F31" i="84"/>
  <c r="J31" i="84"/>
  <c r="U9" i="84"/>
  <c r="W10" i="84"/>
  <c r="U12" i="84"/>
  <c r="W13" i="84"/>
  <c r="S30" i="84"/>
  <c r="E54" i="84"/>
  <c r="F54" i="84" s="1"/>
  <c r="R47" i="84"/>
  <c r="U10" i="84"/>
  <c r="W15" i="84"/>
  <c r="AB8" i="84"/>
  <c r="W9" i="84"/>
  <c r="S11" i="84"/>
  <c r="S14" i="84"/>
  <c r="S15" i="84"/>
  <c r="S17" i="84"/>
  <c r="W28" i="84"/>
  <c r="U36" i="84"/>
  <c r="S43" i="84"/>
  <c r="W45" i="84"/>
  <c r="F91" i="84"/>
  <c r="G91" i="84" s="1"/>
  <c r="H91" i="84" s="1"/>
  <c r="I91" i="84" s="1"/>
  <c r="J91" i="84" s="1"/>
  <c r="K91" i="84" s="1"/>
  <c r="L91" i="84" s="1"/>
  <c r="M91" i="84" s="1"/>
  <c r="J27" i="84"/>
  <c r="S9" i="84"/>
  <c r="U13" i="84"/>
  <c r="W17" i="84"/>
  <c r="S10" i="84"/>
  <c r="U11" i="84"/>
  <c r="S13" i="84"/>
  <c r="U14" i="84"/>
  <c r="U15" i="84"/>
  <c r="U17" i="84"/>
  <c r="H31" i="84"/>
  <c r="F36" i="84"/>
  <c r="I54" i="84"/>
  <c r="J54" i="84" s="1"/>
  <c r="S25" i="84"/>
  <c r="U26" i="84"/>
  <c r="S29" i="84"/>
  <c r="U30" i="84"/>
  <c r="U34" i="84"/>
  <c r="W35" i="84"/>
  <c r="J36" i="84"/>
  <c r="S38" i="84"/>
  <c r="U39" i="84"/>
  <c r="W40" i="84"/>
  <c r="S42" i="84"/>
  <c r="U43" i="84"/>
  <c r="W44" i="84"/>
  <c r="S46" i="84"/>
  <c r="T47" i="84"/>
  <c r="U25" i="84"/>
  <c r="W26" i="84"/>
  <c r="S28" i="84"/>
  <c r="U29" i="84"/>
  <c r="W30" i="84"/>
  <c r="S32" i="84"/>
  <c r="W34" i="84"/>
  <c r="S37" i="84"/>
  <c r="U38" i="84"/>
  <c r="W39" i="84"/>
  <c r="S41" i="84"/>
  <c r="U42" i="84"/>
  <c r="W43" i="84"/>
  <c r="S45" i="84"/>
  <c r="U46" i="84"/>
  <c r="V47" i="84"/>
  <c r="W25" i="84"/>
  <c r="S27" i="84"/>
  <c r="U28" i="84"/>
  <c r="W29" i="84"/>
  <c r="U32" i="84"/>
  <c r="S35" i="84"/>
  <c r="U37" i="84"/>
  <c r="W38" i="84"/>
  <c r="S40" i="84"/>
  <c r="U41" i="84"/>
  <c r="W42" i="84"/>
  <c r="S44" i="84"/>
  <c r="U45" i="84"/>
  <c r="W46" i="84"/>
  <c r="G14" i="73"/>
  <c r="F14" i="73"/>
  <c r="E14" i="73"/>
  <c r="AC27" i="84" l="1"/>
  <c r="W27" i="84"/>
  <c r="U7" i="84"/>
  <c r="AB7" i="84"/>
  <c r="AA7" i="84"/>
  <c r="S7" i="84"/>
  <c r="AB31" i="84"/>
  <c r="U31" i="84"/>
  <c r="AC31" i="84"/>
  <c r="W31" i="84"/>
  <c r="W7" i="84"/>
  <c r="AC7" i="84"/>
  <c r="AC36" i="84"/>
  <c r="W36" i="84"/>
  <c r="AA36" i="84"/>
  <c r="S36" i="84"/>
  <c r="AA31" i="84"/>
  <c r="S31" i="84"/>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D35" i="79"/>
  <c r="AD36" i="79"/>
  <c r="AD37" i="79"/>
  <c r="AD34" i="79"/>
  <c r="AD38"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4" i="79"/>
  <c r="T33" i="79"/>
  <c r="T35"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AH34" i="79"/>
  <c r="W34" i="79"/>
  <c r="AK34" i="79" s="1"/>
  <c r="W11" i="79"/>
  <c r="AK11" i="79" s="1"/>
  <c r="AH11" i="79"/>
  <c r="W17" i="79"/>
  <c r="AK17" i="79" s="1"/>
  <c r="AH17" i="79"/>
  <c r="W10" i="79"/>
  <c r="AK10" i="79" s="1"/>
  <c r="AH10" i="79"/>
  <c r="W18" i="79"/>
  <c r="AK18" i="79" s="1"/>
  <c r="AH18" i="79"/>
  <c r="W20" i="79"/>
  <c r="AK20" i="79" s="1"/>
  <c r="AH20"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C35" i="71"/>
  <c r="C36"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D35"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40" s="1"/>
  <c r="C63" i="40"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S97" i="31" s="1"/>
  <c r="R98" i="31"/>
  <c r="R99" i="31"/>
  <c r="R100" i="31"/>
  <c r="S100" i="31" s="1"/>
  <c r="R101" i="31"/>
  <c r="S101" i="31" s="1"/>
  <c r="R102" i="31"/>
  <c r="R103" i="31"/>
  <c r="R104" i="31"/>
  <c r="S104" i="31" s="1"/>
  <c r="R105" i="31"/>
  <c r="S105" i="31" s="1"/>
  <c r="R106" i="31"/>
  <c r="R107" i="31"/>
  <c r="R108" i="31"/>
  <c r="S108" i="31" s="1"/>
  <c r="R109" i="31"/>
  <c r="S109" i="31" s="1"/>
  <c r="R110" i="31"/>
  <c r="R111" i="31"/>
  <c r="R112" i="31"/>
  <c r="S112" i="31" s="1"/>
  <c r="R113" i="31"/>
  <c r="S113" i="31" s="1"/>
  <c r="R114" i="31"/>
  <c r="R115" i="31"/>
  <c r="R116" i="31"/>
  <c r="S116" i="31" s="1"/>
  <c r="R117" i="31"/>
  <c r="S117" i="31" s="1"/>
  <c r="R118" i="31"/>
  <c r="R119" i="31"/>
  <c r="R120" i="31"/>
  <c r="S120" i="31" s="1"/>
  <c r="R121" i="31"/>
  <c r="S121" i="31" s="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S174" i="31" s="1"/>
  <c r="R175" i="31"/>
  <c r="R176" i="31"/>
  <c r="S176" i="31" s="1"/>
  <c r="R177" i="31"/>
  <c r="R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R195" i="31"/>
  <c r="R196" i="31"/>
  <c r="S196" i="31" s="1"/>
  <c r="R197" i="31"/>
  <c r="R198" i="31"/>
  <c r="S198" i="31" s="1"/>
  <c r="R199" i="31"/>
  <c r="R200" i="31"/>
  <c r="S200" i="31" s="1"/>
  <c r="R201" i="31"/>
  <c r="R202" i="31"/>
  <c r="S202" i="31" s="1"/>
  <c r="R203" i="31"/>
  <c r="R204" i="31"/>
  <c r="S204" i="31" s="1"/>
  <c r="R205" i="31"/>
  <c r="R206" i="31"/>
  <c r="S206" i="31" s="1"/>
  <c r="R207" i="31"/>
  <c r="S207" i="31" s="1"/>
  <c r="R208" i="31"/>
  <c r="S208" i="31" s="1"/>
  <c r="R209" i="31"/>
  <c r="R210" i="3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R239" i="31"/>
  <c r="S239" i="31" s="1"/>
  <c r="R240" i="31"/>
  <c r="S240" i="31" s="1"/>
  <c r="R241" i="31"/>
  <c r="S241" i="31" s="1"/>
  <c r="R242" i="31"/>
  <c r="S242" i="31" s="1"/>
  <c r="R243" i="31"/>
  <c r="S243" i="31" s="1"/>
  <c r="R244" i="31"/>
  <c r="S244" i="31" s="1"/>
  <c r="R245" i="31"/>
  <c r="S245" i="31" s="1"/>
  <c r="R246" i="31"/>
  <c r="R247" i="31"/>
  <c r="S247" i="31" s="1"/>
  <c r="R248" i="31"/>
  <c r="S248" i="31" s="1"/>
  <c r="R249" i="31"/>
  <c r="S249" i="31" s="1"/>
  <c r="R250" i="31"/>
  <c r="S250" i="31" s="1"/>
  <c r="R251" i="3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R479" i="31"/>
  <c r="S479" i="31" s="1"/>
  <c r="R480" i="31"/>
  <c r="S480" i="31" s="1"/>
  <c r="R481" i="31"/>
  <c r="R482" i="31"/>
  <c r="S482" i="31" s="1"/>
  <c r="R483" i="31"/>
  <c r="S483" i="31" s="1"/>
  <c r="R484" i="31"/>
  <c r="S484" i="31" s="1"/>
  <c r="R485" i="31"/>
  <c r="R486" i="3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R500" i="31"/>
  <c r="S500" i="31" s="1"/>
  <c r="R501" i="31"/>
  <c r="R502" i="31"/>
  <c r="S502" i="31" s="1"/>
  <c r="R503" i="31"/>
  <c r="R504" i="31"/>
  <c r="S504" i="31" s="1"/>
  <c r="R505" i="31"/>
  <c r="R506" i="3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398" i="31"/>
  <c r="S382" i="31"/>
  <c r="S366" i="31"/>
  <c r="S350" i="31"/>
  <c r="S334" i="31"/>
  <c r="S318" i="31"/>
  <c r="S302" i="31"/>
  <c r="S286" i="31"/>
  <c r="S270" i="31"/>
  <c r="S254" i="31"/>
  <c r="S251" i="31"/>
  <c r="S246" i="31"/>
  <c r="S238" i="31"/>
  <c r="S230" i="31"/>
  <c r="S429" i="31"/>
  <c r="S425" i="31"/>
  <c r="S221" i="31"/>
  <c r="S217" i="31"/>
  <c r="S213" i="31"/>
  <c r="S210" i="31"/>
  <c r="S209" i="31"/>
  <c r="S205" i="31"/>
  <c r="S203" i="31"/>
  <c r="S201" i="31"/>
  <c r="S199" i="31"/>
  <c r="S197" i="31"/>
  <c r="S195" i="31"/>
  <c r="S194" i="31"/>
  <c r="S193" i="31"/>
  <c r="S191" i="31"/>
  <c r="S189" i="31"/>
  <c r="S187" i="31"/>
  <c r="S185" i="31"/>
  <c r="S183" i="31"/>
  <c r="S181" i="31"/>
  <c r="S179" i="31"/>
  <c r="S178" i="31"/>
  <c r="S177" i="31"/>
  <c r="S175"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3" i="31"/>
  <c r="S489" i="31"/>
  <c r="S486" i="31"/>
  <c r="S485" i="31"/>
  <c r="S481" i="31"/>
  <c r="S478" i="31"/>
  <c r="S477" i="31"/>
  <c r="S473" i="31"/>
  <c r="S469" i="31"/>
  <c r="S441" i="31"/>
  <c r="S437" i="31"/>
  <c r="S433" i="31"/>
  <c r="S122" i="31"/>
  <c r="S119" i="31"/>
  <c r="S118" i="31"/>
  <c r="S115" i="31"/>
  <c r="S114" i="31"/>
  <c r="S506" i="31"/>
  <c r="S466" i="31"/>
  <c r="S465" i="31"/>
  <c r="S461" i="31"/>
  <c r="S457" i="31"/>
  <c r="S453" i="31"/>
  <c r="S54" i="31"/>
  <c r="S53" i="31"/>
  <c r="S51" i="31"/>
  <c r="S50" i="31"/>
  <c r="S49" i="31"/>
  <c r="S47" i="31"/>
  <c r="S46" i="31"/>
  <c r="S45" i="31"/>
  <c r="S43" i="31"/>
  <c r="S42" i="31"/>
  <c r="S41" i="31"/>
  <c r="S39" i="31"/>
  <c r="S38" i="31"/>
  <c r="S37" i="31"/>
  <c r="S35" i="31"/>
  <c r="S34" i="31"/>
  <c r="S33" i="31"/>
  <c r="S77" i="31"/>
  <c r="S75" i="31"/>
  <c r="S74" i="31"/>
  <c r="S73" i="31"/>
  <c r="S71" i="31"/>
  <c r="S70" i="31"/>
  <c r="S69" i="31"/>
  <c r="S67" i="31"/>
  <c r="S66" i="31"/>
  <c r="S65" i="31"/>
  <c r="S63" i="31"/>
  <c r="S62" i="31"/>
  <c r="S61" i="31"/>
  <c r="S59" i="31"/>
  <c r="S58" i="31"/>
  <c r="S57" i="31"/>
  <c r="S55" i="31"/>
  <c r="S95" i="31"/>
  <c r="S94" i="31"/>
  <c r="S93" i="31"/>
  <c r="S91" i="31"/>
  <c r="S90" i="31"/>
  <c r="S89" i="31"/>
  <c r="S87" i="31"/>
  <c r="S86" i="31"/>
  <c r="S85" i="31"/>
  <c r="S83" i="31"/>
  <c r="S82" i="31"/>
  <c r="S81" i="31"/>
  <c r="S79" i="31"/>
  <c r="S78" i="31"/>
  <c r="S31" i="31"/>
  <c r="S30" i="31"/>
  <c r="S29" i="31"/>
  <c r="S98" i="31"/>
  <c r="S99" i="31"/>
  <c r="S102" i="31"/>
  <c r="S103" i="31"/>
  <c r="S106" i="31"/>
  <c r="S107" i="31"/>
  <c r="S110" i="31"/>
  <c r="S111" i="31"/>
  <c r="S445" i="31"/>
  <c r="S449" i="31"/>
  <c r="S509"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AA40" i="33" s="1"/>
  <c r="J41" i="33"/>
  <c r="D113" i="33"/>
  <c r="F37" i="33"/>
  <c r="D111" i="33"/>
  <c r="E111" i="33" s="1"/>
  <c r="F111" i="33" s="1"/>
  <c r="S517" i="31"/>
  <c r="S521"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s="1"/>
  <c r="B73" i="35"/>
  <c r="J23" i="35" s="1"/>
  <c r="AC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U34" i="35" s="1"/>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J8" i="34"/>
  <c r="AC8" i="34" s="1"/>
  <c r="H8" i="34"/>
  <c r="U8" i="34" s="1"/>
  <c r="F8" i="34"/>
  <c r="D121" i="33"/>
  <c r="E121" i="33"/>
  <c r="F109" i="33"/>
  <c r="E109" i="33"/>
  <c r="D109" i="33"/>
  <c r="C109" i="33"/>
  <c r="D91" i="33"/>
  <c r="E91" i="33" s="1"/>
  <c r="J27" i="33" s="1"/>
  <c r="W27"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s="1"/>
  <c r="Q39" i="33"/>
  <c r="Z39" i="33" s="1"/>
  <c r="Q38" i="33"/>
  <c r="Z38" i="33" s="1"/>
  <c r="J38" i="33"/>
  <c r="AC38" i="33" s="1"/>
  <c r="H38" i="33"/>
  <c r="AB38" i="33" s="1"/>
  <c r="F38" i="33"/>
  <c r="AA38" i="33" s="1"/>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J45" i="39"/>
  <c r="W45" i="39" s="1"/>
  <c r="J44" i="39"/>
  <c r="AC44" i="39" s="1"/>
  <c r="F36" i="39"/>
  <c r="S36" i="39" s="1"/>
  <c r="H36" i="39"/>
  <c r="AB36" i="39" s="1"/>
  <c r="F35" i="39"/>
  <c r="AA35" i="39"/>
  <c r="J36" i="39"/>
  <c r="AC36" i="39" s="1"/>
  <c r="U9" i="39"/>
  <c r="W40" i="39"/>
  <c r="W25" i="37"/>
  <c r="U30" i="37"/>
  <c r="E103" i="37"/>
  <c r="F103" i="37"/>
  <c r="G103" i="37" s="1"/>
  <c r="H103" i="37" s="1"/>
  <c r="I103" i="37" s="1"/>
  <c r="J103" i="37" s="1"/>
  <c r="K103" i="37" s="1"/>
  <c r="L103" i="37" s="1"/>
  <c r="M103" i="37" s="1"/>
  <c r="F39" i="37"/>
  <c r="S39" i="37" s="1"/>
  <c r="F29" i="36"/>
  <c r="AA29" i="36" s="1"/>
  <c r="F16" i="36"/>
  <c r="AA16" i="36" s="1"/>
  <c r="W28" i="36"/>
  <c r="U31" i="36"/>
  <c r="H22" i="35"/>
  <c r="AB22" i="35"/>
  <c r="AC27" i="35"/>
  <c r="U31" i="35"/>
  <c r="W22" i="35"/>
  <c r="S31" i="35"/>
  <c r="F36" i="34"/>
  <c r="J35" i="34"/>
  <c r="U34" i="34"/>
  <c r="F26" i="33"/>
  <c r="AA26" i="33" s="1"/>
  <c r="U35" i="33"/>
  <c r="S40" i="33"/>
  <c r="H39" i="37"/>
  <c r="AB39" i="37" s="1"/>
  <c r="S27" i="35"/>
  <c r="F11" i="40"/>
  <c r="AA11" i="40"/>
  <c r="H11" i="40"/>
  <c r="AB11" i="40" s="1"/>
  <c r="W8" i="40"/>
  <c r="AB39" i="40"/>
  <c r="AA9" i="40"/>
  <c r="S34" i="40"/>
  <c r="U38"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c r="H36" i="40"/>
  <c r="AB36" i="40" s="1"/>
  <c r="F35" i="40"/>
  <c r="AA35" i="40" s="1"/>
  <c r="H23" i="40"/>
  <c r="AB23" i="40" s="1"/>
  <c r="H17" i="40"/>
  <c r="U17" i="40" s="1"/>
  <c r="J15" i="40"/>
  <c r="W15" i="40" s="1"/>
  <c r="J11" i="40"/>
  <c r="W11" i="40"/>
  <c r="AB8" i="39"/>
  <c r="AC12" i="34"/>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E113" i="33"/>
  <c r="F32" i="33"/>
  <c r="AA32" i="33" s="1"/>
  <c r="J19" i="33"/>
  <c r="AC19" i="33" s="1"/>
  <c r="J15" i="33"/>
  <c r="AC15" i="33" s="1"/>
  <c r="F11" i="33"/>
  <c r="AA11" i="33" s="1"/>
  <c r="U40" i="33"/>
  <c r="F37" i="40"/>
  <c r="AA37" i="40" s="1"/>
  <c r="F36" i="40"/>
  <c r="AA36" i="40"/>
  <c r="H28" i="40"/>
  <c r="U28" i="40" s="1"/>
  <c r="F23" i="40"/>
  <c r="AA23" i="40"/>
  <c r="F17" i="40"/>
  <c r="AA17" i="40" s="1"/>
  <c r="J17" i="40"/>
  <c r="W17" i="40" s="1"/>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c r="J42" i="21"/>
  <c r="AC42" i="21" s="1"/>
  <c r="H42" i="21"/>
  <c r="U42" i="2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s="1"/>
  <c r="J13" i="33"/>
  <c r="W13" i="33" s="1"/>
  <c r="H13" i="33"/>
  <c r="U13" i="33" s="1"/>
  <c r="F13" i="33"/>
  <c r="J29" i="33"/>
  <c r="H29" i="33"/>
  <c r="U29" i="33" s="1"/>
  <c r="F29" i="33"/>
  <c r="S29" i="33" s="1"/>
  <c r="J31" i="33"/>
  <c r="W31" i="33"/>
  <c r="H31" i="33"/>
  <c r="F31" i="33"/>
  <c r="H45" i="33"/>
  <c r="U45" i="33"/>
  <c r="J45" i="33"/>
  <c r="W45" i="33" s="1"/>
  <c r="F45" i="33"/>
  <c r="AA45" i="33" s="1"/>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H30" i="40"/>
  <c r="AB30" i="40" s="1"/>
  <c r="F33" i="40"/>
  <c r="AA33" i="40" s="1"/>
  <c r="H33" i="40"/>
  <c r="U33" i="40" s="1"/>
  <c r="J35" i="40"/>
  <c r="J37" i="40"/>
  <c r="AC37" i="40" s="1"/>
  <c r="H13" i="40"/>
  <c r="U13" i="40" s="1"/>
  <c r="J13" i="40"/>
  <c r="W13" i="40" s="1"/>
  <c r="F13" i="40"/>
  <c r="AA13" i="40" s="1"/>
  <c r="F14" i="37"/>
  <c r="S14" i="37" s="1"/>
  <c r="F27" i="37"/>
  <c r="AA27" i="37" s="1"/>
  <c r="F13" i="39"/>
  <c r="J13" i="39"/>
  <c r="W13" i="39" s="1"/>
  <c r="H13" i="39"/>
  <c r="H14" i="40"/>
  <c r="AB14" i="40" s="1"/>
  <c r="J14" i="40"/>
  <c r="W14" i="40" s="1"/>
  <c r="F14" i="40"/>
  <c r="J14" i="37"/>
  <c r="J27" i="37"/>
  <c r="AC27" i="37"/>
  <c r="AA44" i="33"/>
  <c r="AA14" i="33"/>
  <c r="J36" i="37"/>
  <c r="AC36" i="37" s="1"/>
  <c r="J10" i="36"/>
  <c r="AC10" i="36" s="1"/>
  <c r="AB30" i="21"/>
  <c r="AA14" i="37"/>
  <c r="W31" i="34"/>
  <c r="AB46" i="34"/>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AZ574" i="3" s="1"/>
  <c r="BA572" i="3"/>
  <c r="AZ572" i="3" s="1"/>
  <c r="BA570" i="3"/>
  <c r="AZ570" i="3" s="1"/>
  <c r="BA568" i="3"/>
  <c r="BA566" i="3"/>
  <c r="BA564" i="3"/>
  <c r="BA562" i="3"/>
  <c r="BA560" i="3"/>
  <c r="BA558" i="3"/>
  <c r="AZ558" i="3" s="1"/>
  <c r="BA556" i="3"/>
  <c r="AZ556" i="3" s="1"/>
  <c r="BA554" i="3"/>
  <c r="AZ554" i="3" s="1"/>
  <c r="BA552" i="3"/>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BA512" i="3"/>
  <c r="BA510" i="3"/>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AZ508" i="3" s="1"/>
  <c r="G507" i="3"/>
  <c r="G505" i="3"/>
  <c r="G503" i="3"/>
  <c r="G501" i="3"/>
  <c r="G499" i="3"/>
  <c r="G497" i="3"/>
  <c r="G495" i="3"/>
  <c r="BQ507" i="3"/>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H43" i="33"/>
  <c r="H17" i="37"/>
  <c r="U17" i="37" s="1"/>
  <c r="AB27" i="37"/>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39" i="37"/>
  <c r="U26" i="37"/>
  <c r="W47" i="34"/>
  <c r="AC36" i="34"/>
  <c r="AC31" i="33"/>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A118" i="9"/>
  <c r="J11" i="39"/>
  <c r="W11" i="39" s="1"/>
  <c r="F11" i="39"/>
  <c r="S11" i="39" s="1"/>
  <c r="AA11" i="39"/>
  <c r="G4" i="4"/>
  <c r="I4" i="4"/>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86" i="3"/>
  <c r="AZ500"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AZ361" i="3" s="1"/>
  <c r="BL362" i="3"/>
  <c r="G363" i="3"/>
  <c r="BA365" i="3"/>
  <c r="AZ365" i="3" s="1"/>
  <c r="BL366" i="3"/>
  <c r="G367" i="3"/>
  <c r="BA369" i="3"/>
  <c r="AZ369" i="3" s="1"/>
  <c r="BL370" i="3"/>
  <c r="G371" i="3"/>
  <c r="BA373" i="3"/>
  <c r="AZ373" i="3" s="1"/>
  <c r="BL374" i="3"/>
  <c r="G375" i="3"/>
  <c r="BA377" i="3"/>
  <c r="AZ377" i="3" s="1"/>
  <c r="AZ269" i="3"/>
  <c r="BA379" i="3"/>
  <c r="AZ379" i="3" s="1"/>
  <c r="BL380" i="3"/>
  <c r="G381" i="3"/>
  <c r="BA383" i="3"/>
  <c r="AZ383" i="3" s="1"/>
  <c r="BL384" i="3"/>
  <c r="G385" i="3"/>
  <c r="BA387" i="3"/>
  <c r="BL388" i="3"/>
  <c r="AZ388" i="3" s="1"/>
  <c r="G389" i="3"/>
  <c r="BA391" i="3"/>
  <c r="AZ391" i="3" s="1"/>
  <c r="BL392" i="3"/>
  <c r="G393" i="3"/>
  <c r="BM5" i="3"/>
  <c r="BJ5" i="3"/>
  <c r="BH5" i="3"/>
  <c r="BF5" i="3"/>
  <c r="BD5" i="3"/>
  <c r="AZ341" i="3"/>
  <c r="AC5" i="3"/>
  <c r="AZ506" i="3"/>
  <c r="AZ496" i="3"/>
  <c r="G548" i="3"/>
  <c r="G538" i="3"/>
  <c r="G520" i="3"/>
  <c r="G502" i="3"/>
  <c r="BS5" i="3"/>
  <c r="BP5" i="3"/>
  <c r="G29" i="6" s="1"/>
  <c r="BN5" i="3"/>
  <c r="BK5" i="3"/>
  <c r="BG5" i="3"/>
  <c r="BC5" i="3"/>
  <c r="G17" i="3"/>
  <c r="BA17" i="3"/>
  <c r="BT5" i="3"/>
  <c r="AZ356" i="3"/>
  <c r="BA15" i="3"/>
  <c r="BB5" i="3"/>
  <c r="BR5" i="3"/>
  <c r="AZ380" i="3"/>
  <c r="AZ392" i="3"/>
  <c r="AZ509" i="3"/>
  <c r="G509" i="3"/>
  <c r="BL493" i="3"/>
  <c r="AZ493" i="3"/>
  <c r="U36" i="40"/>
  <c r="F83" i="43"/>
  <c r="H85" i="43" s="1"/>
  <c r="F50" i="43"/>
  <c r="H54" i="43" s="1"/>
  <c r="F72" i="43"/>
  <c r="H75" i="43" s="1"/>
  <c r="U17" i="39"/>
  <c r="S14" i="35"/>
  <c r="U43" i="21"/>
  <c r="U35" i="21"/>
  <c r="AC35" i="21"/>
  <c r="AZ501" i="3"/>
  <c r="W37" i="37"/>
  <c r="W44" i="34"/>
  <c r="AC44" i="34"/>
  <c r="S15" i="37"/>
  <c r="U13" i="37"/>
  <c r="AA12" i="40"/>
  <c r="J37" i="33"/>
  <c r="W37" i="33" s="1"/>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72"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W12" i="33"/>
  <c r="AC12" i="33"/>
  <c r="AA32" i="36"/>
  <c r="S32" i="36"/>
  <c r="U30" i="33"/>
  <c r="AC13" i="34"/>
  <c r="AA47" i="34"/>
  <c r="W28" i="37"/>
  <c r="S19" i="39"/>
  <c r="F12" i="33"/>
  <c r="S12" i="33" s="1"/>
  <c r="H12" i="39"/>
  <c r="AB12" i="39" s="1"/>
  <c r="F39" i="40"/>
  <c r="AZ250" i="3"/>
  <c r="AZ157" i="3"/>
  <c r="B12" i="1"/>
  <c r="E12" i="1" s="1"/>
  <c r="B10" i="1"/>
  <c r="E10" i="1" s="1"/>
  <c r="K12" i="1"/>
  <c r="M12" i="1" s="1"/>
  <c r="S13" i="1"/>
  <c r="AR13" i="1" s="1"/>
  <c r="R13" i="1"/>
  <c r="J51" i="67"/>
  <c r="B41" i="1"/>
  <c r="F48" i="9" s="1"/>
  <c r="O52" i="9" s="1"/>
  <c r="AB37" i="40"/>
  <c r="S35" i="40"/>
  <c r="U35" i="40"/>
  <c r="AC36" i="40"/>
  <c r="AA32" i="40"/>
  <c r="S17" i="40"/>
  <c r="S23" i="40"/>
  <c r="AC17" i="40"/>
  <c r="AC15"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W32" i="33" s="1"/>
  <c r="S46" i="33"/>
  <c r="F87" i="33"/>
  <c r="H25" i="33"/>
  <c r="AB25" i="33" s="1"/>
  <c r="F25" i="33"/>
  <c r="S25" i="33" s="1"/>
  <c r="J23" i="33"/>
  <c r="AC23" i="33" s="1"/>
  <c r="F85" i="33"/>
  <c r="H23" i="33"/>
  <c r="AB23" i="33" s="1"/>
  <c r="F81" i="33"/>
  <c r="F19" i="33"/>
  <c r="S19" i="33" s="1"/>
  <c r="J17" i="33"/>
  <c r="W17" i="33" s="1"/>
  <c r="S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W46" i="33"/>
  <c r="U44" i="33"/>
  <c r="AB44" i="33"/>
  <c r="S30" i="33"/>
  <c r="AA30" i="33"/>
  <c r="AC14" i="33"/>
  <c r="W14" i="33"/>
  <c r="AC30" i="33"/>
  <c r="W30" i="33"/>
  <c r="S31" i="33"/>
  <c r="AA31"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A25" i="33"/>
  <c r="G87" i="33"/>
  <c r="H87" i="33" s="1"/>
  <c r="I87" i="33" s="1"/>
  <c r="J87" i="33" s="1"/>
  <c r="K87" i="33" s="1"/>
  <c r="L87" i="33" s="1"/>
  <c r="M87" i="33" s="1"/>
  <c r="J25" i="33"/>
  <c r="AC25" i="33" s="1"/>
  <c r="F23" i="33"/>
  <c r="G85" i="33"/>
  <c r="H19" i="33"/>
  <c r="AB19" i="33" s="1"/>
  <c r="G81" i="33"/>
  <c r="H17" i="33"/>
  <c r="U17" i="33" s="1"/>
  <c r="F17" i="33"/>
  <c r="S17" i="33" s="1"/>
  <c r="S37" i="21"/>
  <c r="AB15" i="21"/>
  <c r="J23" i="21"/>
  <c r="F85" i="21"/>
  <c r="G85" i="21" s="1"/>
  <c r="H23" i="21"/>
  <c r="S13" i="21"/>
  <c r="D6" i="52"/>
  <c r="AP7" i="1"/>
  <c r="AB45" i="21"/>
  <c r="AB9" i="21"/>
  <c r="U9" i="21"/>
  <c r="AA32" i="21"/>
  <c r="S32" i="21"/>
  <c r="W9" i="21"/>
  <c r="AC9" i="21"/>
  <c r="AB32" i="21"/>
  <c r="U32" i="21"/>
  <c r="A18" i="62"/>
  <c r="B64" i="72" s="1"/>
  <c r="U32" i="39"/>
  <c r="AC32" i="39"/>
  <c r="J63" i="37"/>
  <c r="K63" i="37" s="1"/>
  <c r="L63" i="37" s="1"/>
  <c r="M63" i="37" s="1"/>
  <c r="J11" i="37"/>
  <c r="AC11" i="37" s="1"/>
  <c r="H70" i="34"/>
  <c r="I70" i="34" s="1"/>
  <c r="J70" i="34" s="1"/>
  <c r="K70" i="34" s="1"/>
  <c r="L70" i="34" s="1"/>
  <c r="M70" i="34" s="1"/>
  <c r="J11" i="34"/>
  <c r="W11" i="34" s="1"/>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67"/>
  <c r="D20" i="9"/>
  <c r="M8" i="67"/>
  <c r="M8" i="15"/>
  <c r="E2" i="68"/>
  <c r="B13" i="76"/>
  <c r="F13" i="67"/>
  <c r="F38" i="67"/>
  <c r="M26" i="15"/>
  <c r="F42" i="67"/>
  <c r="B10" i="76"/>
  <c r="F38" i="15"/>
  <c r="B7" i="76"/>
  <c r="F16" i="15"/>
  <c r="D6" i="73"/>
  <c r="J15" i="67"/>
  <c r="F37" i="67"/>
  <c r="E7" i="76"/>
  <c r="L48" i="15"/>
  <c r="F40" i="15"/>
  <c r="F36" i="67"/>
  <c r="M26" i="67"/>
  <c r="F37" i="15"/>
  <c r="M6" i="67"/>
  <c r="L47" i="15"/>
  <c r="C76" i="15"/>
  <c r="E2" i="69"/>
  <c r="E9" i="76"/>
  <c r="D34" i="9"/>
  <c r="L47" i="67"/>
  <c r="M9" i="15"/>
  <c r="F16" i="67"/>
  <c r="E10" i="76"/>
  <c r="F40" i="67"/>
  <c r="F8" i="15"/>
  <c r="J15" i="15"/>
  <c r="L48" i="67"/>
  <c r="M28" i="15"/>
  <c r="M9" i="67"/>
  <c r="M6" i="15"/>
  <c r="B12" i="76"/>
  <c r="E8" i="76"/>
  <c r="F4" i="73"/>
  <c r="F6" i="73"/>
  <c r="M28" i="67"/>
  <c r="M24" i="67"/>
  <c r="F3" i="73"/>
  <c r="F6" i="15"/>
  <c r="E13" i="76"/>
  <c r="F9" i="67"/>
  <c r="F42" i="15"/>
  <c r="F7" i="73"/>
  <c r="C76" i="67"/>
  <c r="E12" i="76"/>
  <c r="F26" i="15"/>
  <c r="D19" i="9"/>
  <c r="B9" i="76"/>
  <c r="F36" i="15"/>
  <c r="M23" i="67"/>
  <c r="F13" i="15"/>
  <c r="M23" i="15"/>
  <c r="F5" i="73"/>
  <c r="B8" i="76"/>
  <c r="B11" i="76"/>
  <c r="AO13" i="1"/>
  <c r="F20" i="31"/>
  <c r="F8" i="67"/>
  <c r="D35" i="9"/>
  <c r="M24" i="15"/>
  <c r="F9" i="15"/>
  <c r="M22" i="15"/>
  <c r="E11" i="76"/>
  <c r="C19" i="9"/>
  <c r="C20" i="9"/>
  <c r="F6" i="67"/>
  <c r="F26" i="67"/>
  <c r="I3" i="82" l="1"/>
  <c r="C33" i="84"/>
  <c r="K8" i="1"/>
  <c r="M8" i="1" s="1"/>
  <c r="K7" i="1"/>
  <c r="D3" i="84"/>
  <c r="S33" i="33"/>
  <c r="H39" i="33"/>
  <c r="AB39" i="33" s="1"/>
  <c r="F39" i="33"/>
  <c r="AA39" i="33" s="1"/>
  <c r="H27" i="33"/>
  <c r="AB27" i="33" s="1"/>
  <c r="F91" i="33"/>
  <c r="G91" i="33" s="1"/>
  <c r="H91" i="33" s="1"/>
  <c r="I91" i="33" s="1"/>
  <c r="J91" i="33" s="1"/>
  <c r="K91" i="33" s="1"/>
  <c r="L91" i="33" s="1"/>
  <c r="M91" i="33" s="1"/>
  <c r="J39" i="33"/>
  <c r="AC39" i="33" s="1"/>
  <c r="W43" i="33"/>
  <c r="S36" i="33"/>
  <c r="AC13" i="33"/>
  <c r="W26" i="33"/>
  <c r="S26" i="33"/>
  <c r="S28" i="33"/>
  <c r="AC28" i="33"/>
  <c r="U25" i="33"/>
  <c r="U15" i="33"/>
  <c r="S43" i="33"/>
  <c r="U42" i="33"/>
  <c r="AB34" i="33"/>
  <c r="W38" i="33"/>
  <c r="W40" i="33"/>
  <c r="U33" i="33"/>
  <c r="W42" i="33"/>
  <c r="S39" i="33"/>
  <c r="U38" i="33"/>
  <c r="AC37" i="33"/>
  <c r="U32" i="33"/>
  <c r="AC32" i="33"/>
  <c r="S32" i="33"/>
  <c r="W25" i="33"/>
  <c r="U23" i="33"/>
  <c r="AA19" i="33"/>
  <c r="W19" i="33"/>
  <c r="AA17" i="33"/>
  <c r="AC17" i="33"/>
  <c r="W15" i="33"/>
  <c r="W9" i="33"/>
  <c r="S42" i="33"/>
  <c r="U39" i="33"/>
  <c r="S38" i="33"/>
  <c r="AC34" i="33"/>
  <c r="AB29" i="33"/>
  <c r="AA29" i="33"/>
  <c r="S27" i="33"/>
  <c r="U9" i="33"/>
  <c r="W8" i="33"/>
  <c r="C40" i="69"/>
  <c r="BI5" i="3"/>
  <c r="BE5" i="3"/>
  <c r="E11" i="6" s="1"/>
  <c r="E60" i="39" s="1"/>
  <c r="BL16" i="3"/>
  <c r="AZ16" i="3" s="1"/>
  <c r="BA14" i="3"/>
  <c r="AZ14" i="3" s="1"/>
  <c r="BO5" i="3"/>
  <c r="F29" i="6" s="1"/>
  <c r="E29" i="6" s="1"/>
  <c r="K15" i="1" s="1"/>
  <c r="A2" i="9"/>
  <c r="A4" i="52"/>
  <c r="B41" i="72" s="1"/>
  <c r="M47" i="9"/>
  <c r="C7" i="35"/>
  <c r="C48" i="35" s="1"/>
  <c r="D48" i="35" s="1"/>
  <c r="C42" i="1"/>
  <c r="C24" i="12" s="1"/>
  <c r="C7" i="36"/>
  <c r="C46" i="36" s="1"/>
  <c r="D46" i="36" s="1"/>
  <c r="E46" i="36" s="1"/>
  <c r="F46" i="36" s="1"/>
  <c r="G46" i="36" s="1"/>
  <c r="H46" i="36" s="1"/>
  <c r="I46" i="36" s="1"/>
  <c r="J46" i="36" s="1"/>
  <c r="C7" i="39"/>
  <c r="C67" i="39" s="1"/>
  <c r="C7" i="34"/>
  <c r="C7" i="21"/>
  <c r="C7" i="37"/>
  <c r="C52" i="37" s="1"/>
  <c r="D52" i="37" s="1"/>
  <c r="AZ357" i="3"/>
  <c r="AZ389" i="3"/>
  <c r="AZ372" i="3"/>
  <c r="AZ499" i="3"/>
  <c r="AZ527" i="3"/>
  <c r="AZ563" i="3"/>
  <c r="AZ571" i="3"/>
  <c r="AZ510" i="3"/>
  <c r="AA14" i="40"/>
  <c r="S14" i="40"/>
  <c r="AC35" i="40"/>
  <c r="W35" i="40"/>
  <c r="AB12" i="40"/>
  <c r="U12" i="40"/>
  <c r="U12" i="35"/>
  <c r="AB12" i="35"/>
  <c r="AC24" i="36"/>
  <c r="W24" i="36"/>
  <c r="U19" i="33"/>
  <c r="AC27" i="33"/>
  <c r="AC23" i="37"/>
  <c r="S23" i="21"/>
  <c r="W15" i="21"/>
  <c r="S25" i="21"/>
  <c r="AA25" i="21"/>
  <c r="AZ512" i="3"/>
  <c r="S13" i="33"/>
  <c r="AA13" i="33"/>
  <c r="AB27" i="40"/>
  <c r="AA34" i="33"/>
  <c r="AZ342" i="3"/>
  <c r="AZ337" i="3"/>
  <c r="AZ309" i="3"/>
  <c r="AZ552" i="3"/>
  <c r="AZ584" i="3"/>
  <c r="AC31" i="40"/>
  <c r="W31" i="40"/>
  <c r="AB36" i="33"/>
  <c r="AZ320" i="3"/>
  <c r="AZ376" i="3"/>
  <c r="S14" i="34"/>
  <c r="AA14" i="34"/>
  <c r="AZ387" i="3"/>
  <c r="AZ374" i="3"/>
  <c r="AZ362" i="3"/>
  <c r="AZ338" i="3"/>
  <c r="AZ390" i="3"/>
  <c r="AZ371" i="3"/>
  <c r="AZ351" i="3"/>
  <c r="AZ336" i="3"/>
  <c r="AZ305" i="3"/>
  <c r="AZ360" i="3"/>
  <c r="W40" i="37"/>
  <c r="AZ539" i="3"/>
  <c r="AZ529" i="3"/>
  <c r="AZ537" i="3"/>
  <c r="AZ518" i="3"/>
  <c r="AZ526" i="3"/>
  <c r="AZ546" i="3"/>
  <c r="AZ564" i="3"/>
  <c r="AZ580" i="3"/>
  <c r="S11" i="36"/>
  <c r="AB26" i="33"/>
  <c r="H9" i="34"/>
  <c r="J38" i="40"/>
  <c r="BL550" i="3"/>
  <c r="AZ413" i="3"/>
  <c r="AC11" i="39"/>
  <c r="AZ349" i="3"/>
  <c r="AZ318" i="3"/>
  <c r="AZ304" i="3"/>
  <c r="AZ306" i="3"/>
  <c r="U11" i="33"/>
  <c r="AZ535" i="3"/>
  <c r="AZ577" i="3"/>
  <c r="AZ557" i="3"/>
  <c r="AZ513" i="3"/>
  <c r="AZ575" i="3"/>
  <c r="AZ566" i="3"/>
  <c r="AZ582" i="3"/>
  <c r="AZ540" i="3"/>
  <c r="AZ502" i="3"/>
  <c r="S45" i="33"/>
  <c r="U46" i="33"/>
  <c r="S28" i="34"/>
  <c r="F23" i="35"/>
  <c r="U9" i="40"/>
  <c r="W33" i="33"/>
  <c r="W28" i="35"/>
  <c r="J33" i="36"/>
  <c r="AC33" i="36" s="1"/>
  <c r="W31" i="37"/>
  <c r="J35" i="39"/>
  <c r="AC35" i="39" s="1"/>
  <c r="F45" i="39"/>
  <c r="G585" i="3"/>
  <c r="BL587" i="3"/>
  <c r="AZ587" i="3" s="1"/>
  <c r="BL586" i="3"/>
  <c r="AZ586" i="3" s="1"/>
  <c r="J9" i="34"/>
  <c r="H12" i="34"/>
  <c r="H23" i="35"/>
  <c r="J9" i="36"/>
  <c r="H24" i="36"/>
  <c r="F44" i="39"/>
  <c r="G552" i="3"/>
  <c r="AC28" i="34"/>
  <c r="AZ568" i="3"/>
  <c r="F12" i="35"/>
  <c r="J12" i="35"/>
  <c r="F38" i="40"/>
  <c r="AZ400" i="3"/>
  <c r="AZ487" i="3"/>
  <c r="BL585" i="3"/>
  <c r="AZ585" i="3" s="1"/>
  <c r="F25" i="37"/>
  <c r="BA551" i="3"/>
  <c r="AZ551" i="3" s="1"/>
  <c r="BA550" i="3"/>
  <c r="AZ550" i="3" s="1"/>
  <c r="BL548" i="3"/>
  <c r="AZ548" i="3" s="1"/>
  <c r="G398" i="3"/>
  <c r="G399" i="3"/>
  <c r="BL400" i="3"/>
  <c r="BL408" i="3"/>
  <c r="BL411" i="3"/>
  <c r="BL413" i="3"/>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L350" i="3"/>
  <c r="BA353" i="3"/>
  <c r="AZ353" i="3" s="1"/>
  <c r="BL353" i="3"/>
  <c r="AZ125" i="3"/>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AZ432" i="3" s="1"/>
  <c r="BA434" i="3"/>
  <c r="BA436" i="3"/>
  <c r="BA438" i="3"/>
  <c r="G442" i="3"/>
  <c r="BA446" i="3"/>
  <c r="BA450" i="3"/>
  <c r="BA453" i="3"/>
  <c r="BA455" i="3"/>
  <c r="AZ455" i="3" s="1"/>
  <c r="BL457" i="3"/>
  <c r="AZ457" i="3" s="1"/>
  <c r="BL460" i="3"/>
  <c r="AZ460" i="3" s="1"/>
  <c r="BL461" i="3"/>
  <c r="AZ461" i="3" s="1"/>
  <c r="BL463" i="3"/>
  <c r="G465" i="3"/>
  <c r="BA471" i="3"/>
  <c r="AZ471" i="3" s="1"/>
  <c r="G486" i="3"/>
  <c r="G488" i="3"/>
  <c r="BL317" i="3"/>
  <c r="G318" i="3"/>
  <c r="BA349" i="3"/>
  <c r="BL15" i="3"/>
  <c r="AZ15" i="3" s="1"/>
  <c r="BA398" i="3"/>
  <c r="AZ398" i="3" s="1"/>
  <c r="BA399" i="3"/>
  <c r="AZ399" i="3" s="1"/>
  <c r="BL401" i="3"/>
  <c r="AZ401" i="3" s="1"/>
  <c r="BL404" i="3"/>
  <c r="BL405" i="3"/>
  <c r="AZ405" i="3" s="1"/>
  <c r="BL407" i="3"/>
  <c r="BA412" i="3"/>
  <c r="AZ412" i="3" s="1"/>
  <c r="BA414" i="3"/>
  <c r="BA415" i="3"/>
  <c r="AZ415" i="3" s="1"/>
  <c r="BA416" i="3"/>
  <c r="AZ416" i="3" s="1"/>
  <c r="BA418" i="3"/>
  <c r="AZ418" i="3" s="1"/>
  <c r="BA421" i="3"/>
  <c r="BA423" i="3"/>
  <c r="AZ423" i="3" s="1"/>
  <c r="BA425" i="3"/>
  <c r="AZ425" i="3" s="1"/>
  <c r="BA426" i="3"/>
  <c r="BA427" i="3"/>
  <c r="AZ427" i="3" s="1"/>
  <c r="BA433" i="3"/>
  <c r="AZ433" i="3" s="1"/>
  <c r="BA435" i="3"/>
  <c r="BL437" i="3"/>
  <c r="AZ437" i="3" s="1"/>
  <c r="G439" i="3"/>
  <c r="BL441" i="3"/>
  <c r="AZ441" i="3" s="1"/>
  <c r="BL442" i="3"/>
  <c r="BL444" i="3"/>
  <c r="AZ444" i="3" s="1"/>
  <c r="AZ451" i="3"/>
  <c r="AZ454" i="3"/>
  <c r="AZ459" i="3"/>
  <c r="AZ469" i="3"/>
  <c r="AZ483" i="3"/>
  <c r="BL346" i="3"/>
  <c r="AZ346" i="3" s="1"/>
  <c r="G349" i="3"/>
  <c r="BL367" i="3"/>
  <c r="BA368" i="3"/>
  <c r="AZ368" i="3" s="1"/>
  <c r="BL368" i="3"/>
  <c r="BA374" i="3"/>
  <c r="AZ270" i="3"/>
  <c r="AZ403" i="3"/>
  <c r="AZ404" i="3"/>
  <c r="AZ407" i="3"/>
  <c r="AZ419" i="3"/>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AZ29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9" i="3"/>
  <c r="BA302" i="3"/>
  <c r="G115" i="3"/>
  <c r="BA116" i="3"/>
  <c r="AZ116" i="3" s="1"/>
  <c r="BA121" i="3"/>
  <c r="AZ121" i="3" s="1"/>
  <c r="BL121" i="3"/>
  <c r="G127" i="3"/>
  <c r="BA133" i="3"/>
  <c r="AZ133" i="3" s="1"/>
  <c r="G136" i="3"/>
  <c r="BL161" i="3"/>
  <c r="BA367" i="3"/>
  <c r="AZ367" i="3" s="1"/>
  <c r="BA370" i="3"/>
  <c r="AZ370" i="3" s="1"/>
  <c r="BA386" i="3"/>
  <c r="AZ386" i="3" s="1"/>
  <c r="BA216" i="3"/>
  <c r="AZ216" i="3" s="1"/>
  <c r="BA218" i="3"/>
  <c r="AZ218" i="3" s="1"/>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AZ249" i="3" s="1"/>
  <c r="BL249" i="3"/>
  <c r="BA251" i="3"/>
  <c r="AZ251" i="3" s="1"/>
  <c r="BL251" i="3"/>
  <c r="BA253" i="3"/>
  <c r="BL260" i="3"/>
  <c r="BL263" i="3"/>
  <c r="AZ263" i="3" s="1"/>
  <c r="BL270" i="3"/>
  <c r="BA272" i="3"/>
  <c r="AZ272" i="3" s="1"/>
  <c r="BA277" i="3"/>
  <c r="AZ277" i="3" s="1"/>
  <c r="BL277" i="3"/>
  <c r="BA280" i="3"/>
  <c r="AZ280" i="3" s="1"/>
  <c r="BA283" i="3"/>
  <c r="AZ283" i="3" s="1"/>
  <c r="BA284" i="3"/>
  <c r="AZ284" i="3" s="1"/>
  <c r="BL290" i="3"/>
  <c r="BL291" i="3"/>
  <c r="AZ291" i="3" s="1"/>
  <c r="BL293" i="3"/>
  <c r="BL294" i="3"/>
  <c r="BA297" i="3"/>
  <c r="AZ297" i="3" s="1"/>
  <c r="BL297" i="3"/>
  <c r="AZ301" i="3"/>
  <c r="BL181" i="3"/>
  <c r="BA339" i="3"/>
  <c r="AZ339" i="3" s="1"/>
  <c r="G343" i="3"/>
  <c r="G347" i="3"/>
  <c r="BA348" i="3"/>
  <c r="BA350" i="3"/>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6" i="3"/>
  <c r="BA278" i="3"/>
  <c r="AZ278" i="3" s="1"/>
  <c r="G281" i="3"/>
  <c r="BA282" i="3"/>
  <c r="BL282" i="3"/>
  <c r="G286" i="3"/>
  <c r="BL286" i="3"/>
  <c r="AZ286" i="3" s="1"/>
  <c r="G289" i="3"/>
  <c r="G290" i="3"/>
  <c r="G291" i="3"/>
  <c r="BA296" i="3"/>
  <c r="G299" i="3"/>
  <c r="BL300" i="3"/>
  <c r="BL122" i="3"/>
  <c r="BA126" i="3"/>
  <c r="BA145" i="3"/>
  <c r="BA156" i="3"/>
  <c r="AZ156" i="3" s="1"/>
  <c r="BA177" i="3"/>
  <c r="AZ177" i="3" s="1"/>
  <c r="G190" i="3"/>
  <c r="BL198" i="3"/>
  <c r="C44" i="71"/>
  <c r="D43" i="71"/>
  <c r="C52" i="71"/>
  <c r="D51" i="71"/>
  <c r="BA298" i="3"/>
  <c r="AZ298" i="3" s="1"/>
  <c r="BL301" i="3"/>
  <c r="BL302" i="3"/>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BA193" i="3"/>
  <c r="BA196" i="3"/>
  <c r="AZ196" i="3" s="1"/>
  <c r="G203" i="3"/>
  <c r="BA205" i="3"/>
  <c r="AZ205" i="3" s="1"/>
  <c r="BL20" i="3"/>
  <c r="BA21" i="3"/>
  <c r="AZ21" i="3" s="1"/>
  <c r="BA25" i="3"/>
  <c r="BA26" i="3"/>
  <c r="BL28" i="3"/>
  <c r="BA29" i="3"/>
  <c r="AZ29" i="3" s="1"/>
  <c r="G38" i="3"/>
  <c r="BA38" i="3"/>
  <c r="AZ38" i="3" s="1"/>
  <c r="BL40" i="3"/>
  <c r="BL41" i="3"/>
  <c r="AZ41" i="3" s="1"/>
  <c r="BA52" i="3"/>
  <c r="AZ52" i="3" s="1"/>
  <c r="BA53" i="3"/>
  <c r="AZ53" i="3" s="1"/>
  <c r="BA54" i="3"/>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G37" i="3"/>
  <c r="BA43" i="3"/>
  <c r="BL47" i="3"/>
  <c r="AZ47" i="3" s="1"/>
  <c r="G49" i="3"/>
  <c r="BL54" i="3"/>
  <c r="BA67" i="3"/>
  <c r="AZ67" i="3" s="1"/>
  <c r="D31" i="71"/>
  <c r="C32" i="71"/>
  <c r="C55" i="71"/>
  <c r="D54"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AZ31" i="3" s="1"/>
  <c r="BA40" i="3"/>
  <c r="G46" i="3"/>
  <c r="BL48" i="3"/>
  <c r="BA51" i="3"/>
  <c r="BA65" i="3"/>
  <c r="AZ65" i="3" s="1"/>
  <c r="N67" i="71"/>
  <c r="B66" i="71"/>
  <c r="F66" i="71"/>
  <c r="Q67" i="71"/>
  <c r="V24" i="71"/>
  <c r="E23" i="71"/>
  <c r="E22" i="71" s="1"/>
  <c r="E21" i="71" s="1"/>
  <c r="E20" i="71" s="1"/>
  <c r="BL55" i="3"/>
  <c r="AZ55" i="3" s="1"/>
  <c r="G58" i="3"/>
  <c r="BA59" i="3"/>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O67" i="71"/>
  <c r="AA28" i="71"/>
  <c r="AB27" i="71"/>
  <c r="E75" i="71"/>
  <c r="E74" i="71" s="1"/>
  <c r="AB25" i="71"/>
  <c r="X26" i="71"/>
  <c r="Y25" i="71"/>
  <c r="Z25" i="71" s="1"/>
  <c r="X38" i="71"/>
  <c r="Y29" i="71"/>
  <c r="Z29" i="71" s="1"/>
  <c r="N68" i="71"/>
  <c r="E38" i="71"/>
  <c r="E39" i="71" s="1"/>
  <c r="E40" i="71" s="1"/>
  <c r="U40" i="71" s="1"/>
  <c r="B34" i="71"/>
  <c r="B35" i="71" s="1"/>
  <c r="B36" i="71" s="1"/>
  <c r="S36" i="71" s="1"/>
  <c r="AB32" i="71"/>
  <c r="X33" i="71"/>
  <c r="AB37" i="71"/>
  <c r="BL56" i="3"/>
  <c r="BA58" i="3"/>
  <c r="AZ58" i="3" s="1"/>
  <c r="BL59" i="3"/>
  <c r="BL60" i="3"/>
  <c r="BA61" i="3"/>
  <c r="AZ61" i="3" s="1"/>
  <c r="BA68" i="3"/>
  <c r="BA73" i="3"/>
  <c r="BA80" i="3"/>
  <c r="BL84" i="3"/>
  <c r="BA103" i="3"/>
  <c r="AZ103" i="3" s="1"/>
  <c r="BA104" i="3"/>
  <c r="BA106" i="3"/>
  <c r="BL108"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33" i="3"/>
  <c r="G34" i="3"/>
  <c r="BA37" i="3"/>
  <c r="G39" i="3"/>
  <c r="BL39" i="3"/>
  <c r="AZ39" i="3" s="1"/>
  <c r="G43" i="3"/>
  <c r="G44" i="3"/>
  <c r="BA45" i="3"/>
  <c r="AZ45" i="3" s="1"/>
  <c r="BA46" i="3"/>
  <c r="BL49" i="3"/>
  <c r="AZ49" i="3"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BA90" i="3"/>
  <c r="BL94" i="3"/>
  <c r="AZ94" i="3" s="1"/>
  <c r="AZ100" i="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H16" i="1"/>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I1" i="73"/>
  <c r="B39" i="1" s="1"/>
  <c r="F51" i="67"/>
  <c r="F65" i="67"/>
  <c r="J53" i="67"/>
  <c r="J57" i="67"/>
  <c r="J55" i="67" s="1"/>
  <c r="J58" i="67" s="1"/>
  <c r="Q50" i="67" s="1"/>
  <c r="L56" i="67"/>
  <c r="I54" i="67"/>
  <c r="F51" i="15"/>
  <c r="F66" i="67"/>
  <c r="L59" i="15"/>
  <c r="N59" i="15"/>
  <c r="L58" i="15"/>
  <c r="M59" i="15"/>
  <c r="F66" i="15"/>
  <c r="Q71" i="67"/>
  <c r="F64" i="15"/>
  <c r="D103" i="9"/>
  <c r="C27" i="67"/>
  <c r="C27" i="15"/>
  <c r="F65" i="15"/>
  <c r="G20" i="9"/>
  <c r="C103" i="9"/>
  <c r="N59" i="67"/>
  <c r="L59" i="67"/>
  <c r="L58" i="67"/>
  <c r="M59" i="67"/>
  <c r="B13" i="70"/>
  <c r="F68" i="67"/>
  <c r="F64" i="67"/>
  <c r="F68" i="15"/>
  <c r="C36" i="68"/>
  <c r="D9" i="69"/>
  <c r="C36" i="69"/>
  <c r="D9" i="68"/>
  <c r="F7" i="15"/>
  <c r="M29" i="15"/>
  <c r="F43" i="67"/>
  <c r="F43" i="15"/>
  <c r="F7" i="67"/>
  <c r="M29" i="67"/>
  <c r="C16" i="67"/>
  <c r="D7" i="73"/>
  <c r="D4" i="73"/>
  <c r="D3" i="73"/>
  <c r="D5" i="73"/>
  <c r="F31" i="67" l="1"/>
  <c r="M7" i="67"/>
  <c r="J6" i="67" s="1"/>
  <c r="C6" i="67"/>
  <c r="F50" i="67"/>
  <c r="F59" i="67" s="1"/>
  <c r="F71" i="15"/>
  <c r="F71" i="67"/>
  <c r="M7" i="15"/>
  <c r="J6" i="15" s="1"/>
  <c r="J18" i="15" s="1"/>
  <c r="C6" i="15"/>
  <c r="F50" i="15"/>
  <c r="F31" i="15"/>
  <c r="M7" i="1"/>
  <c r="Q16" i="1"/>
  <c r="F27" i="69" s="1"/>
  <c r="C47" i="69" s="1"/>
  <c r="D45" i="69" s="1"/>
  <c r="H33" i="84"/>
  <c r="F33" i="84"/>
  <c r="J33" i="84"/>
  <c r="C11" i="82"/>
  <c r="C8" i="82"/>
  <c r="W39" i="33"/>
  <c r="U27" i="33"/>
  <c r="G26" i="43"/>
  <c r="E15" i="6"/>
  <c r="E64" i="39" s="1"/>
  <c r="N370" i="46"/>
  <c r="E10" i="6"/>
  <c r="E14" i="6"/>
  <c r="E28" i="6"/>
  <c r="K14" i="1" s="1"/>
  <c r="K16" i="1" s="1"/>
  <c r="P6" i="1"/>
  <c r="C13" i="12" s="1"/>
  <c r="F30" i="6"/>
  <c r="J26" i="43"/>
  <c r="F26" i="43"/>
  <c r="D26" i="43" s="1"/>
  <c r="C25" i="43" s="1"/>
  <c r="E26" i="43"/>
  <c r="K46" i="36"/>
  <c r="L46" i="36" s="1"/>
  <c r="M46" i="36" s="1"/>
  <c r="N46" i="36" s="1"/>
  <c r="O46" i="36" s="1"/>
  <c r="J7" i="36"/>
  <c r="C40" i="71"/>
  <c r="D39" i="71"/>
  <c r="C56" i="71"/>
  <c r="D55" i="71"/>
  <c r="T52" i="71"/>
  <c r="D52" i="71"/>
  <c r="W12" i="35"/>
  <c r="AC12" i="35"/>
  <c r="U23" i="35"/>
  <c r="AB23" i="35"/>
  <c r="C70" i="71"/>
  <c r="D70" i="71" s="1"/>
  <c r="D71" i="71"/>
  <c r="AZ51" i="3"/>
  <c r="T32" i="71"/>
  <c r="D32" i="71"/>
  <c r="AZ28" i="3"/>
  <c r="AZ25" i="3"/>
  <c r="AZ150" i="3"/>
  <c r="AZ282" i="3"/>
  <c r="AZ244" i="3"/>
  <c r="AZ239" i="3"/>
  <c r="AZ302" i="3"/>
  <c r="AZ421" i="3"/>
  <c r="AZ414" i="3"/>
  <c r="AZ417" i="3"/>
  <c r="AA44" i="39"/>
  <c r="S44" i="39"/>
  <c r="U12" i="34"/>
  <c r="AB12" i="34"/>
  <c r="AA23" i="35"/>
  <c r="S23" i="35"/>
  <c r="G5" i="3"/>
  <c r="B3" i="3" s="1"/>
  <c r="E212" i="3" s="1"/>
  <c r="AZ101" i="3"/>
  <c r="T28" i="71"/>
  <c r="D28" i="71"/>
  <c r="U28" i="71" s="1"/>
  <c r="C27" i="71"/>
  <c r="D79" i="71"/>
  <c r="C78" i="71"/>
  <c r="D78" i="71" s="1"/>
  <c r="N65" i="71"/>
  <c r="N66" i="71"/>
  <c r="AZ130" i="3"/>
  <c r="AZ27" i="3"/>
  <c r="AZ178" i="3"/>
  <c r="AZ118" i="3"/>
  <c r="D44" i="71"/>
  <c r="T44" i="71"/>
  <c r="AZ126" i="3"/>
  <c r="AZ350" i="3"/>
  <c r="AZ453" i="3"/>
  <c r="AZ408" i="3"/>
  <c r="AB24" i="36"/>
  <c r="U24" i="36"/>
  <c r="AC9" i="34"/>
  <c r="W9" i="34"/>
  <c r="S45" i="39"/>
  <c r="AA45" i="39"/>
  <c r="AC38" i="40"/>
  <c r="W38" i="40"/>
  <c r="D83" i="71"/>
  <c r="C82" i="71"/>
  <c r="D82" i="71" s="1"/>
  <c r="O65" i="71"/>
  <c r="D66" i="71"/>
  <c r="O66" i="71"/>
  <c r="AZ108" i="3"/>
  <c r="AZ59" i="3"/>
  <c r="AZ435" i="3"/>
  <c r="AA25" i="37"/>
  <c r="S25" i="37"/>
  <c r="AA38" i="40"/>
  <c r="S38" i="40"/>
  <c r="AC9" i="36"/>
  <c r="W9" i="36"/>
  <c r="U9" i="34"/>
  <c r="AB9" i="34"/>
  <c r="G16" i="1"/>
  <c r="F10" i="39" s="1"/>
  <c r="AA10" i="39" s="1"/>
  <c r="J7" i="37"/>
  <c r="K1" i="73"/>
  <c r="E54" i="3"/>
  <c r="E196" i="3"/>
  <c r="E316" i="3"/>
  <c r="E559" i="3"/>
  <c r="E549" i="3"/>
  <c r="E585" i="3"/>
  <c r="AR6" i="3"/>
  <c r="E439" i="3"/>
  <c r="E361" i="3"/>
  <c r="E301" i="3"/>
  <c r="E495" i="3"/>
  <c r="AK6" i="3"/>
  <c r="E560" i="3"/>
  <c r="E465" i="3"/>
  <c r="E214" i="3"/>
  <c r="E368" i="3"/>
  <c r="E327" i="3"/>
  <c r="E489" i="3"/>
  <c r="E273" i="3"/>
  <c r="E109" i="3"/>
  <c r="E431" i="3"/>
  <c r="E570" i="3"/>
  <c r="E387" i="3"/>
  <c r="E445" i="3"/>
  <c r="E263" i="3"/>
  <c r="E385" i="3"/>
  <c r="E148" i="3"/>
  <c r="E296" i="3"/>
  <c r="AA26" i="37"/>
  <c r="S26" i="37"/>
  <c r="BA5" i="3"/>
  <c r="E27" i="6" s="1"/>
  <c r="C19" i="71"/>
  <c r="T20" i="71"/>
  <c r="D20" i="71"/>
  <c r="U20" i="71" s="1"/>
  <c r="AZ5" i="3"/>
  <c r="AY6" i="3" s="1"/>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F31" i="6"/>
  <c r="E51" i="40"/>
  <c r="E16" i="6"/>
  <c r="E58" i="40"/>
  <c r="E62" i="39"/>
  <c r="D5" i="43"/>
  <c r="C7" i="43"/>
  <c r="C5" i="43" s="1"/>
  <c r="D10" i="52"/>
  <c r="D125" i="9"/>
  <c r="D11" i="52" s="1"/>
  <c r="B7" i="74"/>
  <c r="C7" i="74" s="1"/>
  <c r="F67" i="39"/>
  <c r="H7" i="37"/>
  <c r="AB7" i="37" s="1"/>
  <c r="T42" i="37" s="1"/>
  <c r="G42" i="37" s="1"/>
  <c r="H7" i="33"/>
  <c r="J7" i="33"/>
  <c r="D65" i="40"/>
  <c r="E63" i="40"/>
  <c r="F48" i="35"/>
  <c r="S7" i="36"/>
  <c r="AC7" i="37"/>
  <c r="W7" i="37"/>
  <c r="U7" i="36"/>
  <c r="F7" i="33"/>
  <c r="E58" i="21"/>
  <c r="AC7" i="36"/>
  <c r="V36" i="36" s="1"/>
  <c r="I36" i="36" s="1"/>
  <c r="W7" i="36"/>
  <c r="F7" i="37"/>
  <c r="M17" i="67"/>
  <c r="M17" i="15"/>
  <c r="F59" i="15"/>
  <c r="P28" i="43"/>
  <c r="B66" i="40" s="1"/>
  <c r="P25" i="43"/>
  <c r="P29" i="43"/>
  <c r="P27" i="43"/>
  <c r="B70" i="39" s="1"/>
  <c r="C49" i="15"/>
  <c r="C32" i="67"/>
  <c r="C32" i="9"/>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G1" i="73"/>
  <c r="C16" i="15"/>
  <c r="AE6" i="1"/>
  <c r="F41" i="67" s="1"/>
  <c r="F45" i="69" l="1"/>
  <c r="C49" i="67"/>
  <c r="C29" i="69"/>
  <c r="D27" i="69" s="1"/>
  <c r="J5" i="15"/>
  <c r="J24" i="15" s="1"/>
  <c r="O7" i="1"/>
  <c r="P7" i="1" s="1"/>
  <c r="AC33" i="84"/>
  <c r="V48" i="84" s="1"/>
  <c r="I48" i="84" s="1"/>
  <c r="I52" i="84" s="1"/>
  <c r="J52" i="84" s="1"/>
  <c r="W33" i="84"/>
  <c r="C9" i="82"/>
  <c r="C12" i="82"/>
  <c r="C10" i="82"/>
  <c r="S33" i="84"/>
  <c r="AA33" i="84"/>
  <c r="R48" i="84" s="1"/>
  <c r="U33" i="84"/>
  <c r="AB33" i="84"/>
  <c r="T48" i="84" s="1"/>
  <c r="G48" i="84" s="1"/>
  <c r="M14" i="1"/>
  <c r="K26" i="6"/>
  <c r="M26" i="6" s="1"/>
  <c r="I26" i="6" s="1"/>
  <c r="S26" i="6" s="1"/>
  <c r="E60" i="40"/>
  <c r="J10" i="40"/>
  <c r="AC10" i="40" s="1"/>
  <c r="S10" i="39"/>
  <c r="H10" i="40"/>
  <c r="AB10" i="40" s="1"/>
  <c r="F10" i="40"/>
  <c r="S10" i="40" s="1"/>
  <c r="E63" i="39"/>
  <c r="E59" i="40"/>
  <c r="E508" i="3"/>
  <c r="E573" i="3"/>
  <c r="E437" i="3"/>
  <c r="E141" i="3"/>
  <c r="E131" i="3"/>
  <c r="E200" i="3"/>
  <c r="E278" i="3"/>
  <c r="AJ6" i="3"/>
  <c r="E345" i="3"/>
  <c r="E106" i="3"/>
  <c r="E568" i="3"/>
  <c r="E261" i="3"/>
  <c r="E441" i="3"/>
  <c r="E99" i="3"/>
  <c r="E238" i="3"/>
  <c r="E112" i="3"/>
  <c r="E275" i="3"/>
  <c r="E246" i="3"/>
  <c r="E535" i="3"/>
  <c r="E335" i="3"/>
  <c r="E247" i="3"/>
  <c r="E217" i="3"/>
  <c r="E28" i="3"/>
  <c r="Z6" i="3"/>
  <c r="E315" i="3"/>
  <c r="E587" i="3"/>
  <c r="E228" i="3"/>
  <c r="E124" i="3"/>
  <c r="E503" i="3"/>
  <c r="E380" i="3"/>
  <c r="E410" i="3"/>
  <c r="E447" i="3"/>
  <c r="E562" i="3"/>
  <c r="E114" i="3"/>
  <c r="E236" i="3"/>
  <c r="E426" i="3"/>
  <c r="E163" i="3"/>
  <c r="E102" i="3"/>
  <c r="E191" i="3"/>
  <c r="E69" i="3"/>
  <c r="E514" i="3"/>
  <c r="E322" i="3"/>
  <c r="E211" i="3"/>
  <c r="E400" i="3"/>
  <c r="E227" i="3"/>
  <c r="E454" i="3"/>
  <c r="K6" i="3"/>
  <c r="E77" i="3"/>
  <c r="E134" i="3"/>
  <c r="E185" i="3"/>
  <c r="E337" i="3"/>
  <c r="E210" i="3"/>
  <c r="E351" i="3"/>
  <c r="E245" i="3"/>
  <c r="E558" i="3"/>
  <c r="S6" i="3"/>
  <c r="E413" i="3"/>
  <c r="E428" i="3"/>
  <c r="H10" i="39"/>
  <c r="U10" i="39" s="1"/>
  <c r="J10" i="39"/>
  <c r="W10" i="39" s="1"/>
  <c r="E159" i="3"/>
  <c r="E291" i="3"/>
  <c r="E529" i="3"/>
  <c r="E149" i="3"/>
  <c r="L6" i="3"/>
  <c r="E233" i="3"/>
  <c r="E533" i="3"/>
  <c r="E305" i="3"/>
  <c r="E477" i="3"/>
  <c r="E72" i="3"/>
  <c r="E453" i="3"/>
  <c r="N6" i="3"/>
  <c r="E73" i="3"/>
  <c r="E237" i="3"/>
  <c r="E367" i="3"/>
  <c r="E461" i="3"/>
  <c r="E244" i="3"/>
  <c r="E543" i="3"/>
  <c r="E9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336" i="3"/>
  <c r="E117" i="3"/>
  <c r="E294" i="3"/>
  <c r="E229" i="3"/>
  <c r="E366" i="3"/>
  <c r="E121" i="3"/>
  <c r="E448" i="3"/>
  <c r="E580" i="3"/>
  <c r="E429" i="3"/>
  <c r="E177" i="3"/>
  <c r="E280" i="3"/>
  <c r="E302" i="3"/>
  <c r="E321" i="3"/>
  <c r="E285" i="3"/>
  <c r="E319" i="3"/>
  <c r="E92" i="3"/>
  <c r="E411" i="3"/>
  <c r="E14" i="3"/>
  <c r="E537" i="3"/>
  <c r="E224" i="3"/>
  <c r="E127" i="3"/>
  <c r="E87" i="3"/>
  <c r="E374" i="3"/>
  <c r="E48" i="3"/>
  <c r="E24" i="3"/>
  <c r="E365" i="3"/>
  <c r="E392" i="3"/>
  <c r="E108" i="3"/>
  <c r="E105" i="3"/>
  <c r="E420" i="3"/>
  <c r="E235" i="3"/>
  <c r="E310" i="3"/>
  <c r="E554"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293" i="3"/>
  <c r="E550" i="3"/>
  <c r="E320" i="3"/>
  <c r="E396" i="3"/>
  <c r="E125" i="3"/>
  <c r="E88" i="3"/>
  <c r="AG6" i="3"/>
  <c r="E394" i="3"/>
  <c r="AE6" i="3"/>
  <c r="E120" i="3"/>
  <c r="E353" i="3"/>
  <c r="E17" i="3"/>
  <c r="E338" i="3"/>
  <c r="E359" i="3"/>
  <c r="E53" i="3"/>
  <c r="E71" i="3"/>
  <c r="U6" i="3"/>
  <c r="E357" i="3"/>
  <c r="W6" i="3"/>
  <c r="E157" i="3"/>
  <c r="E307" i="3"/>
  <c r="E195" i="3"/>
  <c r="E584" i="3"/>
  <c r="E446" i="3"/>
  <c r="E58" i="3"/>
  <c r="E62" i="3"/>
  <c r="E38" i="3"/>
  <c r="E401" i="3"/>
  <c r="E16" i="3"/>
  <c r="E408" i="3"/>
  <c r="AL6" i="3"/>
  <c r="E64" i="3"/>
  <c r="E442" i="3"/>
  <c r="E175" i="3"/>
  <c r="E331" i="3"/>
  <c r="E27" i="3"/>
  <c r="E505" i="3"/>
  <c r="E515" i="3"/>
  <c r="E269" i="3"/>
  <c r="E318" i="3"/>
  <c r="E111" i="3"/>
  <c r="E571" i="3"/>
  <c r="E458" i="3"/>
  <c r="E45" i="3"/>
  <c r="E85" i="3"/>
  <c r="E382" i="3"/>
  <c r="E415" i="3"/>
  <c r="E551" i="3"/>
  <c r="E239" i="3"/>
  <c r="E334" i="3"/>
  <c r="E581" i="3"/>
  <c r="E252" i="3"/>
  <c r="E203" i="3"/>
  <c r="E481" i="3"/>
  <c r="E434" i="3"/>
  <c r="E303" i="3"/>
  <c r="E304" i="3"/>
  <c r="E523" i="3"/>
  <c r="E328" i="3"/>
  <c r="E317" i="3"/>
  <c r="E547" i="3"/>
  <c r="E207" i="3"/>
  <c r="E168" i="3"/>
  <c r="E474" i="3"/>
  <c r="E136" i="3"/>
  <c r="E187" i="3"/>
  <c r="AD6" i="3"/>
  <c r="E297" i="3"/>
  <c r="E500" i="3"/>
  <c r="E460" i="3"/>
  <c r="E340" i="3"/>
  <c r="E473" i="3"/>
  <c r="AH6" i="3"/>
  <c r="E49" i="3"/>
  <c r="E173" i="3"/>
  <c r="E309" i="3"/>
  <c r="E389" i="3"/>
  <c r="E536" i="3"/>
  <c r="E220" i="3"/>
  <c r="E497" i="3"/>
  <c r="E22" i="3"/>
  <c r="E18" i="3"/>
  <c r="E63" i="3"/>
  <c r="E267" i="3"/>
  <c r="E241" i="3"/>
  <c r="E449" i="3"/>
  <c r="E3" i="6"/>
  <c r="E234" i="3"/>
  <c r="E276" i="3"/>
  <c r="E422" i="3"/>
  <c r="E158" i="3"/>
  <c r="E115" i="3"/>
  <c r="E405" i="3"/>
  <c r="E34" i="3"/>
  <c r="E198" i="3"/>
  <c r="E67" i="3"/>
  <c r="E409" i="3"/>
  <c r="E417" i="3"/>
  <c r="E575" i="3"/>
  <c r="C26" i="71"/>
  <c r="D26" i="71" s="1"/>
  <c r="D27" i="71"/>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56" i="71"/>
  <c r="T56" i="71"/>
  <c r="R36" i="36"/>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C35" i="9"/>
  <c r="F41" i="15"/>
  <c r="M27" i="67"/>
  <c r="M27" i="15"/>
  <c r="C48" i="67" l="1"/>
  <c r="C66" i="67" s="1"/>
  <c r="AC10" i="39"/>
  <c r="C13" i="82"/>
  <c r="C14" i="82" s="1"/>
  <c r="C20" i="82" s="1"/>
  <c r="C19" i="82" s="1"/>
  <c r="R49" i="84"/>
  <c r="E48" i="84"/>
  <c r="G53" i="84"/>
  <c r="H53" i="84" s="1"/>
  <c r="G52" i="84"/>
  <c r="H52" i="84" s="1"/>
  <c r="AB10" i="39"/>
  <c r="L36" i="43"/>
  <c r="L37" i="43" s="1"/>
  <c r="M37" i="43" s="1"/>
  <c r="I18" i="82"/>
  <c r="U10" i="40"/>
  <c r="F25" i="12"/>
  <c r="C26" i="12" s="1"/>
  <c r="D25" i="12" s="1"/>
  <c r="H6" i="3"/>
  <c r="E6" i="3" s="1"/>
  <c r="AC6" i="3"/>
  <c r="D116" i="43"/>
  <c r="F22" i="68"/>
  <c r="C23"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9"/>
  <c r="C34" i="69"/>
  <c r="D10" i="68"/>
  <c r="C17" i="67"/>
  <c r="C14" i="67"/>
  <c r="C17" i="15"/>
  <c r="P37" i="43" l="1"/>
  <c r="I53" i="84"/>
  <c r="J53" i="84" s="1"/>
  <c r="E53" i="84"/>
  <c r="F53" i="84" s="1"/>
  <c r="E52" i="84"/>
  <c r="F52" i="84" s="1"/>
  <c r="C48" i="84"/>
  <c r="C49" i="84"/>
  <c r="N37" i="43"/>
  <c r="M36" i="43"/>
  <c r="O37" i="43"/>
  <c r="N36" i="43"/>
  <c r="Q37" i="43"/>
  <c r="Q36" i="43"/>
  <c r="P36" i="43"/>
  <c r="O36" i="43"/>
  <c r="C18" i="82"/>
  <c r="E16" i="82" s="1"/>
  <c r="C17" i="82"/>
  <c r="C44" i="68"/>
  <c r="D41" i="68" s="1"/>
  <c r="C26" i="11"/>
  <c r="D22" i="11" s="1"/>
  <c r="C44" i="11"/>
  <c r="D41" i="11" s="1"/>
  <c r="H24" i="6"/>
  <c r="H21" i="6"/>
  <c r="R21" i="6" s="1"/>
  <c r="C26" i="68"/>
  <c r="D22" i="68" s="1"/>
  <c r="F41" i="68"/>
  <c r="D30" i="6"/>
  <c r="H25" i="6"/>
  <c r="R25" i="6" s="1"/>
  <c r="R12" i="1" s="1"/>
  <c r="C25" i="11"/>
  <c r="C24" i="11"/>
  <c r="C44" i="69"/>
  <c r="D41" i="69" s="1"/>
  <c r="C26" i="69"/>
  <c r="D22" i="69" s="1"/>
  <c r="C16" i="71"/>
  <c r="D17"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C15" i="12"/>
  <c r="C12" i="12"/>
  <c r="D27" i="6"/>
  <c r="D31" i="6" s="1"/>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3" i="82" l="1"/>
  <c r="C4" i="82" s="1"/>
  <c r="B3" i="84"/>
  <c r="B2" i="84"/>
  <c r="D37" i="82"/>
  <c r="R24" i="31"/>
  <c r="C16" i="82"/>
  <c r="C23" i="82"/>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V24" i="31" l="1"/>
  <c r="R25" i="31"/>
  <c r="S25" i="31" s="1"/>
  <c r="U24" i="31"/>
  <c r="R27" i="31"/>
  <c r="S27" i="31" s="1"/>
  <c r="R26" i="31"/>
  <c r="S26" i="31" s="1"/>
  <c r="S24" i="31"/>
  <c r="C7" i="82"/>
  <c r="C28" i="82" s="1"/>
  <c r="C27" i="82"/>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9"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S22" i="31" l="1"/>
  <c r="C24" i="82"/>
  <c r="C30" i="82" s="1"/>
  <c r="C31" i="82" s="1"/>
  <c r="D36" i="82" s="1"/>
  <c r="D38" i="82" s="1"/>
  <c r="D40" i="82" s="1"/>
  <c r="R7" i="1"/>
  <c r="R8"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R22" i="31" l="1"/>
  <c r="B20" i="31"/>
  <c r="B21" i="31" s="1"/>
  <c r="C41" i="82"/>
  <c r="E41" i="82"/>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7" i="1"/>
  <c r="AO9" i="1"/>
  <c r="AO12" i="1"/>
  <c r="AO6"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E97" i="9"/>
  <c r="E96" i="9"/>
  <c r="C96" i="9"/>
  <c r="D119" i="9"/>
  <c r="D5" i="52"/>
  <c r="B49" i="72"/>
  <c r="B22" i="72"/>
  <c r="D6" i="53"/>
  <c r="D9" i="52"/>
  <c r="D123" i="9"/>
  <c r="C86" i="9"/>
  <c r="C93" i="9"/>
  <c r="B52" i="72"/>
  <c r="G4" i="52"/>
  <c r="M54" i="9"/>
  <c r="D56" i="9"/>
  <c r="D58" i="9"/>
  <c r="C85" i="9"/>
  <c r="C95" i="9"/>
  <c r="C97" i="9"/>
  <c r="B32" i="72"/>
  <c r="D14" i="53"/>
  <c r="C73" i="9"/>
  <c r="C78" i="9"/>
  <c r="F119" i="9"/>
  <c r="F5" i="52"/>
  <c r="B53" i="72"/>
  <c r="D54" i="9"/>
  <c r="C68" i="9"/>
  <c r="C81" i="9"/>
  <c r="H5" i="52"/>
  <c r="H119" i="9"/>
  <c r="P57" i="9"/>
  <c r="N58" i="9"/>
  <c r="C64" i="9"/>
  <c r="C63" i="9"/>
  <c r="C67" i="9"/>
  <c r="D59" i="9"/>
  <c r="M55" i="9"/>
  <c r="C105" i="9"/>
  <c r="I4" i="52"/>
  <c r="B31" i="72"/>
  <c r="D15" i="53"/>
  <c r="E81" i="9"/>
  <c r="C72" i="9"/>
  <c r="C79" i="9"/>
  <c r="C80" i="9"/>
  <c r="E80" i="9"/>
  <c r="D122" i="9"/>
  <c r="D8" i="52"/>
  <c r="C104" i="9"/>
  <c r="H4" i="52"/>
  <c r="M48" i="9"/>
  <c r="C5" i="74"/>
  <c r="D5" i="53"/>
  <c r="B20" i="72"/>
  <c r="D53" i="9"/>
  <c r="D52" i="9"/>
  <c r="H102" i="9"/>
  <c r="D7" i="53"/>
  <c r="B21" i="72"/>
  <c r="D13" i="53"/>
  <c r="B30" i="72"/>
  <c r="H107" i="9"/>
  <c r="H108" i="9"/>
  <c r="C6" i="74"/>
  <c r="N60" i="9"/>
  <c r="H101" i="9"/>
  <c r="D45" i="9"/>
  <c r="D55" i="9"/>
  <c r="M53" i="9"/>
  <c r="N57" i="9"/>
  <c r="N59" i="9"/>
  <c r="N61" i="9"/>
  <c r="D118" i="9"/>
  <c r="D4" i="52"/>
  <c r="B47" i="72"/>
  <c r="G118" i="9"/>
  <c r="F118" i="9"/>
  <c r="F4" i="52"/>
  <c r="B51"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2459AA8-FAB5-42E5-BF93-EEE3B2947917}">
      <text>
        <r>
          <rPr>
            <b/>
            <sz val="9"/>
            <color indexed="81"/>
            <rFont val="宋体"/>
            <family val="3"/>
            <charset val="134"/>
          </rPr>
          <t>权重验证</t>
        </r>
        <r>
          <rPr>
            <sz val="9"/>
            <color indexed="81"/>
            <rFont val="宋体"/>
            <family val="3"/>
            <charset val="134"/>
          </rPr>
          <t xml:space="preserve">
</t>
        </r>
      </text>
    </comment>
    <comment ref="C58" authorId="1" shapeId="0" xr:uid="{5A75D74D-232F-4DCB-A64B-67D2780D30DF}">
      <text>
        <r>
          <rPr>
            <b/>
            <sz val="12"/>
            <color indexed="81"/>
            <rFont val="宋体"/>
            <family val="3"/>
            <charset val="134"/>
          </rPr>
          <t>价值时点所在月度</t>
        </r>
        <r>
          <rPr>
            <sz val="12"/>
            <color indexed="81"/>
            <rFont val="宋体"/>
            <family val="3"/>
            <charset val="134"/>
          </rPr>
          <t xml:space="preserve">
</t>
        </r>
      </text>
    </comment>
    <comment ref="B102" authorId="1" shapeId="0" xr:uid="{A8BD34A7-331E-41DF-BE42-A94E0AD0852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<sst xmlns="http://schemas.openxmlformats.org/spreadsheetml/2006/main" count="8555" uniqueCount="3653">
  <si>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</si>
  <si>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</si>
  <si>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</si>
  <si>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</si>
  <si>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</si>
  <si>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</si>
  <si>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</si>
  <si>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</si>
  <si>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</si>
  <si>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</si>
  <si>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</si>
  <si>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</si>
  <si>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</si>
  <si>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</si>
  <si>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</si>
  <si>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</si>
  <si>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</si>
  <si>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</si>
  <si>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</si>
  <si>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</si>
  <si>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</si>
  <si>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</si>
  <si>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</si>
  <si>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</si>
  <si>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</si>
  <si>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</si>
  <si>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</si>
  <si>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</si>
  <si>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</si>
  <si>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</si>
  <si>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</si>
  <si>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</si>
  <si>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</si>
  <si>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</si>
  <si>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</si>
  <si>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</si>
  <si>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</si>
  <si>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</si>
  <si>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</si>
  <si>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</si>
  <si>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</si>
  <si>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</si>
  <si>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</si>
  <si>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</si>
  <si>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</si>
  <si>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</si>
  <si>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</si>
  <si>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</si>
  <si>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</si>
  <si>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</si>
  <si>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</si>
  <si>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</si>
  <si>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</si>
  <si>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</si>
  <si>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</si>
  <si>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</si>
  <si>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</si>
  <si>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</si>
  <si>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</si>
  <si>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</si>
  <si>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</si>
  <si>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</si>
  <si>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</si>
  <si>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</si>
  <si>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</si>
  <si>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</si>
  <si>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</si>
  <si>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</si>
  <si>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</si>
  <si>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</si>
  <si>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</si>
  <si>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</si>
  <si>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</si>
  <si>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</si>
  <si>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</si>
  <si>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</si>
  <si>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</si>
  <si>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</si>
  <si>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</si>
  <si>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</si>
  <si>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</si>
  <si>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</si>
  <si>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</si>
  <si>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</si>
  <si>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</si>
  <si>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</si>
  <si>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</si>
  <si>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</si>
  <si>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</si>
  <si>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</si>
  <si>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</si>
  <si>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</si>
  <si>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</si>
  <si>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</si>
  <si>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</si>
  <si>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</si>
  <si>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</si>
  <si>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</si>
  <si>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</si>
  <si>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</si>
  <si>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</si>
  <si>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</si>
  <si>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</si>
  <si>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</si>
  <si>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</si>
  <si>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</si>
  <si>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</si>
  <si>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</si>
  <si>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</si>
  <si>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</si>
  <si>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</si>
  <si>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</si>
  <si>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</si>
  <si>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</si>
  <si>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</si>
  <si>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</si>
  <si>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</si>
  <si>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</si>
  <si>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</si>
  <si>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</si>
  <si>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</si>
  <si>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</si>
  <si>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</si>
  <si>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</si>
  <si>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</si>
  <si>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</si>
  <si>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</si>
  <si>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</si>
  <si>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</si>
  <si>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</si>
  <si>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</si>
  <si>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</si>
  <si>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</si>
  <si>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</si>
  <si>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</si>
  <si>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</si>
  <si>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</si>
  <si>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</si>
  <si>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</si>
  <si>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</si>
  <si>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</si>
  <si>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</si>
  <si>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</si>
  <si>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</si>
  <si>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</si>
  <si>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</si>
  <si>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</si>
  <si>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</si>
  <si>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</si>
  <si>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</si>
  <si>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</si>
  <si>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</si>
  <si>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</si>
  <si>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</si>
  <si>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</si>
  <si>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</si>
  <si>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</si>
  <si>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</si>
  <si>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</si>
  <si>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</si>
  <si>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</si>
  <si>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</si>
  <si>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</si>
  <si>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</si>
  <si>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</si>
  <si>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</si>
  <si>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</si>
  <si>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</si>
  <si>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</si>
  <si>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</si>
  <si>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</si>
  <si>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</si>
  <si>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</si>
  <si>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</si>
  <si>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</si>
  <si>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</si>
  <si>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</si>
  <si>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</si>
  <si>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</si>
  <si>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</si>
  <si>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</si>
  <si>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</si>
  <si>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</si>
  <si>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</si>
  <si>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</si>
  <si>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</si>
  <si>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</si>
  <si>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</si>
  <si>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</si>
  <si>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</si>
  <si>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</si>
  <si>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</si>
  <si>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</si>
  <si>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</si>
  <si>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</si>
  <si>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</si>
  <si>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</si>
  <si>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</si>
  <si>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</si>
  <si>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</si>
  <si>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</si>
  <si>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</si>
  <si>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</si>
  <si>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</si>
  <si>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</si>
  <si>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</si>
  <si>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</si>
  <si>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</si>
  <si>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</si>
  <si>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</si>
  <si>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</si>
  <si>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</si>
  <si>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</si>
  <si>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</si>
  <si>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</si>
  <si>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</si>
  <si>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</si>
  <si>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</si>
  <si>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</si>
  <si>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</si>
  <si>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</si>
  <si>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</si>
  <si>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</si>
  <si>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</si>
  <si>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</si>
  <si>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</si>
  <si>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</si>
  <si>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</si>
  <si>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</si>
  <si>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</si>
  <si>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</si>
  <si>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</si>
  <si>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</si>
  <si>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</si>
  <si>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</si>
  <si>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</si>
  <si>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</si>
  <si>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</si>
  <si>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</si>
  <si>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</si>
  <si>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</si>
  <si>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</si>
  <si>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</si>
  <si>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</si>
  <si>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</si>
  <si>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</si>
  <si>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</si>
  <si>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</si>
  <si>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</si>
  <si>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</si>
  <si>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</si>
  <si>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</si>
  <si>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</si>
  <si>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</si>
  <si>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</si>
  <si>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</si>
  <si>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</si>
  <si>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</si>
  <si>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</si>
  <si>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</si>
  <si>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</si>
  <si>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</si>
  <si>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</si>
  <si>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</si>
  <si>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</si>
  <si>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</si>
  <si>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</si>
  <si>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</si>
  <si>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</si>
  <si>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</si>
  <si>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</si>
  <si>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</si>
  <si>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</si>
  <si>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</si>
  <si>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</si>
  <si>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</si>
  <si>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</si>
  <si>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</si>
  <si>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</si>
  <si>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</si>
  <si>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</si>
  <si>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</si>
  <si>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</si>
  <si>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</si>
  <si>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</si>
  <si>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</si>
  <si>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</si>
  <si>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</si>
  <si>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</si>
  <si>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</si>
  <si>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</si>
  <si>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</si>
  <si>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</si>
  <si>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</si>
  <si>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</si>
  <si>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</si>
  <si>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</si>
  <si>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</si>
  <si>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</si>
  <si>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</si>
  <si>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</si>
  <si>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</si>
  <si>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</si>
  <si>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</si>
  <si>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</si>
  <si>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</si>
  <si>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</si>
  <si>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</si>
  <si>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</si>
  <si>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</si>
  <si>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</si>
  <si>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</si>
  <si>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</si>
  <si>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</si>
  <si>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</si>
  <si>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</si>
  <si>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</si>
  <si>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</si>
  <si>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</si>
  <si>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</si>
  <si>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</si>
  <si>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</si>
  <si>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</si>
  <si>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</si>
  <si>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</si>
  <si>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</si>
  <si>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</si>
  <si>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</si>
  <si>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</si>
  <si>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</si>
  <si>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</si>
  <si>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</si>
  <si>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</si>
  <si>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</si>
  <si>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</si>
  <si>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</si>
  <si>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</si>
  <si>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</si>
  <si>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</si>
  <si>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</si>
  <si>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</si>
  <si>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</si>
  <si>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</si>
  <si>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</si>
  <si>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</si>
  <si>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</si>
  <si>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</si>
  <si>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</si>
  <si>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</si>
  <si>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</si>
  <si>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</si>
  <si>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</si>
  <si>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</si>
  <si>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</si>
  <si>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</si>
  <si>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</si>
  <si>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</si>
  <si>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</si>
  <si>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</si>
  <si>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</si>
  <si>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</si>
  <si>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</si>
  <si>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</si>
  <si>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</si>
  <si>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</si>
  <si>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</si>
  <si>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</si>
  <si>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</si>
  <si>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</si>
  <si>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</si>
  <si>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</si>
  <si>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</si>
  <si>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</si>
  <si>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</si>
  <si>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</si>
  <si>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</si>
  <si>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</si>
  <si>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</si>
  <si>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</si>
  <si>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</si>
  <si>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</si>
  <si>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</si>
  <si>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</si>
  <si>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</si>
  <si>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</si>
  <si>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</si>
  <si>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</si>
  <si>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</si>
  <si>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</si>
  <si>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</si>
  <si>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</si>
  <si>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</si>
  <si>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</si>
  <si>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</si>
  <si>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</si>
  <si>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</si>
  <si>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</si>
  <si>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</si>
  <si>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</si>
  <si>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</si>
  <si>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</si>
  <si>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</si>
  <si>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</si>
  <si>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</si>
  <si>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</si>
  <si>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</si>
  <si>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</si>
  <si>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</si>
  <si>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</si>
  <si>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</si>
  <si>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</si>
  <si>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</si>
  <si>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</si>
  <si>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</si>
  <si>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</si>
  <si>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</si>
  <si>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</si>
  <si>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</si>
  <si>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</si>
  <si>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</si>
  <si>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</si>
  <si>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</si>
  <si>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</si>
  <si>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</si>
  <si>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</si>
  <si>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</si>
  <si>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</si>
  <si>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</si>
  <si>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</si>
  <si>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</si>
  <si>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</si>
  <si>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</si>
  <si>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</si>
  <si>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</si>
  <si>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</si>
  <si>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</si>
  <si>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</si>
  <si>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</si>
  <si>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</si>
  <si>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</si>
  <si>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</si>
  <si>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</si>
  <si>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</si>
  <si>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</si>
  <si>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</si>
  <si>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</si>
  <si>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</si>
  <si>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</si>
  <si>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</si>
  <si>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</si>
  <si>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</si>
  <si>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</si>
  <si>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</si>
  <si>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</si>
  <si>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</si>
  <si>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</si>
  <si>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</si>
  <si>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</si>
  <si>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</si>
  <si>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</si>
  <si>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</si>
  <si>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</si>
  <si>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</si>
  <si>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</si>
  <si>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</si>
  <si>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</si>
  <si>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</si>
  <si>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</si>
  <si>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</si>
  <si>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</si>
  <si>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</si>
  <si>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</si>
  <si>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</si>
  <si>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</si>
  <si>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</si>
  <si>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</si>
  <si>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</si>
  <si>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</si>
  <si>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</si>
  <si>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</si>
  <si>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</si>
  <si>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</si>
  <si>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</si>
  <si>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</si>
  <si>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</si>
  <si>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</si>
  <si>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</si>
  <si>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</si>
  <si>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</si>
  <si>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</si>
  <si>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</si>
  <si>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</si>
  <si>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</si>
  <si>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</si>
  <si>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</si>
  <si>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</si>
  <si>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</si>
  <si>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</si>
  <si>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</si>
  <si>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</si>
  <si>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</si>
  <si>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</si>
  <si>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</si>
  <si>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</si>
  <si>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</si>
  <si>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</si>
  <si>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</si>
  <si>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</si>
  <si>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</si>
  <si>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</si>
  <si>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</si>
  <si>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</si>
  <si>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</si>
  <si>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</si>
  <si>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</si>
  <si>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</si>
  <si>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</si>
  <si>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</si>
  <si>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</si>
  <si>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</si>
  <si>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</si>
  <si>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</si>
  <si>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</si>
  <si>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</si>
  <si>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</si>
  <si>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</si>
  <si>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</si>
  <si>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</si>
  <si>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</si>
  <si>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</si>
  <si>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</si>
  <si>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</si>
  <si>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</si>
  <si>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</si>
  <si>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</si>
  <si>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</si>
  <si>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</si>
  <si>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</si>
  <si>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</si>
  <si>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</si>
  <si>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</si>
  <si>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</si>
  <si>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</si>
  <si>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</si>
  <si>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</si>
  <si>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</si>
  <si>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</si>
  <si>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</si>
  <si>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</si>
  <si>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</si>
  <si>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</si>
  <si>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</si>
  <si>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</si>
  <si>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</si>
  <si>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</si>
  <si>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</si>
  <si>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</si>
  <si>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</si>
  <si>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</si>
  <si>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</si>
  <si>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</si>
  <si>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</si>
  <si>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</si>
  <si>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</si>
  <si>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</si>
  <si>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</si>
  <si>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</si>
  <si>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</si>
  <si>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</si>
  <si>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</si>
  <si>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</si>
  <si>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</si>
  <si>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</si>
  <si>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</si>
  <si>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</si>
  <si>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</si>
  <si>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</si>
  <si>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</si>
  <si>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</si>
  <si>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</si>
  <si>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</si>
  <si>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</si>
  <si>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</si>
  <si>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</si>
  <si>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</si>
  <si>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</si>
  <si>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</si>
  <si>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</si>
  <si>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</si>
  <si>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</si>
  <si>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</si>
  <si>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</si>
  <si>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</si>
  <si>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</si>
  <si>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</si>
  <si>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</si>
  <si>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</si>
  <si>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</si>
  <si>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</si>
  <si>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</si>
  <si>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</si>
  <si>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</si>
  <si>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</si>
  <si>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</si>
  <si>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</si>
  <si>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</si>
  <si>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</si>
  <si>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</si>
  <si>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</si>
  <si>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</si>
  <si>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</si>
  <si>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</si>
  <si>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</si>
  <si>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</si>
  <si>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</si>
  <si>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</si>
  <si>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</si>
  <si>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</si>
  <si>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</si>
  <si>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</si>
  <si>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</si>
  <si>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</si>
  <si>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</si>
  <si>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</si>
  <si>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</si>
  <si>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</si>
  <si>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</si>
  <si>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</si>
  <si>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</si>
  <si>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</si>
  <si>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</si>
  <si>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</si>
  <si>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</si>
  <si>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</si>
  <si>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</si>
  <si>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</si>
  <si>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</si>
  <si>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</si>
  <si>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</si>
  <si>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</si>
  <si>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</si>
  <si>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</si>
  <si>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</si>
  <si>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</si>
  <si>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</si>
  <si>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</si>
  <si>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</si>
  <si>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</si>
  <si>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</si>
  <si>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</si>
  <si>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</si>
  <si>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</si>
  <si>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</si>
  <si>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</si>
  <si>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</si>
  <si>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</si>
  <si>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</si>
  <si>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</si>
  <si>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</si>
  <si>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</si>
  <si>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</si>
  <si>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</si>
  <si>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</si>
  <si>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</si>
  <si>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</si>
  <si>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</si>
  <si>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</si>
  <si>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</si>
  <si>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</si>
  <si>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</si>
  <si>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</si>
  <si>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</si>
  <si>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</si>
  <si>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</si>
  <si>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</si>
  <si>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</si>
  <si>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</si>
  <si>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</si>
  <si>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</si>
  <si>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</si>
  <si>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</si>
  <si>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</si>
  <si>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</si>
  <si>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</si>
  <si>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</si>
  <si>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</si>
  <si>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</si>
  <si>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</si>
  <si>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</si>
  <si>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</si>
  <si>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</si>
  <si>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</si>
  <si>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</si>
  <si>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</si>
  <si>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</si>
  <si>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</si>
  <si>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</si>
  <si>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</si>
  <si>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</si>
  <si>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</si>
  <si>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</si>
  <si>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</si>
  <si>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</si>
  <si>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</si>
  <si>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</si>
  <si>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</si>
  <si>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</si>
  <si>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</si>
  <si>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</si>
  <si>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</si>
  <si>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</si>
  <si>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</si>
  <si>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</si>
  <si>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</si>
  <si>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</si>
  <si>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</si>
  <si>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</si>
  <si>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</si>
  <si>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</si>
  <si>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</si>
  <si>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</si>
  <si>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</si>
  <si>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</si>
  <si>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</si>
  <si>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</si>
  <si>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</si>
  <si>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</si>
  <si>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</si>
  <si>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</si>
  <si>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</si>
  <si>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</si>
  <si>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</si>
  <si>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</si>
  <si>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</si>
  <si>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</si>
  <si>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</si>
  <si>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</si>
  <si>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</si>
  <si>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</si>
  <si>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</si>
  <si>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</si>
  <si>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</si>
  <si>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</si>
  <si>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</si>
  <si>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</si>
  <si>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</si>
  <si>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</si>
  <si>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</si>
  <si>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</si>
  <si>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</si>
  <si>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</si>
  <si>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</si>
  <si>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</si>
  <si>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</si>
  <si>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</si>
  <si>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</si>
  <si>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</si>
  <si>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</si>
  <si>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</si>
  <si>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</si>
  <si>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</si>
  <si>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</si>
  <si>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</si>
  <si>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</si>
  <si>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</si>
  <si>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</si>
  <si>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</si>
  <si>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</si>
  <si>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</si>
  <si>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</si>
  <si>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</si>
  <si>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</si>
  <si>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</si>
  <si>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</si>
  <si>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</si>
  <si>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</si>
  <si>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</si>
  <si>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</si>
  <si>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</si>
  <si>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</si>
  <si>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</si>
  <si>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</si>
  <si>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</si>
  <si>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</si>
  <si>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</si>
  <si>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</si>
  <si>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</si>
  <si>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</si>
  <si>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</si>
  <si>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</si>
  <si>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</si>
  <si>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</si>
  <si>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</si>
  <si>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</si>
  <si>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</si>
  <si>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</si>
  <si>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</si>
  <si>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</si>
  <si>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</si>
  <si>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</si>
  <si>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</si>
  <si>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</si>
  <si>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</si>
  <si>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</si>
  <si>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</si>
  <si>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</si>
  <si>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</si>
  <si>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</si>
  <si>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</si>
  <si>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</si>
  <si>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</si>
  <si>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</si>
  <si>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</si>
  <si>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</si>
  <si>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</si>
  <si>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</si>
  <si>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</si>
  <si>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</si>
  <si>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</si>
  <si>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</si>
  <si>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</si>
  <si>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</si>
  <si>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</si>
  <si>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</si>
  <si>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</si>
  <si>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</si>
  <si>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</si>
  <si>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</si>
  <si>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</si>
  <si>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</si>
  <si>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</si>
  <si>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</si>
  <si>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</si>
  <si>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</si>
  <si>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</si>
  <si>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</si>
  <si>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</si>
  <si>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</si>
  <si>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</si>
  <si>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</si>
  <si>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</si>
  <si>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</si>
  <si>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</si>
  <si>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</si>
  <si>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</si>
  <si>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</si>
  <si>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</si>
  <si>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</si>
  <si>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</si>
  <si>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</si>
  <si>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</si>
  <si>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</si>
  <si>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</si>
  <si>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</si>
  <si>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</si>
  <si>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</si>
  <si>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</si>
  <si>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</si>
  <si>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</si>
  <si>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</si>
  <si>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</si>
  <si>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</si>
  <si>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</si>
  <si>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</si>
  <si>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</si>
  <si>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</si>
  <si>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</si>
  <si>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</si>
  <si>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</si>
  <si>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</si>
  <si>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</si>
  <si>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</si>
  <si>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</si>
  <si>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</si>
  <si>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</si>
  <si>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</si>
  <si>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</si>
  <si>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</si>
  <si>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</si>
  <si>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</si>
  <si>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</si>
  <si>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</si>
  <si>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</si>
  <si>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</si>
  <si>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</si>
  <si>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</si>
  <si>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</si>
  <si>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</si>
  <si>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</si>
  <si>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</si>
  <si>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</si>
  <si>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</si>
  <si>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</si>
  <si>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</si>
  <si>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</si>
  <si>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</si>
  <si>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</si>
  <si>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</si>
  <si>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</si>
  <si>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</si>
  <si>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</si>
  <si>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</si>
  <si>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</si>
  <si>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</si>
  <si>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</si>
  <si>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</si>
  <si>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</si>
  <si>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</si>
  <si>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</si>
  <si>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</si>
  <si>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</si>
  <si>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</si>
  <si>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</si>
  <si>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</si>
  <si>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</si>
  <si>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</si>
  <si>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</si>
  <si>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</si>
  <si>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</si>
  <si>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</si>
  <si>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</si>
  <si>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</si>
  <si>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</si>
  <si>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</si>
  <si>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</si>
  <si>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</si>
  <si>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</si>
  <si>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</si>
  <si>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</si>
  <si>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</si>
  <si>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</si>
  <si>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</si>
  <si>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</si>
  <si>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</si>
  <si>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</si>
  <si>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</si>
  <si>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</si>
  <si>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</si>
  <si>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</si>
  <si>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</si>
  <si>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</si>
  <si>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</si>
  <si>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</si>
  <si>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</si>
  <si>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</si>
  <si>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</si>
  <si>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</si>
  <si>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</si>
  <si>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</si>
  <si>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</si>
  <si>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</si>
  <si>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</si>
  <si>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</si>
  <si>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</si>
  <si>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</si>
  <si>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</si>
  <si>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</si>
  <si>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</si>
  <si>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</si>
  <si>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</si>
  <si>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</si>
  <si>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</si>
  <si>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</si>
  <si>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</si>
  <si>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</si>
  <si>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</si>
  <si>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</si>
  <si>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</si>
  <si>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</si>
  <si>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</si>
  <si>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</si>
  <si>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</si>
  <si>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</si>
  <si>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</si>
  <si>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</si>
  <si>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</si>
  <si>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</si>
  <si>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</si>
  <si>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</si>
  <si>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</si>
  <si>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</si>
  <si>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</si>
  <si>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</si>
  <si>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</si>
  <si>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</si>
  <si>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</si>
  <si>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</si>
  <si>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</si>
  <si>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</si>
  <si>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</si>
  <si>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</si>
  <si>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</si>
  <si>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</si>
  <si>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</si>
  <si>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</si>
  <si>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</si>
  <si>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</si>
  <si>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</si>
  <si>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</si>
  <si>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</si>
  <si>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</si>
  <si>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</si>
  <si>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</si>
  <si>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</si>
  <si>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</si>
  <si>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</si>
  <si>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</si>
  <si>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</si>
  <si>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</si>
  <si>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</si>
  <si>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</si>
  <si>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</si>
  <si>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</si>
  <si>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</si>
  <si>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</si>
  <si>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</si>
  <si>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</si>
  <si>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</si>
  <si>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</si>
  <si>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</si>
  <si>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</si>
  <si>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</si>
  <si>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</si>
  <si>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</si>
  <si>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</si>
  <si>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</si>
  <si>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</si>
  <si>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</si>
  <si>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</si>
  <si>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</si>
  <si>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</si>
  <si>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</si>
  <si>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</si>
  <si>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</si>
  <si>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</si>
  <si>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</si>
  <si>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</si>
  <si>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</si>
  <si>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</si>
  <si>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</si>
  <si>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</si>
  <si>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</si>
  <si>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</si>
  <si>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</si>
  <si>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</si>
  <si>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</si>
  <si>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</si>
  <si>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</si>
  <si>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</si>
  <si>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</si>
  <si>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</si>
  <si>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</si>
  <si>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</si>
  <si>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</si>
  <si>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</si>
  <si>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</si>
  <si>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</si>
  <si>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</si>
  <si>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</si>
  <si>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</si>
  <si>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</si>
  <si>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</si>
  <si>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</si>
  <si>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</si>
  <si>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</si>
  <si>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</si>
  <si>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</si>
  <si>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</si>
  <si>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</si>
  <si>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</si>
  <si>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</si>
  <si>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</si>
  <si>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</si>
  <si>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</si>
  <si>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</si>
  <si>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</si>
  <si>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</si>
  <si>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</si>
  <si>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</si>
  <si>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</si>
  <si>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</si>
  <si>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</si>
  <si>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</si>
  <si>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</si>
  <si>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</si>
  <si>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</si>
  <si>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</si>
  <si>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</si>
  <si>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</si>
  <si>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</si>
  <si>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</si>
  <si>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</si>
  <si>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</si>
  <si>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</si>
  <si>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</si>
  <si>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</si>
  <si>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</si>
  <si>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</si>
  <si>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</si>
  <si>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</si>
  <si>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</si>
  <si>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</si>
  <si>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</si>
  <si>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</si>
  <si>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</si>
  <si>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</si>
  <si>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</si>
  <si>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</si>
  <si>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</si>
  <si>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</si>
  <si>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</si>
  <si>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</si>
  <si>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</si>
  <si>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</si>
  <si>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</si>
  <si>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</si>
  <si>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</si>
  <si>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</si>
  <si>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</si>
  <si>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</si>
  <si>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</si>
  <si>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</si>
  <si>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</si>
  <si>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</si>
  <si>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</si>
  <si>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</si>
  <si>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</si>
  <si>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</si>
  <si>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</si>
  <si>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</si>
  <si>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</si>
  <si>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</si>
  <si>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</si>
  <si>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</si>
  <si>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</si>
  <si>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</si>
  <si>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</si>
  <si>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</si>
  <si>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</si>
  <si>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</si>
  <si>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</si>
  <si>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</si>
  <si>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</si>
  <si>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</si>
  <si>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</si>
  <si>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</si>
  <si>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</si>
  <si>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</si>
  <si>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</si>
  <si>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</si>
  <si>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</si>
  <si>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</si>
  <si>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</si>
  <si>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</si>
  <si>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</si>
  <si>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</si>
  <si>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</si>
  <si>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</si>
  <si>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</si>
  <si>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</si>
  <si>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</si>
  <si>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</si>
  <si>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</si>
  <si>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</si>
  <si>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</si>
  <si>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</si>
  <si>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</si>
  <si>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</si>
  <si>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</si>
  <si>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</si>
  <si>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</si>
  <si>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</si>
  <si>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</si>
  <si>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</si>
  <si>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</si>
  <si>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</si>
  <si>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</si>
  <si>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</si>
  <si>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</si>
  <si>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</si>
  <si>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</si>
  <si>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</si>
  <si>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</si>
  <si>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</si>
  <si>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</si>
  <si>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</si>
  <si>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</si>
  <si>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</si>
  <si>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</si>
  <si>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</si>
  <si>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</si>
  <si>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</si>
  <si>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</si>
  <si>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</si>
  <si>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</si>
  <si>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</si>
  <si>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</si>
  <si>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</si>
  <si>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</si>
  <si>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</si>
  <si>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</si>
  <si>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</si>
  <si>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</si>
  <si>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</si>
  <si>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</si>
  <si>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</si>
  <si>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</si>
  <si>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</si>
  <si>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</si>
  <si>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</si>
  <si>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</si>
  <si>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</si>
  <si>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</si>
  <si>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</si>
  <si>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</si>
  <si>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</si>
  <si>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</si>
  <si>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</si>
  <si>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</si>
  <si>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</si>
  <si>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</si>
  <si>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</si>
  <si>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</si>
  <si>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</si>
  <si>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</si>
  <si>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</si>
  <si>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</si>
  <si>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</si>
  <si>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</si>
  <si>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</si>
  <si>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</si>
  <si>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</si>
  <si>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</si>
  <si>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</si>
  <si>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</si>
  <si>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</si>
  <si>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</si>
  <si>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</si>
  <si>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</si>
  <si>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</si>
  <si>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</si>
  <si>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</si>
  <si>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</si>
  <si>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</si>
  <si>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</si>
  <si>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</si>
  <si>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</si>
  <si>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</si>
  <si>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</si>
  <si>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</si>
  <si>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</si>
  <si>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</si>
  <si>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</si>
  <si>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</si>
  <si>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</si>
  <si>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</si>
  <si>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</si>
  <si>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</si>
  <si>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</si>
  <si>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</si>
  <si>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</si>
  <si>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</si>
  <si>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</si>
  <si>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</si>
  <si>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</si>
  <si>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</si>
  <si>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</si>
  <si>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</si>
  <si>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</si>
  <si>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</si>
  <si>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</si>
  <si>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</si>
  <si>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</si>
  <si>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</si>
  <si>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</si>
  <si>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</si>
  <si>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</si>
  <si>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</si>
  <si>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</si>
  <si>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</si>
  <si>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</si>
  <si>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</si>
  <si>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</si>
  <si>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</si>
  <si>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</si>
  <si>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</si>
  <si>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</si>
  <si>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</si>
  <si>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</si>
  <si>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</si>
  <si>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</si>
  <si>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</si>
  <si>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</si>
  <si>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</si>
  <si>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</si>
  <si>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</si>
  <si>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</si>
  <si>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</si>
  <si>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</si>
  <si>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</si>
  <si>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</si>
  <si>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</si>
  <si>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</si>
  <si>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</si>
  <si>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</si>
  <si>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</si>
  <si>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</si>
  <si>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</si>
  <si>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</si>
  <si>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</si>
  <si>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</si>
  <si>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</si>
  <si>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</si>
  <si>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</si>
  <si>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</si>
  <si>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</si>
  <si>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</si>
  <si>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</si>
  <si>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</si>
  <si>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</si>
  <si>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</si>
  <si>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</si>
  <si>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</si>
  <si>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</si>
  <si>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</si>
  <si>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</si>
  <si>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</si>
  <si>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</si>
  <si>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</si>
  <si>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</si>
  <si>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</si>
  <si>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</si>
  <si>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</si>
  <si>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</si>
  <si>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</si>
  <si>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</si>
  <si>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</si>
  <si>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</si>
  <si>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</si>
  <si>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</si>
  <si>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</si>
  <si>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</si>
  <si>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</si>
  <si>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</si>
  <si>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</si>
  <si>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</si>
  <si>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</si>
  <si>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</si>
  <si>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</si>
  <si>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</si>
  <si>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</si>
  <si>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</si>
  <si>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</si>
  <si>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</si>
  <si>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</si>
  <si>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</si>
  <si>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</si>
  <si>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</si>
  <si>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</si>
  <si>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</si>
  <si>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</si>
  <si>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</si>
  <si>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</si>
  <si>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</si>
  <si>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</si>
  <si>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</si>
  <si>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</si>
  <si>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</si>
  <si>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</si>
  <si>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</si>
  <si>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</si>
  <si>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</si>
  <si>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</si>
  <si>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</si>
  <si>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</si>
  <si>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</si>
  <si>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</si>
  <si>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</si>
  <si>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</si>
  <si>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</si>
  <si>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</si>
  <si>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</si>
  <si>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</si>
  <si>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</si>
  <si>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</si>
  <si>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</si>
  <si>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</si>
  <si>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</si>
  <si>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</si>
  <si>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</si>
  <si>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</si>
  <si>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</si>
  <si>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</si>
  <si>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</si>
  <si>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</si>
  <si>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</si>
  <si>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</si>
  <si>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</si>
  <si>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</si>
  <si>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</si>
  <si>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</si>
  <si>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</si>
  <si>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</si>
  <si>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</si>
  <si>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</si>
  <si>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</si>
  <si>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</si>
  <si>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</si>
  <si>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</si>
  <si>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</si>
  <si>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</si>
  <si>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</si>
  <si>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</si>
  <si>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</si>
  <si>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</si>
  <si>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</si>
  <si>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</si>
  <si>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</si>
  <si>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</si>
  <si>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</si>
  <si>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</si>
  <si>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</si>
  <si>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</si>
  <si>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</si>
  <si>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</si>
  <si>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</si>
  <si>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</si>
  <si>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</si>
  <si>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</si>
  <si>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</si>
  <si>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</si>
  <si>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</si>
  <si>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</si>
  <si>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</si>
  <si>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</si>
  <si>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</si>
  <si>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</si>
  <si>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</si>
  <si>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</si>
  <si>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</si>
  <si>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</si>
  <si>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</si>
  <si>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</si>
  <si>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</si>
  <si>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</si>
  <si>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</si>
  <si>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</si>
  <si>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</si>
  <si>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</si>
  <si>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</si>
  <si>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</si>
  <si>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</si>
  <si>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</si>
  <si>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</si>
  <si>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</si>
  <si>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</si>
  <si>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</si>
  <si>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</si>
  <si>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</si>
  <si>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</si>
  <si>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</si>
  <si>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</si>
  <si>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</si>
  <si>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</si>
  <si>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</si>
  <si>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</si>
  <si>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</si>
  <si>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</si>
  <si>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</si>
  <si>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</si>
  <si>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</si>
  <si>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</si>
  <si>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</si>
  <si>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</si>
  <si>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</si>
  <si>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</si>
  <si>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</si>
  <si>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</si>
  <si>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</si>
  <si>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</si>
  <si>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</si>
  <si>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</si>
  <si>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</si>
  <si>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</si>
  <si>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</si>
  <si>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</si>
  <si>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</si>
  <si>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</si>
  <si>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</si>
  <si>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</si>
  <si>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</si>
  <si>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</si>
  <si>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</si>
  <si>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</si>
  <si>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</si>
  <si>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</si>
  <si>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</si>
  <si>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</si>
  <si>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</si>
  <si>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</si>
  <si>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</si>
  <si>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</si>
  <si>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</si>
  <si>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</si>
  <si>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</si>
  <si>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</si>
  <si>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</si>
  <si>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</si>
  <si>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</si>
  <si>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</si>
  <si>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</si>
  <si>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</si>
  <si>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</si>
  <si>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</si>
  <si>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</si>
  <si>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</si>
  <si>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</si>
  <si>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</si>
  <si>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</si>
  <si>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</si>
  <si>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</si>
  <si>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</si>
  <si>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</si>
  <si>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</si>
  <si>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</si>
  <si>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</si>
  <si>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</si>
  <si>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</si>
  <si>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</si>
  <si>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</si>
  <si>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</si>
  <si>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</si>
  <si>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</si>
  <si>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</si>
  <si>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</si>
  <si>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</si>
  <si>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</si>
  <si>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</si>
  <si>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</si>
  <si>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</si>
  <si>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</si>
  <si>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</si>
  <si>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</si>
  <si>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</si>
  <si>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</si>
  <si>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</si>
  <si>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</si>
  <si>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</si>
  <si>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</si>
  <si>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</si>
  <si>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</si>
  <si>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</si>
  <si>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</si>
  <si>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</si>
  <si>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</si>
  <si>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</si>
  <si>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</si>
  <si>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</si>
  <si>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</si>
  <si>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</si>
  <si>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</si>
  <si>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</si>
  <si>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</si>
  <si>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</si>
  <si>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</si>
  <si>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</si>
  <si>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</si>
  <si>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</si>
  <si>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</si>
  <si>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</si>
  <si>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</si>
  <si>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</si>
  <si>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</si>
  <si>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</si>
  <si>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</si>
  <si>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</si>
  <si>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</si>
  <si>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</si>
  <si>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</si>
  <si>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</si>
  <si>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</si>
  <si>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</si>
  <si>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</si>
  <si>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</si>
  <si>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</si>
  <si>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</si>
  <si>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</si>
  <si>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</si>
  <si>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</si>
  <si>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</si>
  <si>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</si>
  <si>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</si>
  <si>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</si>
  <si>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</si>
  <si>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</si>
  <si>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</si>
  <si>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</si>
  <si>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</si>
  <si>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</si>
  <si>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</si>
  <si>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</si>
  <si>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</si>
  <si>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</si>
  <si>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</si>
  <si>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</si>
  <si>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</si>
  <si>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</si>
  <si>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</si>
  <si>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</si>
  <si>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</si>
  <si>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</si>
  <si>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</si>
  <si>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</si>
  <si>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</si>
  <si>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</si>
  <si>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</si>
  <si>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</si>
  <si>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</si>
  <si>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</si>
  <si>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</si>
  <si>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</si>
  <si>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</si>
  <si>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</si>
  <si>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</si>
  <si>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</si>
  <si>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</si>
  <si>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</si>
  <si>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</si>
  <si>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</si>
  <si>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</si>
  <si>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</si>
  <si>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</si>
  <si>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</si>
  <si>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</si>
  <si>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</si>
  <si>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</si>
  <si>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</si>
  <si>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</si>
  <si>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</si>
  <si>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</si>
  <si>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</si>
  <si>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</si>
  <si>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</si>
  <si>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</si>
  <si>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</si>
  <si>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</si>
  <si>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</si>
  <si>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</si>
  <si>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</si>
  <si>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</si>
  <si>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</si>
  <si>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</si>
  <si>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</si>
  <si>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</si>
  <si>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</si>
  <si>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</si>
  <si>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</si>
  <si>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</si>
  <si>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</si>
  <si>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</si>
  <si>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</si>
  <si>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</si>
  <si>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</si>
  <si>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</si>
  <si>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</si>
  <si>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</si>
  <si>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</si>
  <si>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</si>
  <si>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</si>
  <si>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</si>
  <si>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</si>
  <si>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</si>
  <si>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</si>
  <si>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</si>
  <si>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</si>
  <si>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</si>
  <si>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</si>
  <si>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</si>
  <si>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</si>
  <si>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</si>
  <si>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</si>
  <si>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</si>
  <si>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</si>
  <si>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</si>
  <si>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</si>
  <si>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</si>
  <si>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</si>
  <si>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</si>
  <si>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</si>
  <si>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</si>
  <si>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</si>
  <si>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</si>
  <si>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</si>
  <si>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</si>
  <si>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</si>
  <si>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</si>
  <si>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</si>
  <si>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</si>
  <si>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</si>
  <si>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</si>
  <si>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</si>
  <si>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</si>
  <si>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</si>
  <si>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</si>
  <si>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</si>
  <si>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</si>
  <si>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</si>
  <si>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</si>
  <si>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</si>
  <si>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</si>
  <si>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</si>
  <si>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</si>
  <si>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</si>
  <si>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</si>
  <si>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</si>
  <si>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</si>
  <si>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</si>
  <si>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</si>
  <si>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</si>
  <si>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</si>
  <si>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</si>
  <si>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</si>
  <si>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</si>
  <si>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</si>
  <si>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</si>
  <si>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</si>
  <si>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</si>
  <si>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</si>
  <si>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</si>
  <si>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</si>
  <si>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</si>
  <si>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</si>
  <si>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</si>
  <si>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</si>
  <si>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</si>
  <si>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</si>
  <si>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</si>
  <si>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</si>
  <si>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</si>
  <si>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</si>
  <si>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</si>
  <si>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</si>
  <si>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</si>
  <si>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</si>
  <si>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</si>
  <si>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</si>
  <si>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</si>
  <si>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</si>
  <si>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</si>
  <si>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</si>
  <si>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</si>
  <si>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</si>
  <si>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</si>
  <si>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</si>
  <si>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</si>
  <si>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</si>
  <si>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</si>
  <si>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</si>
  <si>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</si>
  <si>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</si>
  <si>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</si>
  <si>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</si>
  <si>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</si>
  <si>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</si>
  <si>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</si>
  <si>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</si>
  <si>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</si>
  <si>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</si>
  <si>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</si>
  <si>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</si>
  <si>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</si>
  <si>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</si>
  <si>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</si>
  <si>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</si>
  <si>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</si>
  <si>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</si>
  <si>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</si>
  <si>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</si>
  <si>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</si>
  <si>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</si>
  <si>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</si>
  <si>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</si>
  <si>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</si>
  <si>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</si>
  <si>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</si>
  <si>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</si>
  <si>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</si>
  <si>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</si>
  <si>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</si>
  <si>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</si>
  <si>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</si>
  <si>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</si>
  <si>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</si>
  <si>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</si>
  <si>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</si>
  <si>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</si>
  <si>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</si>
  <si>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</si>
  <si>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</si>
  <si>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</si>
  <si>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</si>
  <si>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</si>
  <si>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</si>
  <si>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</si>
  <si>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</si>
  <si>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</si>
  <si>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</si>
  <si>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</si>
  <si>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</si>
  <si>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</si>
  <si>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</si>
  <si>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</si>
  <si>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</si>
  <si>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</si>
  <si>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</si>
  <si>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</si>
  <si>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</si>
  <si>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</si>
  <si>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</si>
  <si>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</si>
  <si>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</si>
  <si>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</si>
  <si>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</si>
  <si>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</si>
  <si>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</si>
  <si>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</si>
  <si>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</si>
  <si>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</si>
  <si>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</si>
  <si>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</si>
  <si>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</si>
  <si>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</si>
  <si>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</si>
  <si>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</si>
  <si>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</si>
  <si>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</si>
  <si>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</si>
  <si>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</si>
  <si>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</si>
  <si>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</si>
  <si>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</si>
  <si>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</si>
  <si>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</si>
  <si>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</si>
  <si>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</si>
  <si>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</si>
  <si>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</si>
  <si>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</si>
  <si>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</si>
  <si>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</si>
  <si>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</si>
  <si>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</si>
  <si>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</si>
  <si>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</si>
  <si>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</si>
  <si>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</si>
  <si>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</si>
  <si>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</si>
  <si>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</si>
  <si>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</si>
  <si>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</si>
  <si>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</si>
  <si>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</si>
  <si>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</si>
  <si>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</si>
  <si>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</si>
  <si>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</si>
  <si>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</si>
  <si>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</si>
  <si>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</si>
  <si>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</si>
  <si>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</si>
  <si>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</si>
  <si>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</si>
  <si>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</si>
  <si>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</si>
  <si>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</si>
  <si>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</si>
  <si>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</si>
  <si>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</si>
  <si>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</si>
  <si>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</si>
  <si>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</si>
  <si>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</si>
  <si>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</si>
  <si>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</si>
  <si>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</si>
  <si>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</si>
  <si>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</si>
  <si>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</si>
  <si>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</si>
  <si>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</si>
  <si>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</si>
  <si>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</si>
  <si>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</si>
  <si>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</si>
  <si>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</si>
  <si>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</si>
  <si>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</si>
  <si>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</si>
  <si>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</si>
  <si>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</si>
  <si>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</si>
  <si>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</si>
  <si>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</si>
  <si>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</si>
  <si>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</si>
  <si>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</si>
  <si>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</si>
  <si>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</si>
  <si>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</si>
  <si>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</si>
  <si>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</si>
  <si>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</si>
  <si>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</si>
  <si>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</si>
  <si>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</si>
  <si>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</si>
  <si>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</si>
  <si>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</si>
  <si>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</si>
  <si>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</si>
  <si>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</si>
  <si>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</si>
  <si>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</si>
  <si>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</si>
  <si>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</si>
  <si>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</si>
  <si>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</si>
  <si>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</si>
  <si>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</si>
  <si>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</si>
  <si>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</si>
  <si>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</si>
  <si>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</si>
  <si>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</si>
  <si>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</si>
  <si>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</si>
  <si>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</si>
  <si>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</si>
  <si>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</si>
  <si>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</si>
  <si>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</si>
  <si>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</si>
  <si>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</si>
  <si>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</si>
  <si>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</si>
  <si>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</si>
  <si>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</si>
  <si>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</si>
  <si>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</si>
  <si>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</si>
  <si>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</si>
  <si>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</si>
  <si>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</si>
  <si>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</si>
  <si>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</si>
  <si>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</si>
  <si>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</si>
  <si>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</si>
  <si>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</si>
  <si>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</si>
  <si>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</si>
  <si>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</si>
  <si>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</si>
  <si>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</si>
  <si>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</si>
  <si>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</si>
  <si>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</si>
  <si>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</si>
  <si>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</si>
  <si>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</si>
  <si>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</si>
  <si>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</si>
  <si>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</si>
  <si>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</si>
  <si>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</si>
  <si>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</si>
  <si>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</si>
  <si>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</si>
  <si>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</si>
  <si>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</si>
  <si>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</si>
  <si>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</si>
  <si>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</si>
  <si>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</si>
  <si>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</si>
  <si>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</si>
  <si>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</si>
  <si>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</si>
  <si>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</si>
  <si>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</si>
  <si>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</si>
  <si>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</si>
  <si>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</si>
  <si>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</si>
  <si>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</si>
  <si>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</si>
  <si>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</si>
  <si>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</si>
  <si>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</si>
  <si>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</si>
  <si>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</si>
  <si>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</si>
  <si>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</si>
  <si>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</si>
  <si>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</si>
  <si>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</si>
  <si>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</si>
  <si>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</si>
  <si>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</si>
  <si>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</si>
  <si>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</si>
  <si>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</si>
  <si>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</si>
  <si>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</si>
  <si>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</si>
  <si>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</si>
  <si>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</si>
  <si>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</si>
  <si>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</si>
  <si>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</si>
  <si>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</si>
  <si>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</si>
  <si>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</si>
  <si>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</si>
  <si>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</si>
  <si>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</si>
  <si>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</si>
  <si>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</si>
  <si>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</si>
  <si>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</si>
  <si>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</si>
  <si>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</si>
  <si>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</si>
  <si>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</si>
  <si>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</si>
  <si>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</si>
  <si>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</si>
  <si>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</si>
  <si>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</si>
  <si>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</si>
  <si>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</si>
  <si>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</si>
  <si>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</si>
  <si>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</si>
  <si>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</si>
  <si>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</si>
  <si>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</si>
  <si>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</si>
  <si>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</si>
  <si>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</si>
  <si>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</si>
  <si>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</si>
  <si>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</si>
  <si>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</si>
  <si>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</si>
  <si>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</si>
  <si>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</si>
  <si>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</si>
  <si>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</si>
  <si>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</si>
  <si>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</si>
  <si>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</si>
  <si>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</si>
  <si>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</si>
  <si>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</si>
  <si>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</si>
  <si>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</si>
  <si>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</si>
  <si>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</si>
  <si>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</si>
  <si>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</si>
  <si>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</si>
  <si>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</si>
  <si>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</si>
  <si>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</si>
  <si>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</si>
  <si>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</si>
  <si>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</si>
  <si>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</si>
  <si>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</si>
  <si>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</si>
  <si>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</si>
  <si>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</si>
  <si>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</si>
  <si>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</si>
  <si>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</si>
  <si>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</si>
  <si>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</si>
  <si>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</si>
  <si>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</si>
  <si>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</si>
  <si>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</si>
  <si>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</si>
  <si>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</si>
  <si>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</si>
  <si>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</si>
  <si>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</si>
  <si>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</si>
  <si>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</si>
  <si>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</si>
  <si>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</si>
  <si>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</si>
  <si>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</si>
  <si>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</si>
  <si>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</si>
  <si>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</si>
  <si>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</si>
  <si>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</si>
  <si>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</si>
  <si>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</si>
  <si>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</si>
  <si>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</si>
  <si>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</si>
  <si>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</si>
  <si>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</si>
  <si>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</si>
  <si>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</si>
  <si>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</si>
  <si>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</si>
  <si>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</si>
  <si>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</si>
  <si>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</si>
  <si>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</si>
  <si>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</si>
  <si>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</si>
  <si>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</si>
  <si>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</si>
  <si>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</si>
  <si>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</si>
  <si>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</si>
  <si>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</si>
  <si>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</si>
  <si>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</si>
  <si>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</si>
  <si>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</si>
  <si>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</si>
  <si>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</si>
  <si>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</si>
  <si>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</si>
  <si>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</si>
  <si>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</si>
  <si>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</si>
  <si>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</si>
  <si>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</si>
  <si>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</si>
  <si>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</si>
  <si>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</si>
  <si>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</si>
  <si>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</si>
  <si>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</si>
  <si>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</si>
  <si>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</si>
  <si>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</si>
  <si>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</si>
  <si>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</si>
  <si>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</si>
  <si>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</si>
  <si>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</si>
  <si>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</si>
  <si>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</si>
  <si>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</si>
  <si>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</si>
  <si>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</si>
  <si>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</si>
  <si>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</si>
  <si>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</si>
  <si>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</si>
  <si>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</si>
  <si>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</si>
  <si>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</si>
  <si>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</si>
  <si>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</si>
  <si>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</si>
  <si>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</si>
  <si>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</si>
  <si>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</si>
  <si>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</si>
  <si>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</si>
  <si>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</si>
  <si>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</si>
  <si>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</si>
  <si>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</si>
  <si>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</si>
  <si>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</si>
  <si>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</si>
  <si>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</si>
  <si>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</si>
  <si>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</si>
  <si>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</si>
  <si>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</si>
  <si>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</si>
  <si>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</si>
  <si>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</si>
  <si>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</si>
  <si>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</si>
  <si>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</si>
  <si>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</si>
  <si>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</si>
  <si>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</si>
  <si>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</si>
  <si>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</si>
  <si>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</si>
  <si>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</si>
  <si>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</si>
  <si>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</si>
  <si>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</si>
  <si>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</si>
  <si>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</si>
  <si>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</si>
  <si>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</si>
  <si>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</si>
  <si>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</si>
  <si>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</si>
  <si>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</si>
  <si>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</si>
  <si>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</si>
  <si>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</si>
  <si>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</si>
  <si>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</si>
  <si>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</si>
  <si>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</si>
  <si>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</si>
  <si>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</si>
  <si>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</si>
  <si>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</si>
  <si>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</si>
  <si>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</si>
  <si>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</si>
  <si>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</si>
  <si>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</si>
  <si>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</si>
  <si>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</si>
  <si>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</si>
  <si>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</si>
  <si>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</si>
  <si>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</si>
  <si>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</si>
  <si>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</si>
  <si>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</si>
  <si>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</si>
  <si>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</si>
  <si>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</si>
  <si>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</si>
  <si>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</si>
  <si>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</si>
  <si>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</si>
  <si>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</si>
  <si>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</si>
  <si>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</si>
  <si>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</si>
  <si>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</si>
  <si>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</si>
  <si>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</si>
  <si>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</si>
  <si>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</si>
  <si>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</si>
  <si>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</si>
  <si>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</si>
  <si>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</si>
  <si>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</si>
  <si>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</si>
  <si>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</si>
  <si>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</si>
  <si>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</si>
  <si>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</si>
  <si>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</si>
  <si>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</si>
  <si>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</si>
  <si>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</si>
  <si>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</si>
  <si>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</si>
  <si>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</si>
  <si>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</si>
  <si>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</si>
  <si>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</si>
  <si>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</si>
  <si>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</si>
  <si>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</si>
  <si>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</si>
  <si>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</si>
  <si>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</si>
  <si>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</si>
  <si>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</si>
  <si>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</si>
  <si>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</si>
  <si>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</si>
  <si>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</si>
  <si>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</si>
  <si>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</si>
  <si>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</si>
  <si>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</si>
  <si>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</si>
  <si>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</si>
  <si>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</si>
  <si>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</si>
  <si>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</si>
  <si>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</si>
  <si>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</si>
  <si>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</si>
  <si>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</si>
  <si>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</si>
  <si>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</si>
  <si>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</si>
  <si>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</si>
  <si>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</si>
  <si>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</si>
  <si>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</si>
  <si>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</si>
  <si>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</si>
  <si>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</si>
  <si>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</si>
  <si>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</si>
  <si>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</si>
  <si>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</si>
  <si>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</si>
  <si>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</si>
  <si>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</si>
  <si>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</si>
  <si>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</si>
  <si>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</si>
  <si>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</si>
  <si>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</si>
  <si>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</si>
  <si>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</si>
  <si>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</si>
  <si>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</si>
  <si>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</si>
  <si>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</si>
  <si>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</si>
  <si>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</si>
  <si>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</si>
  <si>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</si>
  <si>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</si>
  <si>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</si>
  <si>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</si>
  <si>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</si>
  <si>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</si>
  <si>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</si>
  <si>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</si>
  <si>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</si>
  <si>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</si>
  <si>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</si>
  <si>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</si>
  <si>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</si>
  <si>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</si>
  <si>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</si>
  <si>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</si>
  <si>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</si>
  <si>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</si>
  <si>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</si>
  <si>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</si>
  <si>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</si>
  <si>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</si>
  <si>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</si>
  <si>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</si>
  <si>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</si>
  <si>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</si>
  <si>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</si>
  <si>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</si>
  <si>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</si>
  <si>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</si>
  <si>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</si>
  <si>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</si>
  <si>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</si>
  <si>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</si>
  <si>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</si>
  <si>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</si>
  <si>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</si>
  <si>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</si>
  <si>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</si>
  <si>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</si>
  <si>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</si>
  <si>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</si>
  <si>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</si>
  <si>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</si>
  <si>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</si>
  <si>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</si>
  <si>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</si>
  <si>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</si>
  <si>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</si>
  <si>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</si>
  <si>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</si>
  <si>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</si>
  <si>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</si>
  <si>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</si>
  <si>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</si>
  <si>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</si>
  <si>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</si>
  <si>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</si>
  <si>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</si>
  <si>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</si>
  <si>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</si>
  <si>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</si>
  <si>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</si>
  <si>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</si>
  <si>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</si>
  <si>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</si>
  <si>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</si>
  <si>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</si>
  <si>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</si>
  <si>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</si>
  <si>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</si>
  <si>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</si>
  <si>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</si>
  <si>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</si>
  <si>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</si>
  <si>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</si>
  <si>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</si>
  <si>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</si>
  <si>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</si>
  <si>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</si>
  <si>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</si>
  <si>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</si>
  <si>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</si>
  <si>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</si>
  <si>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</si>
  <si>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</si>
  <si>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</si>
  <si>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</si>
  <si>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</si>
  <si>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</si>
  <si>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</si>
  <si>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</si>
  <si>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</si>
  <si>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</si>
  <si>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</si>
  <si>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</si>
  <si>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</si>
  <si>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</si>
  <si>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</si>
  <si>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</si>
  <si>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</si>
  <si>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</si>
  <si>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</si>
  <si>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</si>
  <si>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</si>
  <si>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</si>
  <si>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</si>
  <si>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</si>
  <si>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</si>
  <si>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</si>
  <si>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</si>
  <si>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</si>
  <si>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</si>
  <si>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</si>
  <si>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</si>
  <si>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</si>
  <si>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</si>
  <si>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</si>
  <si>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</si>
  <si>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</si>
  <si>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</si>
  <si>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</si>
  <si>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</si>
  <si>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</si>
  <si>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</si>
  <si>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</si>
  <si>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</si>
  <si>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</si>
  <si>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</si>
  <si>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</si>
  <si>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</si>
  <si>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</si>
  <si>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</si>
  <si>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</si>
  <si>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</si>
  <si>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</si>
  <si>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</si>
  <si>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</si>
  <si>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</si>
  <si>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</si>
  <si>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</si>
  <si>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</si>
  <si>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</si>
  <si>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</si>
  <si>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</si>
  <si>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</si>
  <si>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</si>
  <si>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</si>
  <si>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</si>
  <si>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</si>
  <si>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</si>
  <si>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</si>
  <si>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</si>
  <si>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</si>
  <si>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</si>
  <si>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</si>
  <si>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</si>
  <si>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</si>
  <si>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</si>
  <si>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</si>
  <si>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</si>
  <si>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</si>
  <si>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</si>
  <si>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</si>
  <si>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</si>
  <si>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</si>
  <si>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</si>
  <si>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</si>
  <si>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</si>
  <si>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</si>
  <si>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</si>
  <si>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</si>
  <si>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</si>
  <si>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</si>
  <si>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</si>
  <si>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</si>
  <si>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</si>
  <si>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</si>
  <si>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</si>
  <si>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</si>
  <si>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</si>
  <si>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</si>
  <si>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</si>
  <si>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</si>
  <si>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</si>
  <si>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</si>
  <si>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</si>
  <si>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</si>
  <si>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</si>
  <si>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</si>
  <si>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</si>
  <si>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</si>
  <si>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</si>
  <si>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</si>
  <si>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</si>
  <si>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</si>
  <si>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</si>
  <si>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</si>
  <si>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</si>
  <si>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</si>
  <si>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</si>
  <si>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</si>
  <si>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</si>
  <si>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</si>
  <si>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</si>
  <si>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</si>
  <si>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</si>
  <si>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</si>
  <si>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</si>
  <si>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</si>
  <si>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</si>
  <si>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</si>
  <si>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</si>
  <si>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</si>
  <si>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</si>
  <si>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</si>
  <si>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</si>
  <si>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</si>
  <si>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</si>
  <si>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</si>
  <si>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</si>
  <si>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</si>
  <si>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</si>
  <si>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</si>
  <si>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</si>
  <si>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</si>
  <si>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</si>
  <si>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</si>
  <si>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</si>
  <si>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</si>
  <si>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</si>
  <si>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</si>
  <si>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</si>
  <si>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</si>
  <si>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</si>
  <si>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</si>
  <si>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</si>
  <si>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</si>
  <si>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</si>
  <si>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</si>
  <si>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</si>
  <si>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</si>
  <si>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</si>
  <si>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</si>
  <si>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</si>
  <si>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</si>
  <si>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</si>
  <si>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</si>
  <si>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</si>
  <si>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</si>
  <si>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</si>
  <si>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</si>
  <si>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</si>
  <si>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</si>
  <si>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</si>
  <si>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</si>
  <si>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</si>
  <si>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</si>
  <si>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</si>
  <si>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</si>
  <si>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</si>
  <si>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</si>
  <si>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</si>
  <si>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</si>
  <si>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</si>
  <si>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</si>
  <si>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</si>
  <si>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</si>
  <si>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</si>
  <si>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</si>
  <si>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</si>
  <si>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</si>
  <si>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</si>
  <si>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</si>
  <si>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</si>
  <si>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</si>
  <si>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</si>
  <si>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</si>
  <si>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</si>
  <si>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</si>
  <si>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</si>
  <si>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</si>
  <si>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</si>
  <si>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</si>
  <si>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</si>
  <si>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</si>
  <si>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</si>
  <si>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</si>
  <si>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</si>
  <si>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</si>
  <si>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</si>
  <si>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</si>
  <si>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</si>
  <si>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</si>
  <si>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</si>
  <si>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</si>
  <si>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</si>
  <si>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</si>
  <si>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</si>
  <si>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</si>
  <si>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</si>
  <si>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</si>
  <si>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</si>
  <si>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</si>
  <si>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</si>
  <si>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</si>
  <si>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</si>
  <si>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</si>
  <si>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</si>
  <si>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</si>
  <si>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</si>
  <si>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</si>
  <si>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</si>
  <si>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</si>
  <si>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</si>
  <si>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</si>
  <si>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</si>
  <si>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</si>
  <si>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</si>
  <si>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</si>
  <si>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</si>
  <si>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</si>
  <si>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</si>
  <si>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</si>
  <si>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</si>
  <si>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</si>
  <si>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</si>
  <si>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</si>
  <si>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</si>
  <si>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</si>
  <si>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</si>
  <si>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</si>
  <si>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</si>
  <si>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</si>
  <si>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</si>
  <si>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</si>
  <si>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</si>
  <si>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</si>
  <si>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</si>
  <si>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</si>
  <si>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</si>
  <si>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</si>
  <si>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</si>
  <si>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</si>
  <si>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</si>
  <si>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</si>
  <si>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</si>
  <si>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</si>
  <si>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</si>
  <si>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</si>
  <si>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</si>
  <si>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</si>
  <si>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</si>
  <si>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</si>
  <si>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</si>
  <si>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</si>
  <si>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</si>
  <si>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</si>
  <si>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</si>
  <si>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</si>
  <si>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</si>
  <si>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</si>
  <si>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</si>
  <si>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</si>
  <si>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</si>
  <si>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</si>
  <si>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</si>
  <si>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</si>
  <si>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</si>
  <si>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</si>
  <si>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</si>
  <si>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</si>
  <si>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</si>
  <si>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</si>
  <si>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</si>
  <si>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</si>
  <si>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</si>
  <si>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</si>
  <si>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</si>
  <si>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</si>
  <si>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</si>
  <si>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</si>
  <si>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</si>
  <si>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</si>
  <si>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</si>
  <si>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</si>
  <si>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</si>
  <si>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</si>
  <si>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</si>
  <si>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</si>
  <si>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</si>
  <si>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</si>
  <si>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</si>
  <si>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</si>
  <si>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</si>
  <si>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</si>
  <si>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</si>
  <si>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</si>
  <si>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</si>
  <si>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</si>
  <si>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</si>
  <si>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</si>
  <si>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</si>
  <si>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</si>
  <si>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</si>
  <si>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</si>
  <si>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</si>
  <si>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</si>
  <si>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</si>
  <si>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</si>
  <si>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</si>
  <si>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</si>
  <si>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</si>
  <si>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</si>
  <si>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</si>
  <si>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</si>
  <si>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</si>
  <si>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</si>
  <si>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</si>
  <si>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</si>
  <si>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</si>
  <si>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</si>
  <si>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</si>
  <si>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</si>
  <si>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</si>
  <si>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</si>
  <si>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</si>
  <si>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</si>
  <si>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</si>
  <si>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</si>
  <si>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</si>
  <si>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</si>
  <si>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</si>
  <si>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</si>
  <si>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</si>
  <si>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</si>
  <si>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</si>
  <si>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</si>
  <si>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</si>
  <si>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</si>
  <si>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</si>
  <si>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</si>
  <si>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</si>
  <si>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</si>
  <si>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</si>
  <si>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</si>
  <si>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</si>
  <si>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</si>
  <si>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</si>
  <si>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</si>
  <si>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</si>
  <si>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</si>
  <si>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</si>
  <si>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</si>
  <si>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</si>
  <si>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</si>
  <si>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</si>
  <si>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</si>
  <si>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</si>
  <si>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</si>
  <si>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</si>
  <si>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</si>
  <si>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</si>
  <si>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</si>
  <si>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</si>
  <si>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</si>
  <si>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</si>
  <si>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</si>
  <si>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</si>
  <si>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</si>
  <si>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</si>
  <si>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</si>
  <si>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</si>
  <si>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</si>
  <si>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</si>
  <si>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</si>
  <si>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</si>
  <si>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</si>
  <si>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</si>
  <si>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</si>
  <si>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</si>
  <si>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</si>
  <si>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</si>
  <si>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</si>
  <si>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</si>
  <si>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</si>
  <si>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</si>
  <si>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</si>
  <si>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</si>
  <si>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</si>
  <si>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</si>
  <si>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</si>
  <si>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</si>
  <si>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</si>
  <si>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</si>
  <si>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</si>
  <si>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</si>
  <si>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</si>
  <si>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</si>
  <si>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</si>
  <si>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</si>
  <si>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</si>
  <si>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</si>
  <si>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</si>
  <si>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</si>
  <si>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</si>
  <si>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</si>
  <si>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</si>
  <si>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</si>
  <si>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</si>
  <si>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</si>
  <si>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</si>
  <si>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</si>
  <si>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</si>
  <si>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</si>
  <si>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</si>
  <si>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</si>
  <si>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</si>
  <si>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</si>
  <si>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</si>
  <si>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</si>
  <si>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</si>
  <si>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</si>
  <si>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</si>
  <si>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</si>
  <si>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</si>
  <si>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</si>
  <si>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</si>
  <si>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</si>
  <si>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</si>
  <si>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</si>
  <si>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</si>
  <si>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</si>
  <si>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</si>
  <si>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</si>
  <si>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</si>
  <si>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</si>
  <si>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</si>
  <si>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</si>
  <si>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</si>
  <si>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</si>
  <si>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</si>
  <si>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</si>
  <si>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</si>
  <si>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</si>
  <si>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</si>
  <si>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</si>
  <si>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</si>
  <si>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</si>
  <si>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</si>
  <si>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</si>
  <si>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</si>
  <si>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</si>
  <si>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</si>
  <si>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</si>
  <si>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</si>
  <si>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</si>
  <si>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</si>
  <si>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</si>
  <si>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</si>
  <si>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</si>
  <si>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</si>
  <si>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</si>
  <si>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</si>
  <si>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</si>
  <si>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</si>
  <si>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</si>
  <si>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</si>
  <si>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</si>
  <si>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</si>
  <si>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</si>
  <si>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</si>
  <si>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</si>
  <si>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</si>
  <si>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</si>
  <si>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</si>
  <si>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</si>
  <si>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</si>
  <si>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</si>
  <si>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</si>
  <si>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</si>
  <si>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</si>
  <si>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</si>
  <si>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</si>
  <si>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</si>
  <si>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</si>
  <si>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</si>
  <si>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</si>
  <si>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</si>
  <si>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</si>
  <si>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</si>
  <si>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</si>
  <si>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</si>
  <si>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</si>
  <si>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</si>
  <si>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</si>
  <si>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</si>
  <si>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</si>
  <si>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</si>
  <si>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</si>
  <si>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</si>
  <si>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</si>
  <si>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</si>
  <si>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</si>
  <si>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</si>
  <si>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</si>
  <si>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</si>
  <si>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</si>
  <si>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</si>
  <si>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</si>
  <si>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</si>
  <si>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</si>
  <si>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</si>
  <si>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</si>
  <si>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</si>
  <si>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</si>
  <si>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</si>
  <si>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</si>
  <si>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</si>
  <si>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</si>
  <si>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</si>
  <si>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</si>
  <si>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</si>
  <si>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</si>
  <si>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</si>
  <si>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</si>
  <si>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</si>
  <si>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</si>
  <si>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</si>
  <si>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</si>
  <si>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</si>
  <si>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</si>
  <si>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</si>
  <si>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</si>
  <si>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</si>
  <si>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</si>
  <si>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</si>
  <si>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</si>
  <si>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</si>
  <si>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</si>
  <si>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</si>
  <si>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</si>
  <si>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</si>
  <si>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</si>
  <si>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</si>
  <si>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</si>
  <si>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</si>
  <si>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</si>
  <si>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</si>
  <si>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</si>
  <si>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</si>
  <si>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</si>
  <si>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</si>
  <si>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</si>
  <si>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</si>
  <si>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</si>
  <si>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</si>
  <si>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</si>
  <si>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</si>
  <si>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</si>
  <si>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</si>
  <si>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</si>
  <si>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</si>
  <si>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</si>
  <si>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</si>
  <si>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</si>
  <si>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</si>
  <si>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</si>
  <si>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</si>
  <si>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</si>
  <si>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</si>
  <si>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</si>
  <si>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</si>
  <si>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</si>
  <si>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</si>
  <si>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</si>
  <si>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</si>
  <si>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</si>
  <si>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</si>
  <si>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</si>
  <si>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</si>
  <si>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</si>
  <si>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</si>
  <si>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</si>
  <si>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</si>
  <si>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</si>
  <si>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</si>
  <si>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</si>
  <si>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</si>
  <si>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</si>
  <si>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</si>
  <si>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</si>
  <si>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</si>
  <si>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</si>
  <si>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</si>
  <si>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</si>
  <si>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</si>
  <si>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</si>
  <si>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</si>
  <si>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</si>
  <si>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</si>
  <si>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</si>
  <si>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</si>
  <si>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</si>
  <si>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</si>
  <si>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</si>
  <si>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</si>
  <si>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</si>
  <si>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</si>
  <si>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</si>
  <si>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</si>
  <si>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</si>
  <si>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</si>
  <si>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</si>
  <si>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</si>
  <si>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</si>
  <si>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</si>
  <si>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</si>
  <si>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</si>
  <si>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</si>
  <si>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</si>
  <si>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</si>
  <si>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</si>
  <si>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</si>
  <si>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</si>
  <si>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</si>
  <si>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</si>
  <si>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</si>
  <si>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</si>
  <si>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</si>
  <si>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</si>
  <si>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</si>
  <si>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</si>
  <si>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</si>
  <si>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</si>
  <si>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</si>
  <si>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</si>
  <si>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</si>
  <si>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</si>
  <si>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</si>
  <si>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</si>
  <si>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</si>
  <si>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</si>
  <si>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</si>
  <si>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</si>
  <si>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</si>
  <si>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</si>
  <si>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</si>
  <si>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</si>
  <si>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</si>
  <si>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</si>
  <si>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</si>
  <si>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</si>
  <si>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</si>
  <si>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</si>
  <si>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</si>
  <si>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</si>
  <si>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</si>
  <si>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</si>
  <si>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</si>
  <si>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</si>
  <si>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</si>
  <si>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</si>
  <si>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</si>
  <si>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</si>
  <si>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</si>
  <si>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</si>
  <si>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</si>
  <si>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</si>
  <si>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</si>
  <si>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</si>
  <si>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</si>
  <si>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</si>
  <si>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</si>
  <si>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</si>
  <si>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</si>
  <si>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</si>
  <si>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</si>
  <si>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</si>
  <si>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</si>
  <si>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</si>
  <si>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</si>
  <si>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</si>
  <si>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</si>
  <si>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</si>
  <si>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</si>
  <si>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</si>
  <si>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</si>
  <si>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</si>
  <si>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</si>
  <si>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</si>
  <si>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</si>
  <si>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</si>
  <si>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</si>
  <si>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</si>
  <si>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</si>
  <si>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</si>
  <si>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</si>
  <si>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</si>
  <si>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</si>
  <si>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</si>
  <si>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</si>
  <si>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</si>
  <si>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</si>
  <si>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</si>
  <si>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</si>
  <si>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</si>
  <si>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</si>
  <si>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</si>
  <si>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</si>
  <si>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</si>
  <si>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</si>
  <si>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</si>
  <si>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</si>
  <si>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</si>
  <si>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</si>
  <si>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</si>
  <si>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</si>
  <si>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</si>
  <si>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</si>
  <si>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</si>
  <si>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</si>
  <si>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</si>
  <si>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</si>
  <si>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</si>
  <si>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</si>
  <si>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</si>
  <si>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</si>
  <si>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</si>
  <si>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</si>
  <si>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</si>
  <si>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</si>
  <si>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</si>
  <si>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</si>
  <si>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</si>
  <si>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</si>
  <si>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</si>
  <si>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</si>
  <si>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</si>
  <si>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</si>
  <si>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</si>
  <si>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</si>
  <si>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</si>
  <si>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</si>
  <si>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</si>
  <si>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</si>
  <si>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</si>
  <si>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</si>
  <si>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</si>
  <si>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</si>
  <si>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</si>
  <si>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</si>
  <si>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</si>
  <si>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</si>
  <si>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</si>
  <si>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</si>
  <si>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</si>
  <si>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</si>
  <si>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</si>
  <si>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</si>
  <si>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</si>
  <si>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</si>
  <si>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</si>
  <si>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</si>
  <si>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</si>
  <si>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</si>
  <si>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</si>
  <si>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</si>
  <si>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</si>
  <si>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</si>
  <si>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</si>
  <si>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</si>
  <si>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</si>
  <si>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</si>
  <si>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</si>
  <si>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</si>
  <si>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</si>
  <si>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</si>
  <si>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</si>
  <si>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</si>
  <si>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</si>
  <si>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</si>
  <si>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</si>
  <si>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</si>
  <si>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</si>
  <si>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</si>
  <si>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</si>
  <si>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</si>
  <si>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</si>
  <si>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</si>
  <si>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</si>
  <si>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</si>
  <si>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</si>
  <si>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</si>
  <si>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</si>
  <si>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</si>
  <si>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</si>
  <si>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</si>
  <si>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</si>
  <si>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</si>
  <si>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</si>
  <si>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</si>
  <si>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</si>
  <si>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</si>
  <si>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</si>
  <si>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</si>
  <si>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</si>
  <si>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</si>
  <si>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</si>
  <si>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</si>
  <si>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</si>
  <si>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</si>
  <si>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</si>
  <si>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</si>
  <si>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</si>
  <si>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</si>
  <si>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</si>
  <si>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</si>
  <si>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</si>
  <si>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</si>
  <si>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</si>
  <si>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</si>
  <si>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</si>
  <si>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</si>
  <si>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</si>
  <si>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</si>
  <si>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</si>
  <si>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</si>
  <si>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</si>
  <si>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</si>
  <si>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</si>
  <si>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</si>
  <si>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</si>
  <si>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</si>
  <si>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</si>
  <si>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</si>
  <si>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</si>
  <si>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</si>
  <si>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</si>
  <si>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</si>
  <si>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</si>
  <si>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</si>
  <si>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</si>
  <si>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</si>
  <si>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</si>
  <si>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</si>
  <si>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</si>
  <si>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</si>
  <si>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</si>
  <si>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</si>
  <si>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</si>
  <si>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</si>
  <si>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</si>
  <si>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</si>
  <si>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</si>
  <si>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</si>
  <si>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</si>
  <si>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</si>
  <si>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</si>
  <si>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</si>
  <si>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</si>
  <si>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</si>
  <si>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</si>
  <si>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</si>
  <si>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</si>
  <si>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</si>
  <si>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</si>
  <si>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</si>
  <si>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</si>
  <si>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</si>
  <si>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</si>
  <si>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</si>
  <si>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</si>
  <si>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</si>
  <si>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</si>
  <si>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</si>
  <si>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</si>
  <si>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</si>
  <si>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</si>
  <si>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</si>
  <si>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</si>
  <si>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</si>
  <si>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</si>
  <si>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</si>
  <si>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</si>
  <si>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</si>
  <si>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</si>
  <si>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</si>
  <si>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</si>
  <si>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</si>
  <si>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</si>
  <si>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</si>
  <si>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</si>
  <si>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</si>
  <si>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</si>
  <si>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</si>
  <si>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</si>
  <si>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</si>
  <si>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</si>
  <si>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</si>
  <si>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</si>
  <si>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</si>
  <si>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</si>
  <si>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</si>
  <si>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</si>
  <si>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</si>
  <si>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</si>
  <si>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</si>
  <si>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</si>
  <si>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</si>
  <si>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</si>
  <si>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</si>
  <si>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</si>
  <si>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</si>
  <si>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</si>
  <si>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</si>
  <si>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</si>
  <si>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</si>
  <si>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</si>
  <si>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</si>
  <si>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</si>
  <si>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</si>
  <si>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</si>
  <si>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</si>
  <si>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</si>
  <si>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</si>
  <si>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</si>
  <si>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</si>
  <si>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</si>
  <si>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</si>
  <si>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</si>
  <si>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</si>
  <si>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</si>
  <si>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</si>
  <si>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</si>
  <si>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</si>
  <si>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</si>
  <si>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</si>
  <si>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</si>
  <si>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</si>
  <si>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</si>
  <si>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</si>
  <si>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</si>
  <si>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</si>
  <si>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</si>
  <si>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</si>
  <si>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</si>
  <si>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</si>
  <si>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</si>
  <si>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</si>
  <si>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</si>
  <si>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</si>
  <si>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</si>
  <si>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</si>
  <si>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</si>
  <si>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</si>
  <si>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</si>
  <si>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</si>
  <si>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</si>
  <si>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</si>
  <si>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</si>
  <si>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</si>
  <si>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</si>
  <si>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</si>
  <si>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</si>
  <si>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</si>
  <si>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</si>
  <si>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</si>
  <si>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</si>
  <si>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</si>
  <si>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</si>
  <si>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</si>
  <si>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</si>
  <si>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</si>
  <si>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</si>
  <si>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</si>
  <si>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</si>
  <si>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</si>
  <si>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</si>
  <si>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</si>
  <si>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</si>
  <si>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</si>
  <si>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房权证号</t>
    <phoneticPr fontId="135" type="noConversion"/>
  </si>
  <si>
    <r>
      <t>京房权证朝私0</t>
    </r>
    <r>
      <rPr>
        <sz val="11"/>
        <color theme="1"/>
        <rFont val="宋体"/>
        <family val="3"/>
        <charset val="134"/>
        <scheme val="minor"/>
      </rPr>
      <t>7字第229943号</t>
    </r>
    <phoneticPr fontId="135" type="noConversion"/>
  </si>
  <si>
    <t>产权人</t>
    <phoneticPr fontId="135" type="noConversion"/>
  </si>
  <si>
    <t>座落</t>
    <phoneticPr fontId="135" type="noConversion"/>
  </si>
  <si>
    <t>李胜利</t>
    <phoneticPr fontId="135" type="noConversion"/>
  </si>
  <si>
    <r>
      <t>朝阳区朝阳路6</t>
    </r>
    <r>
      <rPr>
        <sz val="11"/>
        <color theme="1"/>
        <rFont val="宋体"/>
        <family val="3"/>
        <charset val="134"/>
        <scheme val="minor"/>
      </rPr>
      <t>9号1号楼1-3（1-3）号</t>
    </r>
    <phoneticPr fontId="135" type="noConversion"/>
  </si>
  <si>
    <t>产别</t>
    <phoneticPr fontId="135" type="noConversion"/>
  </si>
  <si>
    <t>私有产</t>
    <phoneticPr fontId="135" type="noConversion"/>
  </si>
  <si>
    <t>幢号</t>
    <phoneticPr fontId="135" type="noConversion"/>
  </si>
  <si>
    <t>房号</t>
    <phoneticPr fontId="135" type="noConversion"/>
  </si>
  <si>
    <t>结构</t>
    <phoneticPr fontId="135" type="noConversion"/>
  </si>
  <si>
    <t>房屋总层数</t>
    <phoneticPr fontId="135" type="noConversion"/>
  </si>
  <si>
    <t>所在层数</t>
    <phoneticPr fontId="135" type="noConversion"/>
  </si>
  <si>
    <t>建筑面积</t>
    <phoneticPr fontId="135" type="noConversion"/>
  </si>
  <si>
    <t>设计用途</t>
    <phoneticPr fontId="135" type="noConversion"/>
  </si>
  <si>
    <t>钢混</t>
    <phoneticPr fontId="135" type="noConversion"/>
  </si>
  <si>
    <t>14（-01）</t>
    <phoneticPr fontId="135" type="noConversion"/>
  </si>
  <si>
    <t>配套</t>
    <phoneticPr fontId="135" type="noConversion"/>
  </si>
  <si>
    <t>1-3（1-3）</t>
    <phoneticPr fontId="135" type="noConversion"/>
  </si>
  <si>
    <t>朝阳区朝阳路69号1号楼1-3（1-4）号</t>
    <phoneticPr fontId="135" type="noConversion"/>
  </si>
  <si>
    <t>建成年份</t>
    <phoneticPr fontId="135" type="noConversion"/>
  </si>
  <si>
    <t>1-3（1-4）</t>
  </si>
  <si>
    <t>朝阳区朝阳路69号1号楼1-3（1-2）号</t>
    <phoneticPr fontId="135" type="noConversion"/>
  </si>
  <si>
    <r>
      <t>1-3（1-</t>
    </r>
    <r>
      <rPr>
        <sz val="11"/>
        <color theme="1"/>
        <rFont val="宋体"/>
        <family val="3"/>
        <charset val="134"/>
        <scheme val="minor"/>
      </rPr>
      <t>2</t>
    </r>
    <r>
      <rPr>
        <sz val="11"/>
        <color theme="1"/>
        <rFont val="宋体"/>
        <family val="3"/>
        <charset val="134"/>
        <scheme val="minor"/>
      </rPr>
      <t>）</t>
    </r>
    <phoneticPr fontId="135" type="noConversion"/>
  </si>
  <si>
    <t>朝阳区朝阳路69号1号楼1-3（1-1）号</t>
    <phoneticPr fontId="135" type="noConversion"/>
  </si>
  <si>
    <r>
      <t>1-3（1-1</t>
    </r>
    <r>
      <rPr>
        <sz val="11"/>
        <color theme="1"/>
        <rFont val="宋体"/>
        <family val="3"/>
        <charset val="134"/>
        <scheme val="minor"/>
      </rPr>
      <t>）</t>
    </r>
    <phoneticPr fontId="135" type="noConversion"/>
  </si>
  <si>
    <t>合计</t>
    <phoneticPr fontId="135" type="noConversion"/>
  </si>
  <si>
    <t>核定资产</t>
  </si>
  <si>
    <t>房地产市场价值</t>
  </si>
  <si>
    <t>北京市</t>
  </si>
  <si>
    <t>自然人</t>
  </si>
  <si>
    <r>
      <rPr>
        <sz val="10"/>
        <color theme="9" tint="-0.249977111117893"/>
        <rFont val="宋体"/>
        <family val="3"/>
        <charset val="134"/>
      </rPr>
      <t>朝阳区朝阳路</t>
    </r>
    <r>
      <rPr>
        <sz val="10"/>
        <color theme="9" tint="-0.249977111117893"/>
        <rFont val="Arial"/>
        <family val="2"/>
      </rPr>
      <t>69</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t>
    </r>
    <r>
      <rPr>
        <sz val="10"/>
        <color theme="9" tint="-0.249977111117893"/>
        <rFont val="Arial"/>
        <family val="2"/>
      </rPr>
      <t>1-1</t>
    </r>
    <r>
      <rPr>
        <sz val="10"/>
        <color theme="9" tint="-0.249977111117893"/>
        <rFont val="宋体"/>
        <family val="3"/>
        <charset val="134"/>
      </rPr>
      <t>）号等</t>
    </r>
    <r>
      <rPr>
        <sz val="10"/>
        <color theme="9" tint="-0.249977111117893"/>
        <rFont val="Arial"/>
        <family val="2"/>
      </rPr>
      <t>4</t>
    </r>
    <r>
      <rPr>
        <sz val="10"/>
        <color theme="9" tint="-0.249977111117893"/>
        <rFont val="宋体"/>
        <family val="3"/>
        <charset val="134"/>
      </rPr>
      <t>套</t>
    </r>
    <phoneticPr fontId="7" type="noConversion"/>
  </si>
  <si>
    <t>配套</t>
    <phoneticPr fontId="7" type="noConversion"/>
  </si>
  <si>
    <t>否</t>
  </si>
  <si>
    <t>商业项目</t>
  </si>
  <si>
    <t>现房</t>
  </si>
  <si>
    <t>是</t>
  </si>
  <si>
    <t>地上</t>
  </si>
  <si>
    <t>1-3（1-1）</t>
  </si>
  <si>
    <t>成新度</t>
  </si>
  <si>
    <t>产权证</t>
    <phoneticPr fontId="4" type="noConversion"/>
  </si>
  <si>
    <t>直线</t>
    <phoneticPr fontId="4" type="noConversion"/>
  </si>
  <si>
    <t>观察</t>
    <phoneticPr fontId="4" type="noConversion"/>
  </si>
  <si>
    <t>综合</t>
    <phoneticPr fontId="4" type="noConversion"/>
  </si>
  <si>
    <t>收益法 (元)</t>
  </si>
  <si>
    <t>高碑店</t>
    <phoneticPr fontId="4" type="noConversion"/>
  </si>
  <si>
    <t>单套模式</t>
  </si>
  <si>
    <t>租金</t>
  </si>
  <si>
    <t>朝阳路69号</t>
    <phoneticPr fontId="4" type="noConversion"/>
  </si>
  <si>
    <t>项目位置</t>
    <phoneticPr fontId="4" type="noConversion"/>
  </si>
  <si>
    <t>正常</t>
  </si>
  <si>
    <t>商业</t>
    <phoneticPr fontId="31" type="noConversion"/>
  </si>
  <si>
    <t>挂牌价</t>
  </si>
  <si>
    <t>双面临街</t>
  </si>
  <si>
    <t>单面临街</t>
  </si>
  <si>
    <t>较好</t>
  </si>
  <si>
    <t>一般</t>
  </si>
  <si>
    <t>较差</t>
  </si>
  <si>
    <t>较大</t>
  </si>
  <si>
    <t>较小</t>
  </si>
  <si>
    <r>
      <rPr>
        <sz val="11"/>
        <color indexed="8"/>
        <rFont val="Arial"/>
        <family val="2"/>
      </rPr>
      <t>1</t>
    </r>
    <r>
      <rPr>
        <sz val="11"/>
        <color indexed="8"/>
        <rFont val="宋体"/>
        <family val="3"/>
        <charset val="134"/>
      </rPr>
      <t>层</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</si>
  <si>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</si>
  <si>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</si>
  <si>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</si>
  <si>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</si>
  <si>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配套底商</t>
  </si>
  <si>
    <t>钢混</t>
  </si>
  <si>
    <t>可餐饮</t>
  </si>
  <si>
    <t>不可餐饮</t>
  </si>
  <si>
    <t>超高层高</t>
  </si>
  <si>
    <t>标准层高</t>
  </si>
  <si>
    <t>精装修</t>
  </si>
  <si>
    <t>普通装修</t>
  </si>
  <si>
    <t>简单装修</t>
  </si>
  <si>
    <t>毛坯</t>
  </si>
  <si>
    <t>1层</t>
  </si>
  <si>
    <t>1层</t>
    <phoneticPr fontId="135" type="noConversion"/>
  </si>
  <si>
    <t>层高较高，已隔成两层使用</t>
    <phoneticPr fontId="135" type="noConversion"/>
  </si>
  <si>
    <t>面积</t>
  </si>
  <si>
    <t>华业玫瑰东方</t>
    <phoneticPr fontId="135" type="noConversion"/>
  </si>
  <si>
    <t>楼层</t>
    <phoneticPr fontId="135" type="noConversion"/>
  </si>
  <si>
    <t>日租金</t>
    <phoneticPr fontId="135" type="noConversion"/>
  </si>
  <si>
    <t>天鹅湾北区</t>
    <phoneticPr fontId="135" type="noConversion"/>
  </si>
  <si>
    <t>层高较高，已隔成两层使用，2层是1层面积的70%</t>
    <phoneticPr fontId="135" type="noConversion"/>
  </si>
  <si>
    <t>爱这城三期</t>
    <phoneticPr fontId="135" type="noConversion"/>
  </si>
  <si>
    <t>天鹅湾南区</t>
    <phoneticPr fontId="135" type="noConversion"/>
  </si>
  <si>
    <t>七通</t>
  </si>
  <si>
    <t>较好</t>
    <phoneticPr fontId="31" type="noConversion"/>
  </si>
  <si>
    <t>临路状况</t>
    <phoneticPr fontId="31" type="noConversion"/>
  </si>
  <si>
    <t>主干道</t>
    <phoneticPr fontId="31" type="noConversion"/>
  </si>
  <si>
    <t>支路</t>
    <phoneticPr fontId="31" type="noConversion"/>
  </si>
  <si>
    <t>中指</t>
  </si>
  <si>
    <t>中指</t>
    <phoneticPr fontId="31" type="noConversion"/>
  </si>
  <si>
    <t>三部系统</t>
    <phoneticPr fontId="31" type="noConversion"/>
  </si>
  <si>
    <t>收益法</t>
  </si>
  <si>
    <t>序号</t>
  </si>
  <si>
    <t>项目</t>
  </si>
  <si>
    <t>数额（元）</t>
  </si>
  <si>
    <t>计算公式</t>
  </si>
  <si>
    <t>收费标准</t>
  </si>
  <si>
    <t>一</t>
  </si>
  <si>
    <t>房地产价值</t>
  </si>
  <si>
    <t>依据市场比较法得出</t>
  </si>
  <si>
    <t>建筑面积（㎡）</t>
  </si>
  <si>
    <t>建成年代</t>
  </si>
  <si>
    <t>二</t>
  </si>
  <si>
    <t>房地产未来第一年净收益</t>
  </si>
  <si>
    <r>
      <rPr>
        <sz val="10"/>
        <color theme="1"/>
        <rFont val="仿宋_GB2312"/>
        <charset val="134"/>
      </rPr>
      <t>房地产价值×(Y-g)/{1-[(1+g)/(1+Y)]</t>
    </r>
    <r>
      <rPr>
        <vertAlign val="superscript"/>
        <sz val="10"/>
        <color theme="1"/>
        <rFont val="仿宋_GB2312"/>
        <charset val="134"/>
      </rPr>
      <t xml:space="preserve"> n</t>
    </r>
    <r>
      <rPr>
        <sz val="10"/>
        <color theme="1"/>
        <rFont val="仿宋_GB2312"/>
        <charset val="134"/>
      </rPr>
      <t xml:space="preserve"> }</t>
    </r>
  </si>
  <si>
    <t>资本化率（Y）</t>
  </si>
  <si>
    <t>推算土地使用期限</t>
  </si>
  <si>
    <t>收益年期(n)</t>
  </si>
  <si>
    <t>年增长比率(g)</t>
  </si>
  <si>
    <t>三</t>
  </si>
  <si>
    <t>建筑物现值</t>
  </si>
  <si>
    <t>V×成新度</t>
  </si>
  <si>
    <t>成新度（%）</t>
  </si>
  <si>
    <t>1.1</t>
  </si>
  <si>
    <t>建安费用</t>
  </si>
  <si>
    <t>建安单价×面积指标</t>
  </si>
  <si>
    <t>建安单价（元/建筑㎡）</t>
  </si>
  <si>
    <t>1.2</t>
  </si>
  <si>
    <t>勘察设计和前期工程费</t>
  </si>
  <si>
    <t>1.1×费率</t>
  </si>
  <si>
    <t>1.3</t>
  </si>
  <si>
    <t>公共配套设施建设费</t>
  </si>
  <si>
    <t>1.4</t>
  </si>
  <si>
    <t>基础设施建设费</t>
  </si>
  <si>
    <t>面积指标×取费标准</t>
  </si>
  <si>
    <t>取费标准（元/建筑㎡）</t>
  </si>
  <si>
    <t>1.5</t>
  </si>
  <si>
    <t>相关税费</t>
  </si>
  <si>
    <t>1</t>
  </si>
  <si>
    <t>建造成本</t>
  </si>
  <si>
    <t>1.1～1.5项之和</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</si>
  <si>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</si>
  <si>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</si>
  <si>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</si>
  <si>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</si>
  <si>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</si>
  <si>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</si>
  <si>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</si>
  <si>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</si>
  <si>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</si>
  <si>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</si>
  <si>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</si>
  <si>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</si>
  <si>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</si>
  <si>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</si>
  <si>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</si>
  <si>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</si>
  <si>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</si>
  <si>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</si>
  <si>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</si>
  <si>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</si>
  <si>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</si>
  <si>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</si>
  <si>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</si>
  <si>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</si>
  <si>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</si>
  <si>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</si>
  <si>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</si>
  <si>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</si>
  <si>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</si>
  <si>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</si>
  <si>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</si>
  <si>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</si>
  <si>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</si>
  <si>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</si>
  <si>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</si>
  <si>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</si>
  <si>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</si>
  <si>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</si>
  <si>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</si>
  <si>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</si>
  <si>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</si>
  <si>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</si>
  <si>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</si>
  <si>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</si>
  <si>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</si>
  <si>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</si>
  <si>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</si>
  <si>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</si>
  <si>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</si>
  <si>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</si>
  <si>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</si>
  <si>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</si>
  <si>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</si>
  <si>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</si>
  <si>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</si>
  <si>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</si>
  <si>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</si>
  <si>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</si>
  <si>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</si>
  <si>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</si>
  <si>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</si>
  <si>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权重</t>
  </si>
  <si>
    <t>租金（元/㎡·天）</t>
  </si>
  <si>
    <t>比较法（建筑面积）</t>
  </si>
  <si>
    <t>收益法（建筑面积）</t>
  </si>
  <si>
    <t>权重单价（建筑面积）</t>
  </si>
  <si>
    <t>使用面积/建筑面积</t>
  </si>
  <si>
    <t>权重单价（使用面积）</t>
  </si>
  <si>
    <t>市场租金水平（不含物业、能源）</t>
  </si>
  <si>
    <t>~</t>
  </si>
  <si>
    <t>测算：</t>
  </si>
  <si>
    <t>一审：</t>
  </si>
  <si>
    <t>二审：</t>
  </si>
  <si>
    <t>租金案例</t>
  </si>
  <si>
    <t>含税租金</t>
  </si>
  <si>
    <t>案例1</t>
  </si>
  <si>
    <t>案例2</t>
  </si>
  <si>
    <t>案例3</t>
  </si>
  <si>
    <t>临街</t>
  </si>
  <si>
    <t>层高高</t>
    <phoneticPr fontId="135" type="noConversion"/>
  </si>
  <si>
    <t>沿海赛洛城五期</t>
    <phoneticPr fontId="135" type="noConversion"/>
  </si>
  <si>
    <t>世纪东方城南区</t>
    <phoneticPr fontId="135" type="noConversion"/>
  </si>
  <si>
    <t>临街</t>
    <phoneticPr fontId="135" type="noConversion"/>
  </si>
  <si>
    <t>三部系统</t>
    <phoneticPr fontId="135" type="noConversion"/>
  </si>
  <si>
    <t>支路</t>
    <phoneticPr fontId="135" type="noConversion"/>
  </si>
  <si>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</si>
  <si>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</si>
  <si>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</si>
  <si>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</si>
  <si>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t>10-20</t>
    </r>
    <r>
      <rPr>
        <sz val="11"/>
        <color indexed="8"/>
        <rFont val="宋体"/>
        <family val="3"/>
        <charset val="134"/>
      </rPr>
      <t>（含）</t>
    </r>
    <phoneticPr fontId="135" type="noConversion"/>
  </si>
  <si>
    <t>售价</t>
  </si>
  <si>
    <t>1-3（1-1）</t>
    <phoneticPr fontId="25" type="noConversion"/>
  </si>
  <si>
    <r>
      <t>1-3</t>
    </r>
    <r>
      <rPr>
        <sz val="10"/>
        <color indexed="8"/>
        <rFont val="宋体"/>
        <family val="3"/>
        <charset val="134"/>
      </rPr>
      <t>（</t>
    </r>
    <r>
      <rPr>
        <sz val="10"/>
        <color indexed="8"/>
        <rFont val="Arial"/>
        <family val="2"/>
      </rPr>
      <t>1-2</t>
    </r>
    <r>
      <rPr>
        <sz val="10"/>
        <color indexed="8"/>
        <rFont val="宋体"/>
        <family val="3"/>
        <charset val="134"/>
      </rPr>
      <t>）</t>
    </r>
    <phoneticPr fontId="25" type="noConversion"/>
  </si>
  <si>
    <r>
      <t>1-3</t>
    </r>
    <r>
      <rPr>
        <sz val="10"/>
        <color indexed="8"/>
        <rFont val="宋体"/>
        <family val="3"/>
        <charset val="134"/>
      </rPr>
      <t>（</t>
    </r>
    <r>
      <rPr>
        <sz val="10"/>
        <color indexed="8"/>
        <rFont val="Arial"/>
        <family val="2"/>
      </rPr>
      <t>1-3</t>
    </r>
    <r>
      <rPr>
        <sz val="10"/>
        <color indexed="8"/>
        <rFont val="宋体"/>
        <family val="3"/>
        <charset val="134"/>
      </rPr>
      <t>）</t>
    </r>
    <phoneticPr fontId="25" type="noConversion"/>
  </si>
  <si>
    <r>
      <t>1-3</t>
    </r>
    <r>
      <rPr>
        <sz val="10"/>
        <color indexed="8"/>
        <rFont val="宋体"/>
        <family val="3"/>
        <charset val="134"/>
      </rPr>
      <t>（</t>
    </r>
    <r>
      <rPr>
        <sz val="10"/>
        <color indexed="8"/>
        <rFont val="Arial"/>
        <family val="2"/>
      </rPr>
      <t>1-4</t>
    </r>
    <r>
      <rPr>
        <sz val="10"/>
        <color indexed="8"/>
        <rFont val="宋体"/>
        <family val="3"/>
        <charset val="134"/>
      </rPr>
      <t>）</t>
    </r>
    <phoneticPr fontId="25" type="noConversion"/>
  </si>
  <si>
    <t>装修状况</t>
    <phoneticPr fontId="4" type="noConversion"/>
  </si>
  <si>
    <t>价格区间</t>
    <phoneticPr fontId="31" type="noConversion"/>
  </si>
  <si>
    <t>仅用比较法租金评估</t>
    <phoneticPr fontId="31" type="noConversion"/>
  </si>
  <si>
    <t>商业</t>
    <phoneticPr fontId="8" type="noConversion"/>
  </si>
  <si>
    <r>
      <t>京房权证朝私0</t>
    </r>
    <r>
      <rPr>
        <sz val="11"/>
        <color theme="1"/>
        <rFont val="宋体"/>
        <family val="3"/>
        <charset val="134"/>
        <scheme val="minor"/>
      </rPr>
      <t>7字第229946号</t>
    </r>
    <r>
      <rPr>
        <sz val="11"/>
        <color theme="1"/>
        <rFont val="宋体"/>
        <family val="2"/>
        <scheme val="minor"/>
      </rPr>
      <t/>
    </r>
    <phoneticPr fontId="135" type="noConversion"/>
  </si>
  <si>
    <r>
      <t>京房权证朝私0</t>
    </r>
    <r>
      <rPr>
        <sz val="11"/>
        <color theme="1"/>
        <rFont val="宋体"/>
        <family val="3"/>
        <charset val="134"/>
        <scheme val="minor"/>
      </rPr>
      <t>7字第229945号</t>
    </r>
    <r>
      <rPr>
        <sz val="11"/>
        <color theme="1"/>
        <rFont val="宋体"/>
        <family val="2"/>
        <scheme val="minor"/>
      </rPr>
      <t/>
    </r>
    <phoneticPr fontId="135" type="noConversion"/>
  </si>
  <si>
    <r>
      <t>京房权证朝私0</t>
    </r>
    <r>
      <rPr>
        <sz val="11"/>
        <color theme="1"/>
        <rFont val="宋体"/>
        <family val="3"/>
        <charset val="134"/>
        <scheme val="minor"/>
      </rPr>
      <t>7字第229944号</t>
    </r>
    <r>
      <rPr>
        <sz val="11"/>
        <color theme="1"/>
        <rFont val="宋体"/>
        <family val="2"/>
        <scheme val="minor"/>
      </rPr>
      <t/>
    </r>
    <phoneticPr fontId="135" type="noConversion"/>
  </si>
  <si>
    <t>——</t>
    <phoneticPr fontId="135" type="noConversion"/>
  </si>
  <si>
    <t>价格区间</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</si>
</sst>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b/>
      <sz val="10"/>
      <color theme="1"/>
      <name val="仿宋_GB2312"/>
      <charset val="134"/>
    </font>
    <font>
      <sz val="10"/>
      <color theme="1"/>
      <name val="仿宋_GB2312"/>
      <charset val="134"/>
    </font>
    <font>
      <b/>
      <sz val="9"/>
      <name val="宋体"/>
      <family val="3"/>
      <charset val="134"/>
      <scheme val="minor"/>
    </font>
    <font>
      <sz val="9"/>
      <color rgb="FFFF0000"/>
      <name val="宋体"/>
      <family val="3"/>
      <charset val="134"/>
      <scheme val="minor"/>
    </font>
    <font>
      <sz val="11"/>
      <color rgb="FFFF0000"/>
      <name val="宋体"/>
      <family val="3"/>
      <charset val="134"/>
      <scheme val="minor"/>
    </font>
    <font>
      <sz val="10"/>
      <name val="宋体"/>
      <family val="3"/>
      <charset val="134"/>
      <scheme val="minor"/>
    </font>
    <font>
      <sz val="10"/>
      <color theme="1"/>
      <name val="宋体"/>
      <family val="3"/>
      <charset val="134"/>
      <scheme val="major"/>
    </font>
    <font>
      <sz val="12"/>
      <color theme="1"/>
      <name val="楷体_GB2312"/>
      <charset val="134"/>
    </font>
    <font>
      <b/>
      <sz val="9"/>
      <color indexed="10"/>
      <name val="宋体"/>
      <family val="3"/>
      <charset val="134"/>
    </font>
    <font>
      <b/>
      <sz val="9"/>
      <name val="宋体"/>
      <family val="3"/>
      <charset val="134"/>
    </font>
    <font>
      <vertAlign val="superscript"/>
      <sz val="10"/>
      <color theme="1"/>
      <name val="仿宋_GB2312"/>
      <charset val="134"/>
    </font>
    <font>
      <sz val="10"/>
      <color indexed="10"/>
      <name val="仿宋_GB2312"/>
      <charset val="134"/>
    </font>
    <font>
      <sz val="10"/>
      <color indexed="8"/>
      <name val="仿宋_GB231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0" fontId="37" fillId="0" borderId="0"/>
    <xf numFmtId="9" fontId="96" fillId="0" borderId="0" applyFont="0" applyFill="0" applyBorder="0" applyAlignment="0" applyProtection="0">
      <alignment vertical="center"/>
    </xf>
    <xf numFmtId="0" fontId="281" fillId="0" borderId="0">
      <alignment vertical="center"/>
    </xf>
    <xf numFmtId="0" fontId="281" fillId="0" borderId="0">
      <alignment vertical="center"/>
    </xf>
    <xf numFmtId="0" fontId="281" fillId="0" borderId="0">
      <alignment vertical="center"/>
    </xf>
    <xf numFmtId="0" fontId="281" fillId="0" borderId="0">
      <alignment vertical="center"/>
    </xf>
    <xf numFmtId="0" fontId="281" fillId="0" borderId="0">
      <alignment vertical="center"/>
    </xf>
    <xf numFmtId="0" fontId="281" fillId="0" borderId="0">
      <alignment vertical="center"/>
    </xf>
    <xf numFmtId="0" fontId="281" fillId="0" borderId="0">
      <alignment vertical="center"/>
    </xf>
    <xf numFmtId="0" fontId="281" fillId="0" borderId="0">
      <alignment vertical="center"/>
    </xf>
    <xf numFmtId="0" fontId="96" fillId="0" borderId="0"/>
    <xf numFmtId="0" fontId="96" fillId="0" borderId="0"/>
    <xf numFmtId="43" fontId="96" fillId="0" borderId="0" applyFont="0" applyFill="0" applyBorder="0" applyAlignment="0" applyProtection="0">
      <alignment vertical="center"/>
    </xf>
  </cellStyleXfs>
  <cellXfs count="36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49" fontId="273" fillId="12" borderId="4" xfId="0" applyNumberFormat="1" applyFont="1" applyFill="1" applyBorder="1" applyAlignment="1" applyProtection="1">
      <alignment horizontal="left" vertical="center"/>
      <protection locked="0"/>
    </xf>
    <xf numFmtId="0" fontId="78" fillId="12" borderId="0" xfId="0" applyFont="1" applyFill="1" applyProtection="1">
      <alignment vertical="center"/>
      <protection locked="0"/>
    </xf>
    <xf numFmtId="179" fontId="129" fillId="12" borderId="0" xfId="0" applyNumberFormat="1" applyFont="1" applyFill="1" applyProtection="1">
      <alignment vertical="center"/>
      <protection locked="0"/>
    </xf>
    <xf numFmtId="0" fontId="129" fillId="0" borderId="51" xfId="0" applyFont="1" applyBorder="1" applyAlignment="1" applyProtection="1">
      <alignment horizontal="center" vertical="center" wrapText="1"/>
      <protection locked="0"/>
    </xf>
    <xf numFmtId="0" fontId="114" fillId="12" borderId="58" xfId="0" applyFont="1" applyFill="1" applyBorder="1">
      <alignment vertical="center"/>
    </xf>
    <xf numFmtId="0" fontId="275" fillId="0" borderId="5" xfId="10" applyFont="1" applyBorder="1" applyAlignment="1">
      <alignment horizontal="right" vertical="center" wrapText="1" shrinkToFit="1"/>
    </xf>
    <xf numFmtId="10" fontId="275" fillId="0" borderId="5" xfId="10" applyNumberFormat="1" applyFont="1" applyBorder="1" applyAlignment="1">
      <alignment horizontal="center" vertical="center" wrapText="1" shrinkToFit="1"/>
    </xf>
    <xf numFmtId="0" fontId="275" fillId="0" borderId="3" xfId="10" applyFont="1" applyBorder="1" applyAlignment="1">
      <alignment horizontal="left" vertical="center" wrapText="1" shrinkToFit="1"/>
    </xf>
    <xf numFmtId="0" fontId="45" fillId="0" borderId="13" xfId="10" applyFont="1" applyBorder="1" applyAlignment="1" applyProtection="1">
      <alignment horizontal="center" vertical="center" wrapText="1"/>
      <protection locked="0"/>
    </xf>
    <xf numFmtId="0" fontId="129" fillId="0" borderId="2" xfId="10" applyFont="1" applyBorder="1" applyAlignment="1" applyProtection="1">
      <alignment horizontal="center" vertical="center" wrapText="1"/>
      <protection locked="0"/>
    </xf>
    <xf numFmtId="10" fontId="275" fillId="0" borderId="1" xfId="10" applyNumberFormat="1" applyFont="1" applyBorder="1" applyAlignment="1">
      <alignment horizontal="center" vertical="center" wrapText="1" shrinkToFit="1"/>
    </xf>
    <xf numFmtId="0" fontId="275" fillId="0" borderId="1" xfId="10" applyFont="1" applyBorder="1" applyAlignment="1">
      <alignment horizontal="left" vertical="center" wrapText="1" shrinkToFit="1"/>
    </xf>
    <xf numFmtId="0" fontId="275" fillId="0" borderId="1" xfId="10" applyFont="1" applyBorder="1" applyAlignment="1">
      <alignment horizontal="center" vertical="center" wrapText="1" shrinkToFit="1"/>
    </xf>
    <xf numFmtId="0" fontId="275" fillId="0" borderId="54" xfId="10" applyFont="1" applyBorder="1" applyAlignment="1">
      <alignment horizontal="center" vertical="center" wrapText="1" shrinkToFit="1"/>
    </xf>
    <xf numFmtId="0" fontId="113" fillId="0" borderId="0" xfId="10" applyFont="1" applyAlignment="1">
      <alignment horizontal="center" vertical="center" wrapText="1"/>
    </xf>
    <xf numFmtId="0" fontId="129" fillId="2" borderId="41" xfId="0" applyFont="1" applyFill="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275" fillId="0" borderId="5" xfId="10" applyFont="1" applyBorder="1" applyAlignment="1">
      <alignment horizontal="center" vertical="center" wrapText="1" shrinkToFit="1"/>
    </xf>
    <xf numFmtId="0" fontId="129" fillId="0" borderId="44" xfId="10" applyFont="1" applyBorder="1" applyAlignment="1" applyProtection="1">
      <alignment horizontal="center" vertical="center" wrapText="1"/>
      <protection locked="0"/>
    </xf>
    <xf numFmtId="0" fontId="45" fillId="0" borderId="78" xfId="10" applyFont="1" applyBorder="1" applyAlignment="1" applyProtection="1">
      <alignment horizontal="center" vertical="center" wrapText="1"/>
      <protection locked="0"/>
    </xf>
    <xf numFmtId="0" fontId="52" fillId="0" borderId="78" xfId="10" applyFont="1" applyBorder="1" applyAlignment="1" applyProtection="1">
      <alignment horizontal="center" vertical="center" wrapText="1"/>
      <protection locked="0"/>
    </xf>
    <xf numFmtId="0" fontId="45" fillId="0" borderId="44" xfId="10" applyFont="1" applyBorder="1" applyAlignment="1" applyProtection="1">
      <alignment horizontal="center" vertical="center" wrapText="1"/>
      <protection locked="0"/>
    </xf>
    <xf numFmtId="0" fontId="95" fillId="0" borderId="9" xfId="10" applyFont="1" applyBorder="1" applyAlignment="1" applyProtection="1">
      <alignment horizontal="center" vertical="center" wrapText="1"/>
      <protection locked="0"/>
    </xf>
    <xf numFmtId="0" fontId="45" fillId="0" borderId="1" xfId="10" applyFont="1" applyBorder="1" applyAlignment="1" applyProtection="1">
      <alignment horizontal="center" vertical="center" wrapText="1"/>
      <protection locked="0"/>
    </xf>
    <xf numFmtId="0" fontId="275" fillId="0" borderId="1" xfId="10" applyFont="1" applyBorder="1" applyAlignment="1">
      <alignment vertical="center" wrapText="1" shrinkToFit="1"/>
    </xf>
    <xf numFmtId="10" fontId="275" fillId="0" borderId="1" xfId="10" applyNumberFormat="1" applyFont="1" applyBorder="1" applyAlignment="1">
      <alignment horizontal="left" vertical="center" wrapText="1" shrinkToFit="1"/>
    </xf>
    <xf numFmtId="0" fontId="275" fillId="0" borderId="13" xfId="10" applyFont="1" applyBorder="1" applyAlignment="1">
      <alignment horizontal="center" vertical="center" wrapText="1" shrinkToFit="1"/>
    </xf>
    <xf numFmtId="0" fontId="275" fillId="0" borderId="13" xfId="10" applyFont="1" applyBorder="1" applyAlignment="1">
      <alignment vertical="center" wrapText="1" shrinkToFit="1"/>
    </xf>
    <xf numFmtId="0" fontId="96" fillId="0" borderId="0" xfId="10" applyAlignment="1">
      <alignment vertical="center" wrapText="1"/>
    </xf>
    <xf numFmtId="0" fontId="96" fillId="0" borderId="0" xfId="10" applyAlignment="1">
      <alignment horizontal="left" vertical="center" wrapText="1"/>
    </xf>
    <xf numFmtId="0" fontId="96" fillId="0" borderId="0" xfId="10" applyAlignment="1">
      <alignment horizontal="center" vertical="center" wrapText="1"/>
    </xf>
    <xf numFmtId="0" fontId="247" fillId="0" borderId="0" xfId="10" applyFont="1" applyAlignment="1">
      <alignment horizontal="center" vertical="center" wrapText="1"/>
    </xf>
    <xf numFmtId="0" fontId="135" fillId="0" borderId="1" xfId="10" applyFont="1" applyBorder="1" applyAlignment="1">
      <alignment horizontal="center" vertical="center" wrapText="1"/>
    </xf>
    <xf numFmtId="196" fontId="135" fillId="0" borderId="1" xfId="10" applyNumberFormat="1" applyFont="1" applyBorder="1" applyAlignment="1">
      <alignment horizontal="center" vertical="center" wrapText="1"/>
    </xf>
    <xf numFmtId="0" fontId="277" fillId="7" borderId="0" xfId="10" applyFont="1" applyFill="1" applyAlignment="1">
      <alignment vertical="center" wrapText="1"/>
    </xf>
    <xf numFmtId="0" fontId="278" fillId="0" borderId="0" xfId="10" applyFont="1" applyAlignment="1">
      <alignment vertical="center" wrapText="1"/>
    </xf>
    <xf numFmtId="0" fontId="277" fillId="0" borderId="0" xfId="10" applyFont="1" applyAlignment="1">
      <alignment horizontal="center" vertical="center" wrapText="1"/>
    </xf>
    <xf numFmtId="0" fontId="247" fillId="0" borderId="0" xfId="10" applyFont="1" applyAlignment="1">
      <alignment horizontal="left" vertical="center" wrapText="1"/>
    </xf>
    <xf numFmtId="0" fontId="247" fillId="0" borderId="0" xfId="10" applyFont="1" applyAlignment="1">
      <alignment vertical="center" wrapText="1"/>
    </xf>
    <xf numFmtId="0" fontId="96" fillId="0" borderId="0" xfId="10">
      <alignment vertical="center"/>
    </xf>
    <xf numFmtId="0" fontId="279" fillId="0" borderId="0" xfId="10" applyFont="1" applyAlignment="1">
      <alignment horizontal="left" vertical="center" wrapText="1" shrinkToFit="1"/>
    </xf>
    <xf numFmtId="0" fontId="96" fillId="0" borderId="0" xfId="10" applyAlignment="1"/>
    <xf numFmtId="0" fontId="108" fillId="0" borderId="0" xfId="10" applyFont="1" applyAlignment="1">
      <alignment wrapText="1"/>
    </xf>
    <xf numFmtId="179" fontId="275" fillId="0" borderId="1" xfId="10" applyNumberFormat="1" applyFont="1" applyBorder="1" applyAlignment="1">
      <alignment horizontal="center" vertical="center" wrapText="1" shrinkToFit="1"/>
    </xf>
    <xf numFmtId="0" fontId="275" fillId="0" borderId="0" xfId="10" applyFont="1" applyAlignment="1">
      <alignment horizontal="center" vertical="center"/>
    </xf>
    <xf numFmtId="0" fontId="96" fillId="0" borderId="0" xfId="10" applyAlignment="1">
      <alignment vertical="center" wrapText="1" shrinkToFit="1"/>
    </xf>
    <xf numFmtId="0" fontId="108" fillId="0" borderId="0" xfId="10" applyFont="1" applyAlignment="1">
      <alignment vertical="center" wrapText="1"/>
    </xf>
    <xf numFmtId="0" fontId="108" fillId="0" borderId="0" xfId="10" applyFont="1" applyAlignment="1">
      <alignment horizontal="center" vertical="center" wrapText="1"/>
    </xf>
    <xf numFmtId="10" fontId="108" fillId="0" borderId="1" xfId="10" applyNumberFormat="1" applyFont="1" applyBorder="1" applyAlignment="1">
      <alignment horizontal="center" vertical="center" wrapText="1"/>
    </xf>
    <xf numFmtId="196" fontId="247" fillId="0" borderId="0" xfId="10" applyNumberFormat="1" applyFont="1">
      <alignment vertical="center"/>
    </xf>
    <xf numFmtId="0" fontId="247" fillId="0" borderId="0" xfId="10" applyFont="1">
      <alignment vertical="center"/>
    </xf>
    <xf numFmtId="0" fontId="247" fillId="0" borderId="0" xfId="10" applyFont="1" applyAlignment="1">
      <alignment vertical="center" wrapText="1" shrinkToFit="1"/>
    </xf>
    <xf numFmtId="0" fontId="123" fillId="0" borderId="0" xfId="1" applyFont="1" applyAlignment="1" applyProtection="1">
      <alignment horizontal="left" vertical="center"/>
      <protection hidden="1"/>
    </xf>
    <xf numFmtId="0" fontId="274" fillId="0" borderId="0" xfId="10" applyFont="1" applyAlignment="1">
      <alignment horizontal="center" vertical="center"/>
    </xf>
    <xf numFmtId="0" fontId="280" fillId="0" borderId="0" xfId="10" applyFont="1">
      <alignment vertical="center"/>
    </xf>
    <xf numFmtId="9" fontId="96" fillId="0" borderId="0" xfId="10" applyNumberFormat="1" applyAlignment="1">
      <alignment vertical="center" wrapText="1" shrinkToFit="1"/>
    </xf>
    <xf numFmtId="0" fontId="96" fillId="7" borderId="0" xfId="10" applyFill="1" applyAlignment="1">
      <alignment vertical="center" wrapText="1"/>
    </xf>
    <xf numFmtId="0" fontId="95" fillId="0" borderId="44" xfId="10" applyFont="1" applyBorder="1" applyAlignment="1" applyProtection="1">
      <alignment horizontal="center" vertical="center" wrapText="1"/>
      <protection locked="0"/>
    </xf>
    <xf numFmtId="0" fontId="277" fillId="7" borderId="0" xfId="0" applyFont="1" applyFill="1" applyAlignment="1">
      <alignment vertical="center" wrapText="1"/>
    </xf>
    <xf numFmtId="0" fontId="278" fillId="7" borderId="0" xfId="0" applyFont="1" applyFill="1" applyAlignment="1">
      <alignment vertical="center" wrapText="1"/>
    </xf>
    <xf numFmtId="9" fontId="0" fillId="0" borderId="0" xfId="0" applyNumberFormat="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209" fillId="0" borderId="22" xfId="0" applyFont="1" applyBorder="1" applyAlignment="1" applyProtection="1">
      <alignment horizontal="center" vertical="center" wrapText="1"/>
      <protection locked="0"/>
    </xf>
    <xf numFmtId="0" fontId="135" fillId="0" borderId="5" xfId="10" applyFont="1" applyBorder="1" applyAlignment="1">
      <alignment horizontal="center" vertical="center" wrapText="1"/>
    </xf>
    <xf numFmtId="0" fontId="135" fillId="0" borderId="3" xfId="10" applyFont="1" applyBorder="1" applyAlignment="1">
      <alignment horizontal="center" vertical="center" wrapText="1"/>
    </xf>
    <xf numFmtId="0" fontId="135" fillId="0" borderId="5" xfId="21" applyNumberFormat="1" applyFont="1" applyFill="1" applyBorder="1" applyAlignment="1">
      <alignment horizontal="center" vertical="center" wrapText="1"/>
    </xf>
    <xf numFmtId="0" fontId="135" fillId="0" borderId="54" xfId="21" applyNumberFormat="1" applyFont="1" applyFill="1" applyBorder="1" applyAlignment="1">
      <alignment horizontal="center" vertical="center" wrapText="1"/>
    </xf>
    <xf numFmtId="0" fontId="135" fillId="0" borderId="3" xfId="21" applyNumberFormat="1" applyFont="1" applyFill="1" applyBorder="1" applyAlignment="1">
      <alignment horizontal="center" vertical="center" wrapText="1"/>
    </xf>
    <xf numFmtId="196" fontId="135" fillId="0" borderId="5" xfId="10" applyNumberFormat="1" applyFont="1" applyBorder="1" applyAlignment="1">
      <alignment horizontal="center" vertical="center" wrapText="1"/>
    </xf>
    <xf numFmtId="196" fontId="135" fillId="0" borderId="54" xfId="10" applyNumberFormat="1" applyFont="1" applyBorder="1" applyAlignment="1">
      <alignment horizontal="center" vertical="center" wrapText="1"/>
    </xf>
    <xf numFmtId="196" fontId="135" fillId="0" borderId="3" xfId="10" applyNumberFormat="1" applyFont="1" applyBorder="1" applyAlignment="1">
      <alignment horizontal="center" vertical="center" wrapText="1"/>
    </xf>
    <xf numFmtId="0" fontId="135" fillId="0" borderId="1" xfId="10" applyFont="1" applyBorder="1" applyAlignment="1">
      <alignment horizontal="center" vertical="center" wrapText="1"/>
    </xf>
    <xf numFmtId="0" fontId="276" fillId="23" borderId="0" xfId="10" applyFont="1" applyFill="1" applyAlignment="1">
      <alignment horizontal="center" vertical="center" wrapText="1"/>
    </xf>
    <xf numFmtId="196" fontId="135" fillId="0" borderId="1" xfId="10" applyNumberFormat="1" applyFont="1" applyBorder="1" applyAlignment="1">
      <alignment horizontal="center" vertical="center" wrapText="1"/>
    </xf>
    <xf numFmtId="0" fontId="275" fillId="0" borderId="5" xfId="10" applyFont="1" applyBorder="1" applyAlignment="1">
      <alignment horizontal="center" vertical="center" wrapText="1" shrinkToFit="1"/>
    </xf>
    <xf numFmtId="0" fontId="275" fillId="0" borderId="54" xfId="10" applyFont="1" applyBorder="1" applyAlignment="1">
      <alignment horizontal="center" vertical="center" wrapText="1" shrinkToFit="1"/>
    </xf>
    <xf numFmtId="0" fontId="275" fillId="0" borderId="3" xfId="10" applyFont="1" applyBorder="1" applyAlignment="1">
      <alignment horizontal="center" vertical="center" wrapText="1" shrinkToFit="1"/>
    </xf>
    <xf numFmtId="10" fontId="275" fillId="0" borderId="1" xfId="10" applyNumberFormat="1" applyFont="1" applyBorder="1" applyAlignment="1">
      <alignment horizontal="center" vertical="center" wrapText="1" shrinkToFit="1"/>
    </xf>
    <xf numFmtId="0" fontId="275" fillId="0" borderId="1" xfId="10" applyFont="1" applyBorder="1" applyAlignment="1">
      <alignment horizontal="center" vertical="center" wrapText="1" shrinkToFit="1"/>
    </xf>
    <xf numFmtId="0" fontId="275" fillId="0" borderId="1" xfId="10" applyFont="1" applyBorder="1" applyAlignment="1">
      <alignment horizontal="left" vertical="center" wrapText="1" shrinkToFit="1"/>
    </xf>
    <xf numFmtId="0" fontId="275" fillId="22" borderId="46" xfId="10" applyFont="1" applyFill="1" applyBorder="1" applyAlignment="1">
      <alignment horizontal="center" vertical="center" wrapText="1" shrinkToFit="1"/>
    </xf>
    <xf numFmtId="0" fontId="275" fillId="22" borderId="36" xfId="10" applyFont="1" applyFill="1" applyBorder="1" applyAlignment="1">
      <alignment horizontal="center" vertical="center" wrapText="1" shrinkToFit="1"/>
    </xf>
    <xf numFmtId="0" fontId="275" fillId="22" borderId="22" xfId="10" applyFont="1" applyFill="1" applyBorder="1" applyAlignment="1">
      <alignment horizontal="center" vertical="center" wrapText="1" shrinkToFit="1"/>
    </xf>
    <xf numFmtId="0" fontId="275" fillId="22" borderId="4" xfId="10" applyFont="1" applyFill="1" applyBorder="1" applyAlignment="1">
      <alignment horizontal="center" vertical="center" wrapText="1" shrinkToFit="1"/>
    </xf>
    <xf numFmtId="0" fontId="275" fillId="22" borderId="60" xfId="10" applyFont="1" applyFill="1" applyBorder="1" applyAlignment="1">
      <alignment horizontal="center" vertical="center" wrapText="1" shrinkToFit="1"/>
    </xf>
    <xf numFmtId="0" fontId="275" fillId="22" borderId="7" xfId="10" applyFont="1" applyFill="1" applyBorder="1" applyAlignment="1">
      <alignment horizontal="center" vertical="center" wrapText="1" shrinkToFit="1"/>
    </xf>
    <xf numFmtId="0" fontId="275" fillId="0" borderId="5" xfId="10" applyFont="1" applyBorder="1" applyAlignment="1">
      <alignment horizontal="right" vertical="center" wrapText="1" shrinkToFit="1"/>
    </xf>
    <xf numFmtId="0" fontId="275" fillId="0" borderId="54" xfId="10" applyFont="1" applyBorder="1" applyAlignment="1">
      <alignment horizontal="right" vertical="center" wrapText="1" shrinkToFit="1"/>
    </xf>
    <xf numFmtId="0" fontId="275" fillId="0" borderId="54" xfId="10" applyFont="1" applyBorder="1" applyAlignment="1">
      <alignment horizontal="left" vertical="center" wrapText="1" shrinkToFit="1"/>
    </xf>
    <xf numFmtId="0" fontId="275" fillId="0" borderId="3" xfId="10" applyFont="1" applyBorder="1" applyAlignment="1">
      <alignment horizontal="left" vertical="center" wrapText="1" shrinkToFit="1"/>
    </xf>
    <xf numFmtId="0" fontId="275" fillId="7" borderId="54" xfId="10" applyFont="1" applyFill="1" applyBorder="1" applyAlignment="1">
      <alignment horizontal="left" vertical="center" wrapText="1" shrinkToFit="1"/>
    </xf>
    <xf numFmtId="0" fontId="275" fillId="7" borderId="3" xfId="10" applyFont="1" applyFill="1" applyBorder="1" applyAlignment="1">
      <alignment horizontal="left" vertical="center" wrapText="1" shrinkToFit="1"/>
    </xf>
    <xf numFmtId="10" fontId="275" fillId="0" borderId="5" xfId="10" applyNumberFormat="1" applyFont="1" applyBorder="1" applyAlignment="1">
      <alignment horizontal="center" vertical="center" wrapText="1" shrinkToFit="1"/>
    </xf>
    <xf numFmtId="10" fontId="275" fillId="0" borderId="3" xfId="10" applyNumberFormat="1" applyFont="1" applyBorder="1" applyAlignment="1">
      <alignment horizontal="center" vertical="center" wrapText="1" shrinkToFit="1"/>
    </xf>
    <xf numFmtId="10" fontId="275" fillId="0" borderId="54" xfId="10" applyNumberFormat="1" applyFont="1" applyBorder="1" applyAlignment="1">
      <alignment horizontal="center" vertical="center" wrapText="1" shrinkToFit="1"/>
    </xf>
    <xf numFmtId="10" fontId="275" fillId="0" borderId="13" xfId="10" applyNumberFormat="1" applyFont="1" applyBorder="1" applyAlignment="1">
      <alignment horizontal="left" vertical="center" wrapText="1" shrinkToFit="1"/>
    </xf>
    <xf numFmtId="10" fontId="275" fillId="0" borderId="2" xfId="10" applyNumberFormat="1" applyFont="1" applyBorder="1" applyAlignment="1">
      <alignment horizontal="left" vertical="center" wrapText="1" shrinkToFit="1"/>
    </xf>
    <xf numFmtId="0" fontId="113" fillId="0" borderId="0" xfId="10" applyFont="1" applyAlignment="1">
      <alignment horizontal="center" vertical="center" wrapText="1"/>
    </xf>
    <xf numFmtId="0" fontId="275" fillId="0" borderId="46" xfId="10" applyFont="1" applyBorder="1" applyAlignment="1">
      <alignment horizontal="center" vertical="center" wrapText="1" shrinkToFit="1"/>
    </xf>
    <xf numFmtId="0" fontId="275" fillId="0" borderId="36" xfId="10" applyFont="1" applyBorder="1" applyAlignment="1">
      <alignment horizontal="center" vertical="center" wrapText="1" shrinkToFit="1"/>
    </xf>
    <xf numFmtId="0" fontId="275" fillId="0" borderId="22" xfId="10" applyFont="1" applyBorder="1" applyAlignment="1">
      <alignment horizontal="center" vertical="center" wrapText="1" shrinkToFit="1"/>
    </xf>
    <xf numFmtId="0" fontId="275" fillId="0" borderId="58" xfId="10" applyFont="1" applyBorder="1" applyAlignment="1">
      <alignment horizontal="center" vertical="center" wrapText="1" shrinkToFit="1"/>
    </xf>
    <xf numFmtId="0" fontId="275" fillId="0" borderId="0" xfId="10" applyFont="1" applyAlignment="1">
      <alignment horizontal="center" vertical="center" wrapText="1" shrinkToFit="1"/>
    </xf>
    <xf numFmtId="0" fontId="275" fillId="0" borderId="35" xfId="10" applyFont="1" applyBorder="1" applyAlignment="1">
      <alignment horizontal="center" vertical="center" wrapText="1" shrinkToFit="1"/>
    </xf>
    <xf numFmtId="0" fontId="275" fillId="0" borderId="4" xfId="10" applyFont="1" applyBorder="1" applyAlignment="1">
      <alignment horizontal="center" vertical="center" wrapText="1" shrinkToFit="1"/>
    </xf>
    <xf numFmtId="0" fontId="275" fillId="0" borderId="60" xfId="10" applyFont="1" applyBorder="1" applyAlignment="1">
      <alignment horizontal="center" vertical="center" wrapText="1" shrinkToFit="1"/>
    </xf>
    <xf numFmtId="0" fontId="275" fillId="0" borderId="7" xfId="10" applyFont="1" applyBorder="1" applyAlignment="1">
      <alignment horizontal="center" vertical="center" wrapText="1" shrinkToFi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77" fillId="0" borderId="1" xfId="0" applyFont="1" applyBorder="1" applyAlignment="1" applyProtection="1">
      <alignment horizontal="center" vertical="center"/>
      <protection locked="0"/>
    </xf>
    <xf numFmtId="0" fontId="223" fillId="0" borderId="108" xfId="0" applyFont="1" applyBorder="1" applyAlignment="1" applyProtection="1">
      <alignment horizontal="center" vertical="center" wrapText="1"/>
      <protection locked="0"/>
    </xf>
    <xf numFmtId="0" fontId="114" fillId="6" borderId="1" xfId="0" applyFont="1" applyFill="1" applyBorder="1" applyAlignment="1">
      <alignment horizontal="center" vertical="center"/>
    </xf>
    <xf numFmtId="0" fontId="95" fillId="12" borderId="0" xfId="0"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cellXfs>
  <cellStyles count="33">
    <cellStyle name="Normal_Rent_Roll_of_Mar._2003" xfId="20" xr:uid="{E9027EC9-A042-4065-8B0C-B6EA37699553}"/>
    <cellStyle name="百分比" xfId="17" builtinId="5"/>
    <cellStyle name="百分比 2" xfId="14" xr:uid="{00000000-0005-0000-0000-000001000000}"/>
    <cellStyle name="百分比 3" xfId="21" xr:uid="{9DFB6D11-87D7-4F1E-8B8A-D95CAB3F3BD5}"/>
    <cellStyle name="百分比 4" xfId="19" xr:uid="{C7293784-4663-4D19-BBBC-3C9092B13F4C}"/>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4" xr:uid="{A5A41247-AE04-430A-8553-E9452F90E31C}"/>
    <cellStyle name="常规 6 2 2 3" xfId="23" xr:uid="{1F9CFA1E-E237-411A-83F3-5A56BFD5B4D0}"/>
    <cellStyle name="常规 6 2 3" xfId="13" xr:uid="{00000000-0005-0000-0000-00000F000000}"/>
    <cellStyle name="常规 6 2 3 2" xfId="26" xr:uid="{EF065DFD-7D71-48E7-AAEC-08C0EFB95B67}"/>
    <cellStyle name="常规 6 2 3 3" xfId="25" xr:uid="{C7B32239-76EE-4A93-927B-2232D80830B1}"/>
    <cellStyle name="常规 6 2 4" xfId="27" xr:uid="{AB0F8B65-7945-45BA-ABF2-67F7272423D9}"/>
    <cellStyle name="常规 6 2 5" xfId="22" xr:uid="{A3E8A373-646A-4B58-9B9C-41EFC96E5858}"/>
    <cellStyle name="常规 7" xfId="7" xr:uid="{00000000-0005-0000-0000-000010000000}"/>
    <cellStyle name="常规 8" xfId="11" xr:uid="{00000000-0005-0000-0000-000011000000}"/>
    <cellStyle name="常规 8 2" xfId="29" xr:uid="{CDDD5355-912A-48D8-B01D-022B1D25A0E0}"/>
    <cellStyle name="常规 8 3" xfId="28" xr:uid="{6FF56894-4938-40BF-82FB-EEEA47767EB6}"/>
    <cellStyle name="常规 9" xfId="12" xr:uid="{00000000-0005-0000-0000-000012000000}"/>
    <cellStyle name="常规 9 2" xfId="31" xr:uid="{06CB05AB-1E31-4C8B-B4AD-BB4E33179650}"/>
    <cellStyle name="常规 9 3" xfId="30" xr:uid="{3D71E49B-0F7D-4776-86EA-98B404463DFD}"/>
    <cellStyle name="千位分隔 2" xfId="32" xr:uid="{6689BC13-B9A2-4909-888D-6A985EC1D436}"/>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12</xdr:col>
      <xdr:colOff>500768</xdr:colOff>
      <xdr:row>46</xdr:row>
      <xdr:rowOff>132140</xdr:rowOff>
    </xdr:to>
    <xdr:pic>
      <xdr:nvPicPr>
        <xdr:cNvPr id="2" name="图片 1">
          <a:extLst>
            <a:ext uri="{FF2B5EF4-FFF2-40B4-BE49-F238E27FC236}">
              <a16:creationId xmlns:a16="http://schemas.microsoft.com/office/drawing/2014/main" id="{43D38D53-BE8A-71FB-4170-6AFD45CD1641}"/>
            </a:ext>
          </a:extLst>
        </xdr:cNvPr>
        <xdr:cNvPicPr>
          <a:picLocks noChangeAspect="1"/>
        </xdr:cNvPicPr>
      </xdr:nvPicPr>
      <xdr:blipFill>
        <a:blip xmlns:r="http://schemas.openxmlformats.org/officeDocument/2006/relationships" r:embed="rId1"/>
        <a:stretch>
          <a:fillRect/>
        </a:stretch>
      </xdr:blipFill>
      <xdr:spPr>
        <a:xfrm>
          <a:off x="0" y="0"/>
          <a:ext cx="7815968" cy="5643940"/>
        </a:xfrm>
        <a:prstGeom prst="rect">
          <a:avLst/>
        </a:prstGeom>
      </xdr:spPr>
    </xdr:pic>
    <xdr:clientData/>
  </xdr:twoCellAnchor>
  <xdr:twoCellAnchor editAs="oneCell">
    <xdr:from>
      <xdr:col>0</xdr:col>
      <xdr:colOff>298450</xdr:colOff>
      <xdr:row>87</xdr:row>
      <xdr:rowOff>82550</xdr:rowOff>
    </xdr:from>
    <xdr:to>
      <xdr:col>11</xdr:col>
      <xdr:colOff>476281</xdr:colOff>
      <xdr:row>116</xdr:row>
      <xdr:rowOff>103507</xdr:rowOff>
    </xdr:to>
    <xdr:pic>
      <xdr:nvPicPr>
        <xdr:cNvPr id="4" name="图片 3">
          <a:extLst>
            <a:ext uri="{FF2B5EF4-FFF2-40B4-BE49-F238E27FC236}">
              <a16:creationId xmlns:a16="http://schemas.microsoft.com/office/drawing/2014/main" id="{A2FFC5EF-845F-6BE1-74E8-1F83150B678E}"/>
            </a:ext>
          </a:extLst>
        </xdr:cNvPr>
        <xdr:cNvPicPr>
          <a:picLocks noChangeAspect="1"/>
        </xdr:cNvPicPr>
      </xdr:nvPicPr>
      <xdr:blipFill>
        <a:blip xmlns:r="http://schemas.openxmlformats.org/officeDocument/2006/relationships" r:embed="rId2"/>
        <a:stretch>
          <a:fillRect/>
        </a:stretch>
      </xdr:blipFill>
      <xdr:spPr>
        <a:xfrm>
          <a:off x="298450" y="12884150"/>
          <a:ext cx="6883431" cy="5177157"/>
        </a:xfrm>
        <a:prstGeom prst="rect">
          <a:avLst/>
        </a:prstGeom>
      </xdr:spPr>
    </xdr:pic>
    <xdr:clientData/>
  </xdr:twoCellAnchor>
  <xdr:twoCellAnchor editAs="oneCell">
    <xdr:from>
      <xdr:col>0</xdr:col>
      <xdr:colOff>0</xdr:colOff>
      <xdr:row>47</xdr:row>
      <xdr:rowOff>120650</xdr:rowOff>
    </xdr:from>
    <xdr:to>
      <xdr:col>13</xdr:col>
      <xdr:colOff>170493</xdr:colOff>
      <xdr:row>83</xdr:row>
      <xdr:rowOff>78028</xdr:rowOff>
    </xdr:to>
    <xdr:pic>
      <xdr:nvPicPr>
        <xdr:cNvPr id="5" name="图片 4">
          <a:extLst>
            <a:ext uri="{FF2B5EF4-FFF2-40B4-BE49-F238E27FC236}">
              <a16:creationId xmlns:a16="http://schemas.microsoft.com/office/drawing/2014/main" id="{18809F39-0DCC-14F0-2761-A6C7B09E2D31}"/>
            </a:ext>
          </a:extLst>
        </xdr:cNvPr>
        <xdr:cNvPicPr>
          <a:picLocks noChangeAspect="1"/>
        </xdr:cNvPicPr>
      </xdr:nvPicPr>
      <xdr:blipFill>
        <a:blip xmlns:r="http://schemas.openxmlformats.org/officeDocument/2006/relationships" r:embed="rId3"/>
        <a:stretch>
          <a:fillRect/>
        </a:stretch>
      </xdr:blipFill>
      <xdr:spPr>
        <a:xfrm>
          <a:off x="0" y="5810250"/>
          <a:ext cx="8095293" cy="6358178"/>
        </a:xfrm>
        <a:prstGeom prst="rect">
          <a:avLst/>
        </a:prstGeom>
      </xdr:spPr>
    </xdr:pic>
    <xdr:clientData/>
  </xdr:twoCellAnchor>
  <xdr:twoCellAnchor editAs="oneCell">
    <xdr:from>
      <xdr:col>24</xdr:col>
      <xdr:colOff>69850</xdr:colOff>
      <xdr:row>56</xdr:row>
      <xdr:rowOff>69850</xdr:rowOff>
    </xdr:from>
    <xdr:to>
      <xdr:col>36</xdr:col>
      <xdr:colOff>101816</xdr:colOff>
      <xdr:row>90</xdr:row>
      <xdr:rowOff>27236</xdr:rowOff>
    </xdr:to>
    <xdr:pic>
      <xdr:nvPicPr>
        <xdr:cNvPr id="6" name="图片 5">
          <a:extLst>
            <a:ext uri="{FF2B5EF4-FFF2-40B4-BE49-F238E27FC236}">
              <a16:creationId xmlns:a16="http://schemas.microsoft.com/office/drawing/2014/main" id="{4F988516-9D39-41CC-8CD4-183DEFBAA7A0}"/>
            </a:ext>
          </a:extLst>
        </xdr:cNvPr>
        <xdr:cNvPicPr>
          <a:picLocks noChangeAspect="1"/>
        </xdr:cNvPicPr>
      </xdr:nvPicPr>
      <xdr:blipFill>
        <a:blip xmlns:r="http://schemas.openxmlformats.org/officeDocument/2006/relationships" r:embed="rId4"/>
        <a:stretch>
          <a:fillRect/>
        </a:stretch>
      </xdr:blipFill>
      <xdr:spPr>
        <a:xfrm>
          <a:off x="14700250" y="10026650"/>
          <a:ext cx="7347166" cy="6002586"/>
        </a:xfrm>
        <a:prstGeom prst="rect">
          <a:avLst/>
        </a:prstGeom>
      </xdr:spPr>
    </xdr:pic>
    <xdr:clientData/>
  </xdr:twoCellAnchor>
  <xdr:twoCellAnchor editAs="oneCell">
    <xdr:from>
      <xdr:col>0</xdr:col>
      <xdr:colOff>63500</xdr:colOff>
      <xdr:row>0</xdr:row>
      <xdr:rowOff>0</xdr:rowOff>
    </xdr:from>
    <xdr:to>
      <xdr:col>9</xdr:col>
      <xdr:colOff>330200</xdr:colOff>
      <xdr:row>13</xdr:row>
      <xdr:rowOff>169403</xdr:rowOff>
    </xdr:to>
    <xdr:pic>
      <xdr:nvPicPr>
        <xdr:cNvPr id="8" name="图片 7">
          <a:extLst>
            <a:ext uri="{FF2B5EF4-FFF2-40B4-BE49-F238E27FC236}">
              <a16:creationId xmlns:a16="http://schemas.microsoft.com/office/drawing/2014/main" id="{638B37B9-5E5C-8701-6260-3149979A1012}"/>
            </a:ext>
          </a:extLst>
        </xdr:cNvPr>
        <xdr:cNvPicPr>
          <a:picLocks noChangeAspect="1"/>
        </xdr:cNvPicPr>
      </xdr:nvPicPr>
      <xdr:blipFill>
        <a:blip xmlns:r="http://schemas.openxmlformats.org/officeDocument/2006/relationships" r:embed="rId5"/>
        <a:stretch>
          <a:fillRect/>
        </a:stretch>
      </xdr:blipFill>
      <xdr:spPr>
        <a:xfrm>
          <a:off x="63500" y="0"/>
          <a:ext cx="5753100" cy="2480803"/>
        </a:xfrm>
        <a:prstGeom prst="rect">
          <a:avLst/>
        </a:prstGeom>
      </xdr:spPr>
    </xdr:pic>
    <xdr:clientData/>
  </xdr:twoCellAnchor>
  <xdr:twoCellAnchor editAs="oneCell">
    <xdr:from>
      <xdr:col>25</xdr:col>
      <xdr:colOff>450850</xdr:colOff>
      <xdr:row>62</xdr:row>
      <xdr:rowOff>171372</xdr:rowOff>
    </xdr:from>
    <xdr:to>
      <xdr:col>29</xdr:col>
      <xdr:colOff>101212</xdr:colOff>
      <xdr:row>72</xdr:row>
      <xdr:rowOff>142550</xdr:rowOff>
    </xdr:to>
    <xdr:pic>
      <xdr:nvPicPr>
        <xdr:cNvPr id="9" name="图片 8">
          <a:extLst>
            <a:ext uri="{FF2B5EF4-FFF2-40B4-BE49-F238E27FC236}">
              <a16:creationId xmlns:a16="http://schemas.microsoft.com/office/drawing/2014/main" id="{FD590355-96ED-5091-1361-82713E4EE30D}"/>
            </a:ext>
          </a:extLst>
        </xdr:cNvPr>
        <xdr:cNvPicPr>
          <a:picLocks noChangeAspect="1"/>
        </xdr:cNvPicPr>
      </xdr:nvPicPr>
      <xdr:blipFill>
        <a:blip xmlns:r="http://schemas.openxmlformats.org/officeDocument/2006/relationships" r:embed="rId6"/>
        <a:stretch>
          <a:fillRect/>
        </a:stretch>
      </xdr:blipFill>
      <xdr:spPr>
        <a:xfrm>
          <a:off x="15690850" y="11194972"/>
          <a:ext cx="2088762" cy="1749178"/>
        </a:xfrm>
        <a:prstGeom prst="rect">
          <a:avLst/>
        </a:prstGeom>
      </xdr:spPr>
    </xdr:pic>
    <xdr:clientData/>
  </xdr:twoCellAnchor>
  <xdr:twoCellAnchor editAs="oneCell">
    <xdr:from>
      <xdr:col>6</xdr:col>
      <xdr:colOff>368300</xdr:colOff>
      <xdr:row>98</xdr:row>
      <xdr:rowOff>139700</xdr:rowOff>
    </xdr:from>
    <xdr:to>
      <xdr:col>11</xdr:col>
      <xdr:colOff>177443</xdr:colOff>
      <xdr:row>102</xdr:row>
      <xdr:rowOff>114214</xdr:rowOff>
    </xdr:to>
    <xdr:pic>
      <xdr:nvPicPr>
        <xdr:cNvPr id="10" name="图片 9">
          <a:extLst>
            <a:ext uri="{FF2B5EF4-FFF2-40B4-BE49-F238E27FC236}">
              <a16:creationId xmlns:a16="http://schemas.microsoft.com/office/drawing/2014/main" id="{41FAEE83-C333-8539-8CB7-AB7DB7940A0B}"/>
            </a:ext>
          </a:extLst>
        </xdr:cNvPr>
        <xdr:cNvPicPr>
          <a:picLocks noChangeAspect="1"/>
        </xdr:cNvPicPr>
      </xdr:nvPicPr>
      <xdr:blipFill>
        <a:blip xmlns:r="http://schemas.openxmlformats.org/officeDocument/2006/relationships" r:embed="rId7"/>
        <a:stretch>
          <a:fillRect/>
        </a:stretch>
      </xdr:blipFill>
      <xdr:spPr>
        <a:xfrm>
          <a:off x="4025900" y="17564100"/>
          <a:ext cx="2857143" cy="685714"/>
        </a:xfrm>
        <a:prstGeom prst="rect">
          <a:avLst/>
        </a:prstGeom>
      </xdr:spPr>
    </xdr:pic>
    <xdr:clientData/>
  </xdr:twoCellAnchor>
  <xdr:twoCellAnchor editAs="oneCell">
    <xdr:from>
      <xdr:col>7</xdr:col>
      <xdr:colOff>76200</xdr:colOff>
      <xdr:row>27</xdr:row>
      <xdr:rowOff>100997</xdr:rowOff>
    </xdr:from>
    <xdr:to>
      <xdr:col>9</xdr:col>
      <xdr:colOff>491636</xdr:colOff>
      <xdr:row>34</xdr:row>
      <xdr:rowOff>85357</xdr:rowOff>
    </xdr:to>
    <xdr:pic>
      <xdr:nvPicPr>
        <xdr:cNvPr id="11" name="图片 10">
          <a:extLst>
            <a:ext uri="{FF2B5EF4-FFF2-40B4-BE49-F238E27FC236}">
              <a16:creationId xmlns:a16="http://schemas.microsoft.com/office/drawing/2014/main" id="{A96EA949-4DF9-E563-BB9B-AEE56BB4ABDF}"/>
            </a:ext>
          </a:extLst>
        </xdr:cNvPr>
        <xdr:cNvPicPr>
          <a:picLocks noChangeAspect="1"/>
        </xdr:cNvPicPr>
      </xdr:nvPicPr>
      <xdr:blipFill>
        <a:blip xmlns:r="http://schemas.openxmlformats.org/officeDocument/2006/relationships" r:embed="rId8"/>
        <a:stretch>
          <a:fillRect/>
        </a:stretch>
      </xdr:blipFill>
      <xdr:spPr>
        <a:xfrm>
          <a:off x="4343400" y="4901597"/>
          <a:ext cx="1634636" cy="1228960"/>
        </a:xfrm>
        <a:prstGeom prst="rect">
          <a:avLst/>
        </a:prstGeom>
      </xdr:spPr>
    </xdr:pic>
    <xdr:clientData/>
  </xdr:twoCellAnchor>
  <xdr:twoCellAnchor editAs="oneCell">
    <xdr:from>
      <xdr:col>9</xdr:col>
      <xdr:colOff>440291</xdr:colOff>
      <xdr:row>27</xdr:row>
      <xdr:rowOff>114300</xdr:rowOff>
    </xdr:from>
    <xdr:to>
      <xdr:col>12</xdr:col>
      <xdr:colOff>282079</xdr:colOff>
      <xdr:row>33</xdr:row>
      <xdr:rowOff>117157</xdr:rowOff>
    </xdr:to>
    <xdr:pic>
      <xdr:nvPicPr>
        <xdr:cNvPr id="12" name="图片 11">
          <a:extLst>
            <a:ext uri="{FF2B5EF4-FFF2-40B4-BE49-F238E27FC236}">
              <a16:creationId xmlns:a16="http://schemas.microsoft.com/office/drawing/2014/main" id="{0B0EC7E8-CC6E-EBD6-5DD2-EDF7023C9AD3}"/>
            </a:ext>
          </a:extLst>
        </xdr:cNvPr>
        <xdr:cNvPicPr>
          <a:picLocks noChangeAspect="1"/>
        </xdr:cNvPicPr>
      </xdr:nvPicPr>
      <xdr:blipFill>
        <a:blip xmlns:r="http://schemas.openxmlformats.org/officeDocument/2006/relationships" r:embed="rId9"/>
        <a:stretch>
          <a:fillRect/>
        </a:stretch>
      </xdr:blipFill>
      <xdr:spPr>
        <a:xfrm>
          <a:off x="5926691" y="4914900"/>
          <a:ext cx="1670588" cy="1069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443064</xdr:colOff>
      <xdr:row>23</xdr:row>
      <xdr:rowOff>0</xdr:rowOff>
    </xdr:to>
    <xdr:pic>
      <xdr:nvPicPr>
        <xdr:cNvPr id="2" name="图片 1">
          <a:extLst>
            <a:ext uri="{FF2B5EF4-FFF2-40B4-BE49-F238E27FC236}">
              <a16:creationId xmlns:a16="http://schemas.microsoft.com/office/drawing/2014/main" id="{FACA6C29-CE1B-4BC6-861D-A35FA42E568C}"/>
            </a:ext>
          </a:extLst>
        </xdr:cNvPr>
        <xdr:cNvPicPr>
          <a:picLocks noChangeAspect="1"/>
        </xdr:cNvPicPr>
      </xdr:nvPicPr>
      <xdr:blipFill>
        <a:blip xmlns:r="http://schemas.openxmlformats.org/officeDocument/2006/relationships" r:embed="rId1"/>
        <a:stretch>
          <a:fillRect/>
        </a:stretch>
      </xdr:blipFill>
      <xdr:spPr>
        <a:xfrm>
          <a:off x="0" y="0"/>
          <a:ext cx="11415864" cy="4089400"/>
        </a:xfrm>
        <a:prstGeom prst="rect">
          <a:avLst/>
        </a:prstGeom>
      </xdr:spPr>
    </xdr:pic>
    <xdr:clientData/>
  </xdr:twoCellAnchor>
  <xdr:twoCellAnchor editAs="oneCell">
    <xdr:from>
      <xdr:col>0</xdr:col>
      <xdr:colOff>0</xdr:colOff>
      <xdr:row>23</xdr:row>
      <xdr:rowOff>0</xdr:rowOff>
    </xdr:from>
    <xdr:to>
      <xdr:col>20</xdr:col>
      <xdr:colOff>493762</xdr:colOff>
      <xdr:row>63</xdr:row>
      <xdr:rowOff>132419</xdr:rowOff>
    </xdr:to>
    <xdr:pic>
      <xdr:nvPicPr>
        <xdr:cNvPr id="3" name="图片 2">
          <a:extLst>
            <a:ext uri="{FF2B5EF4-FFF2-40B4-BE49-F238E27FC236}">
              <a16:creationId xmlns:a16="http://schemas.microsoft.com/office/drawing/2014/main" id="{A767562F-6314-499A-9838-ED47A48E96F5}"/>
            </a:ext>
          </a:extLst>
        </xdr:cNvPr>
        <xdr:cNvPicPr>
          <a:picLocks noChangeAspect="1"/>
        </xdr:cNvPicPr>
      </xdr:nvPicPr>
      <xdr:blipFill>
        <a:blip xmlns:r="http://schemas.openxmlformats.org/officeDocument/2006/relationships" r:embed="rId2"/>
        <a:stretch>
          <a:fillRect/>
        </a:stretch>
      </xdr:blipFill>
      <xdr:spPr>
        <a:xfrm>
          <a:off x="0" y="4089400"/>
          <a:ext cx="12685762" cy="72444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26</xdr:row>
      <xdr:rowOff>63500</xdr:rowOff>
    </xdr:from>
    <xdr:to>
      <xdr:col>12</xdr:col>
      <xdr:colOff>480576</xdr:colOff>
      <xdr:row>60</xdr:row>
      <xdr:rowOff>132000</xdr:rowOff>
    </xdr:to>
    <xdr:pic>
      <xdr:nvPicPr>
        <xdr:cNvPr id="2" name="图片 1">
          <a:extLst>
            <a:ext uri="{FF2B5EF4-FFF2-40B4-BE49-F238E27FC236}">
              <a16:creationId xmlns:a16="http://schemas.microsoft.com/office/drawing/2014/main" id="{BBB77CB9-7AC1-BDA2-BF09-C26110A54009}"/>
            </a:ext>
          </a:extLst>
        </xdr:cNvPr>
        <xdr:cNvPicPr>
          <a:picLocks noChangeAspect="1"/>
        </xdr:cNvPicPr>
      </xdr:nvPicPr>
      <xdr:blipFill>
        <a:blip xmlns:r="http://schemas.openxmlformats.org/officeDocument/2006/relationships" r:embed="rId1"/>
        <a:stretch>
          <a:fillRect/>
        </a:stretch>
      </xdr:blipFill>
      <xdr:spPr>
        <a:xfrm>
          <a:off x="0" y="4686300"/>
          <a:ext cx="7795776" cy="6113700"/>
        </a:xfrm>
        <a:prstGeom prst="rect">
          <a:avLst/>
        </a:prstGeom>
      </xdr:spPr>
    </xdr:pic>
    <xdr:clientData/>
  </xdr:twoCellAnchor>
  <xdr:twoCellAnchor editAs="oneCell">
    <xdr:from>
      <xdr:col>0</xdr:col>
      <xdr:colOff>393700</xdr:colOff>
      <xdr:row>63</xdr:row>
      <xdr:rowOff>57150</xdr:rowOff>
    </xdr:from>
    <xdr:to>
      <xdr:col>12</xdr:col>
      <xdr:colOff>413197</xdr:colOff>
      <xdr:row>94</xdr:row>
      <xdr:rowOff>90736</xdr:rowOff>
    </xdr:to>
    <xdr:pic>
      <xdr:nvPicPr>
        <xdr:cNvPr id="3" name="图片 2">
          <a:extLst>
            <a:ext uri="{FF2B5EF4-FFF2-40B4-BE49-F238E27FC236}">
              <a16:creationId xmlns:a16="http://schemas.microsoft.com/office/drawing/2014/main" id="{7CCC8C9D-ECEF-EFA6-B05F-08021F1D487F}"/>
            </a:ext>
          </a:extLst>
        </xdr:cNvPr>
        <xdr:cNvPicPr>
          <a:picLocks noChangeAspect="1"/>
        </xdr:cNvPicPr>
      </xdr:nvPicPr>
      <xdr:blipFill>
        <a:blip xmlns:r="http://schemas.openxmlformats.org/officeDocument/2006/relationships" r:embed="rId2"/>
        <a:stretch>
          <a:fillRect/>
        </a:stretch>
      </xdr:blipFill>
      <xdr:spPr>
        <a:xfrm>
          <a:off x="393700" y="11258550"/>
          <a:ext cx="7334697" cy="5545386"/>
        </a:xfrm>
        <a:prstGeom prst="rect">
          <a:avLst/>
        </a:prstGeom>
      </xdr:spPr>
    </xdr:pic>
    <xdr:clientData/>
  </xdr:twoCellAnchor>
  <xdr:twoCellAnchor editAs="oneCell">
    <xdr:from>
      <xdr:col>0</xdr:col>
      <xdr:colOff>558801</xdr:colOff>
      <xdr:row>96</xdr:row>
      <xdr:rowOff>6350</xdr:rowOff>
    </xdr:from>
    <xdr:to>
      <xdr:col>12</xdr:col>
      <xdr:colOff>305927</xdr:colOff>
      <xdr:row>127</xdr:row>
      <xdr:rowOff>141493</xdr:rowOff>
    </xdr:to>
    <xdr:pic>
      <xdr:nvPicPr>
        <xdr:cNvPr id="4" name="图片 3">
          <a:extLst>
            <a:ext uri="{FF2B5EF4-FFF2-40B4-BE49-F238E27FC236}">
              <a16:creationId xmlns:a16="http://schemas.microsoft.com/office/drawing/2014/main" id="{98DCD00D-C87E-C970-C550-D43323B964C5}"/>
            </a:ext>
          </a:extLst>
        </xdr:cNvPr>
        <xdr:cNvPicPr>
          <a:picLocks noChangeAspect="1"/>
        </xdr:cNvPicPr>
      </xdr:nvPicPr>
      <xdr:blipFill>
        <a:blip xmlns:r="http://schemas.openxmlformats.org/officeDocument/2006/relationships" r:embed="rId3"/>
        <a:stretch>
          <a:fillRect/>
        </a:stretch>
      </xdr:blipFill>
      <xdr:spPr>
        <a:xfrm>
          <a:off x="558801" y="17075150"/>
          <a:ext cx="7062326" cy="5646943"/>
        </a:xfrm>
        <a:prstGeom prst="rect">
          <a:avLst/>
        </a:prstGeom>
      </xdr:spPr>
    </xdr:pic>
    <xdr:clientData/>
  </xdr:twoCellAnchor>
  <xdr:twoCellAnchor editAs="oneCell">
    <xdr:from>
      <xdr:col>6</xdr:col>
      <xdr:colOff>374651</xdr:colOff>
      <xdr:row>4</xdr:row>
      <xdr:rowOff>86230</xdr:rowOff>
    </xdr:from>
    <xdr:to>
      <xdr:col>13</xdr:col>
      <xdr:colOff>508001</xdr:colOff>
      <xdr:row>25</xdr:row>
      <xdr:rowOff>106649</xdr:rowOff>
    </xdr:to>
    <xdr:pic>
      <xdr:nvPicPr>
        <xdr:cNvPr id="6" name="图片 5">
          <a:extLst>
            <a:ext uri="{FF2B5EF4-FFF2-40B4-BE49-F238E27FC236}">
              <a16:creationId xmlns:a16="http://schemas.microsoft.com/office/drawing/2014/main" id="{397CC949-10F6-8019-048D-0FA42B9CDCF8}"/>
            </a:ext>
          </a:extLst>
        </xdr:cNvPr>
        <xdr:cNvPicPr>
          <a:picLocks noChangeAspect="1"/>
        </xdr:cNvPicPr>
      </xdr:nvPicPr>
      <xdr:blipFill>
        <a:blip xmlns:r="http://schemas.openxmlformats.org/officeDocument/2006/relationships" r:embed="rId4"/>
        <a:stretch>
          <a:fillRect/>
        </a:stretch>
      </xdr:blipFill>
      <xdr:spPr>
        <a:xfrm>
          <a:off x="4032251" y="797430"/>
          <a:ext cx="4400550" cy="37542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6397;&#38451;&#36335;69&#21495;&#31199;&#37329;-&#21556;&#22992;&#20013;&#34892;\2025-1-0566-&#20013;&#34892;&#26397;&#38451;&#36335;69&#21495;&#31199;&#37329;&#27979;&#31639;&#34920;-&#19968;&#23457;&#36213;&#38639;.xlsx" TargetMode="External"/><Relationship Id="rId1" Type="http://schemas.openxmlformats.org/officeDocument/2006/relationships/externalLinkPath" Target="2025-1-0566-&#20013;&#34892;&#26397;&#38451;&#36335;69&#21495;&#31199;&#37329;&#27979;&#31639;&#34920;-&#19968;&#23457;&#36213;&#38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est/Desktop/&#20013;&#34892;&#31199;&#37329;-&#37329;&#38533;&#22823;&#25104;/&#22823;&#25104;&#22823;&#21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租金"/>
      <sheetName val="比较法-商业售价 "/>
      <sheetName val="收益法倒推"/>
      <sheetName val="售价案例"/>
      <sheetName val="租金案例"/>
      <sheetName val="项目信息"/>
      <sheetName val="5块租金案例"/>
      <sheetName val="10块以上租金案例"/>
      <sheetName val="7块的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收益法 (元)"/>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6">
          <cell r="C36" t="str">
            <v>变化：2%-3%</v>
          </cell>
        </row>
        <row r="37">
          <cell r="C37" t="str">
            <v>住宅：1%-2%；商办：2%-5%</v>
          </cell>
        </row>
        <row r="38">
          <cell r="C38" t="str">
            <v>住宅：3%-5%；商办：1%-3%</v>
          </cell>
        </row>
      </sheetData>
      <sheetData sheetId="15"/>
      <sheetData sheetId="16"/>
      <sheetData sheetId="17"/>
      <sheetData sheetId="18"/>
      <sheetData sheetId="19"/>
      <sheetData sheetId="20"/>
      <sheetData sheetId="21"/>
      <sheetData sheetId="22"/>
      <sheetData sheetId="23"/>
      <sheetData sheetId="24"/>
      <sheetData sheetId="25">
        <row r="14">
          <cell r="C14">
            <v>2004</v>
          </cell>
        </row>
      </sheetData>
      <sheetData sheetId="26">
        <row r="48">
          <cell r="C48">
            <v>42947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周边商铺价格调研表"/>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1">
          <cell r="B51">
            <v>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北京市朝阳区朝阳路69号1号楼1-3（1-1）号等4套房地产市场价值预评估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受贵公司委托，我公司对北京市朝阳区朝阳路69号1号楼1-3（1-1）号等4套房地产市场价值进行了预评估。</v>
      </c>
    </row>
    <row r="7" spans="1:2">
      <c r="A7" s="1119" t="s">
        <v>566</v>
      </c>
      <c r="B7" s="1120" t="str">
        <f>'预评函-1'!A7</f>
        <v>估价对象为北京市朝阳区朝阳路69号1号楼1-3（1-1）号等4套房地产，为李胜利所有。根据《国有土地使用证》[]，估价对象（分摊）出让国有建设用地使用权面积为0平方米，建筑面积为525.41平方米。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阳路69号1号楼1-3（1-1）号等4套房地产,属李胜利开发建设的商业项目，该项目尚在开发建设中。根据《国有土地使用证》[]，估价对象（分摊）出让国有建设用地使用权面积为0平方米，规划建筑面积为525.41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2026年1月4日（评估专业人员实地查勘之日）</v>
      </c>
    </row>
    <row r="13" spans="1:2">
      <c r="A13" s="1119" t="s">
        <v>529</v>
      </c>
      <c r="B13" s="1120" t="str">
        <f>'预评函-1'!A18</f>
        <v>本次估价的“房地产价值”是指在正常市场情况下，在价值时点2026年1月4日，估价对象规划用途为配套，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配套，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北京市朝阳区朝阳路69号1号楼1-3（1-1）号等4套房地产</v>
      </c>
    </row>
    <row r="42" spans="1:2" ht="30">
      <c r="A42" s="1119" t="s">
        <v>590</v>
      </c>
      <c r="B42" s="1120" t="str">
        <f>'预评函-3'!B2</f>
        <v>建筑面积</v>
      </c>
    </row>
    <row r="43" spans="1:2">
      <c r="A43" s="1119" t="s">
        <v>591</v>
      </c>
      <c r="B43" s="1120">
        <f>'预评函-3'!B4</f>
        <v>525.41000000000008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3401</v>
      </c>
      <c r="AA1" s="1438" t="s">
        <v>3400</v>
      </c>
      <c r="AB1" s="1438" t="s">
        <v>3</v>
      </c>
    </row>
    <row r="2" spans="1:28">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2437</v>
      </c>
      <c r="Y2" s="1445" t="s">
        <v>3407</v>
      </c>
      <c r="Z2" s="1445" t="s">
        <v>2450</v>
      </c>
      <c r="AA2" s="1445" t="s">
        <v>3408</v>
      </c>
      <c r="AB2" s="1445" t="s">
        <v>2477</v>
      </c>
    </row>
    <row r="3" spans="1:28">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2439</v>
      </c>
      <c r="Z3" s="1445" t="s">
        <v>2452</v>
      </c>
      <c r="AB3" s="1445" t="s">
        <v>2479</v>
      </c>
    </row>
    <row r="4" spans="1:28">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2441</v>
      </c>
      <c r="Z4" s="1445" t="s">
        <v>2454</v>
      </c>
      <c r="AB4" s="1445" t="s">
        <v>2481</v>
      </c>
    </row>
    <row r="5" spans="1:28">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2443</v>
      </c>
      <c r="Z5" s="1445" t="s">
        <v>2456</v>
      </c>
      <c r="AB5" s="1445" t="s">
        <v>3409</v>
      </c>
    </row>
    <row r="6" spans="1:28">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2445</v>
      </c>
      <c r="Z6" s="1445" t="s">
        <v>2458</v>
      </c>
      <c r="AB6" s="1445" t="s">
        <v>2484</v>
      </c>
    </row>
    <row r="7" spans="1:28">
      <c r="A7" s="1441" t="s">
        <v>1023</v>
      </c>
      <c r="B7" s="1444" t="s">
        <v>450</v>
      </c>
      <c r="C7" s="1442" t="s">
        <v>25</v>
      </c>
      <c r="F7" s="1443" t="s">
        <v>1024</v>
      </c>
      <c r="H7" s="1443" t="s">
        <v>1025</v>
      </c>
      <c r="I7" s="1443" t="s">
        <v>3338</v>
      </c>
      <c r="X7" s="1445" t="s">
        <v>2447</v>
      </c>
      <c r="Z7" s="1445" t="s">
        <v>2460</v>
      </c>
      <c r="AB7" s="1445" t="s">
        <v>2486</v>
      </c>
    </row>
    <row r="8" spans="1:28">
      <c r="A8" s="1441" t="s">
        <v>1026</v>
      </c>
      <c r="B8" s="1441" t="s">
        <v>1027</v>
      </c>
      <c r="C8" s="1442" t="s">
        <v>319</v>
      </c>
      <c r="F8" s="1443" t="s">
        <v>1028</v>
      </c>
      <c r="H8" s="1443" t="s">
        <v>2575</v>
      </c>
      <c r="I8" s="1443" t="s">
        <v>3339</v>
      </c>
      <c r="X8" s="1445" t="s">
        <v>3410</v>
      </c>
      <c r="Z8" s="1445" t="s">
        <v>2462</v>
      </c>
      <c r="AB8" s="1445" t="s">
        <v>2488</v>
      </c>
    </row>
    <row r="9" spans="1:28">
      <c r="A9" s="1441" t="s">
        <v>1029</v>
      </c>
      <c r="B9" s="1441" t="s">
        <v>1030</v>
      </c>
      <c r="C9" s="1442" t="s">
        <v>320</v>
      </c>
      <c r="F9" s="1443" t="s">
        <v>1031</v>
      </c>
      <c r="H9" s="1443"/>
      <c r="I9" s="1445" t="s">
        <v>3340</v>
      </c>
      <c r="X9" s="1445" t="s">
        <v>3411</v>
      </c>
      <c r="Z9" s="1445" t="s">
        <v>2464</v>
      </c>
      <c r="AB9" s="1445" t="s">
        <v>2490</v>
      </c>
    </row>
    <row r="10" spans="1:28">
      <c r="A10" s="1441" t="s">
        <v>1032</v>
      </c>
      <c r="B10" s="1441" t="s">
        <v>1033</v>
      </c>
      <c r="C10" s="1442" t="s">
        <v>321</v>
      </c>
      <c r="F10" s="1443" t="s">
        <v>2576</v>
      </c>
      <c r="I10" s="1445" t="s">
        <v>3341</v>
      </c>
      <c r="Z10" s="1445" t="s">
        <v>2466</v>
      </c>
      <c r="AB10" s="1445" t="s">
        <v>2492</v>
      </c>
    </row>
    <row r="11" spans="1:28">
      <c r="A11" s="1441" t="s">
        <v>1034</v>
      </c>
      <c r="B11" s="1441" t="s">
        <v>1035</v>
      </c>
      <c r="C11" s="1442" t="s">
        <v>322</v>
      </c>
      <c r="F11" s="1443" t="s">
        <v>13</v>
      </c>
      <c r="I11" s="1445" t="s">
        <v>3342</v>
      </c>
      <c r="Z11" s="1445" t="s">
        <v>2468</v>
      </c>
      <c r="AB11" s="1445" t="s">
        <v>2494</v>
      </c>
    </row>
    <row r="12" spans="1:28">
      <c r="A12" s="1441" t="s">
        <v>1036</v>
      </c>
      <c r="B12" s="1441" t="s">
        <v>1037</v>
      </c>
      <c r="C12" s="1442" t="s">
        <v>323</v>
      </c>
      <c r="I12" s="1445" t="s">
        <v>3343</v>
      </c>
      <c r="Z12" s="1445" t="s">
        <v>2470</v>
      </c>
      <c r="AB12" s="1445" t="s">
        <v>2496</v>
      </c>
    </row>
    <row r="13" spans="1:28">
      <c r="A13" s="1441" t="s">
        <v>1038</v>
      </c>
      <c r="B13" s="1441" t="s">
        <v>1039</v>
      </c>
      <c r="C13" s="1442" t="s">
        <v>324</v>
      </c>
      <c r="I13" s="1445" t="s">
        <v>3344</v>
      </c>
      <c r="Z13" s="1445" t="s">
        <v>2472</v>
      </c>
    </row>
    <row r="14" spans="1:28">
      <c r="A14" s="1441" t="s">
        <v>1040</v>
      </c>
      <c r="B14" s="1441" t="s">
        <v>1041</v>
      </c>
      <c r="C14" s="1443" t="s">
        <v>13</v>
      </c>
      <c r="I14" s="1445" t="s">
        <v>3345</v>
      </c>
      <c r="Z14" s="1445" t="s">
        <v>2474</v>
      </c>
    </row>
    <row r="15" spans="1:28">
      <c r="A15" s="1441" t="s">
        <v>1042</v>
      </c>
      <c r="B15" s="1441" t="s">
        <v>1043</v>
      </c>
      <c r="C15" s="1442"/>
      <c r="I15" s="1445" t="s">
        <v>3346</v>
      </c>
    </row>
    <row r="16" spans="1:28">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路69号1号楼1-3（1-1）号等4套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7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4日，估价对象规划用途为配套土地取得方式为出让，出让国有建设用地使用权剩余土地使用年限为XX年(多用途剩余年限尾数不同时，可只体现小数点后一位)，假定未设立法定优先受偿款下的房地产市场价值。</v>
      </c>
    </row>
    <row r="54" spans="1:4">
      <c r="A54" s="3271"/>
      <c r="B54" s="1447" t="s">
        <v>385</v>
      </c>
      <c r="C54" s="1445" t="s">
        <v>583</v>
      </c>
    </row>
    <row r="55" spans="1:4">
      <c r="A55" s="3271"/>
      <c r="B55" s="1447" t="s">
        <v>386</v>
      </c>
      <c r="C55" s="1445" t="s">
        <v>584</v>
      </c>
    </row>
    <row r="56" spans="1:4">
      <c r="A56" s="3271"/>
      <c r="B56" s="1447" t="s">
        <v>387</v>
      </c>
      <c r="C56" s="1445" t="s">
        <v>588</v>
      </c>
    </row>
    <row r="57" spans="1:4">
      <c r="A57" s="327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272" t="s">
        <v>2578</v>
      </c>
      <c r="J2" s="3272"/>
      <c r="K2" s="3272"/>
      <c r="L2" s="3272"/>
      <c r="M2" s="3272"/>
      <c r="N2" s="3272"/>
      <c r="O2" s="3272"/>
      <c r="P2" s="3272"/>
      <c r="Q2" s="3272"/>
      <c r="R2" s="3272"/>
    </row>
    <row r="3" spans="1:18">
      <c r="A3" s="2762" t="s">
        <v>2499</v>
      </c>
      <c r="B3" s="2763">
        <f>项目基本情况!D3</f>
        <v>46026</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0.95</v>
      </c>
      <c r="D5" s="2767">
        <f>IF(ISERROR(ROUND(POWER(1+E5,A5-C5)*(POWER(1+E5,C5)-1)/(POWER(1+E5,A5)-1),3)),0,ROUND(POWER(1+E5,A5-C5)*(POWER(1+E5,C5)-1)/(POWER(1+E5,A5)-1),4))</f>
        <v>4.6199999999999998E-2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10.96</v>
      </c>
      <c r="D6" s="2767">
        <f>IF(ISERROR(ROUND(POWER(1+E6,A6-C6)*(POWER(1+E6,C6)-1)/(POWER(1+E6,A6)-1),3)),0,ROUND(POWER(1+E6,A6-C6)*(POWER(1+E6,C6)-1)/(POWER(1+E6,A6)-1),4))</f>
        <v>0.40660000000000002</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30.97</v>
      </c>
      <c r="D7" s="2767">
        <f>IF(ISERROR(ROUND(POWER(1+E7,A7-C7)*(POWER(1+E7,C7)-1)/(POWER(1+E7,A7)-1),3)),0,ROUND(POWER(1+E7,A7-C7)*(POWER(1+E7,C7)-1)/(POWER(1+E7,A7)-1),4))</f>
        <v>0.75139999999999996</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4.5" thickBot="1">
      <c r="A18" s="2772" t="s">
        <v>2514</v>
      </c>
      <c r="B18" s="2773">
        <f>ROUND(B17*F11/F12,2)</f>
        <v>5541.87</v>
      </c>
      <c r="C18" s="2773">
        <f>ROUND(F11/F12,4)</f>
        <v>1.1521999999999999</v>
      </c>
      <c r="D18" s="2774"/>
      <c r="E18" s="2774"/>
      <c r="F18" s="2775"/>
    </row>
    <row r="19" spans="1:14" ht="14.5" thickBot="1"/>
    <row r="20" spans="1:14" s="2808" customFormat="1" ht="14.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4.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3383</v>
      </c>
    </row>
    <row r="50" spans="1:4">
      <c r="A50" s="3144" t="s">
        <v>3384</v>
      </c>
      <c r="B50" s="3144" t="s">
        <v>3385</v>
      </c>
      <c r="C50" s="3144" t="s">
        <v>3386</v>
      </c>
      <c r="D50" s="3144" t="s">
        <v>3387</v>
      </c>
    </row>
    <row r="51" spans="1:4">
      <c r="A51" s="3144" t="s">
        <v>3388</v>
      </c>
      <c r="B51" s="2764">
        <f>B52+B53</f>
        <v>15000</v>
      </c>
      <c r="C51" s="3145">
        <f>D51/B51</f>
        <v>2666.6666666666665</v>
      </c>
      <c r="D51" s="2764">
        <f>D52+D53</f>
        <v>40000000</v>
      </c>
    </row>
    <row r="52" spans="1:4">
      <c r="A52" s="3146" t="s">
        <v>3389</v>
      </c>
      <c r="B52" s="3147">
        <v>10000</v>
      </c>
      <c r="C52" s="3147">
        <v>1500</v>
      </c>
      <c r="D52" s="3148">
        <f>C52*B52</f>
        <v>15000000</v>
      </c>
    </row>
    <row r="53" spans="1:4">
      <c r="A53" s="3146" t="s">
        <v>3390</v>
      </c>
      <c r="B53" s="3147">
        <v>5000</v>
      </c>
      <c r="C53" s="3147">
        <v>5000</v>
      </c>
      <c r="D53" s="3148">
        <f>C53*B53</f>
        <v>25000000</v>
      </c>
    </row>
    <row r="54" spans="1:4">
      <c r="A54" s="3144" t="s">
        <v>3391</v>
      </c>
      <c r="B54" s="2764">
        <f>B51</f>
        <v>15000</v>
      </c>
      <c r="C54" s="2770">
        <v>700</v>
      </c>
      <c r="D54" s="2764">
        <f t="shared" ref="D54:D55" si="5">C54*B54</f>
        <v>10500000</v>
      </c>
    </row>
    <row r="55" spans="1:4">
      <c r="A55" s="3144" t="s">
        <v>3392</v>
      </c>
      <c r="B55" s="2764">
        <f>B51</f>
        <v>15000</v>
      </c>
      <c r="C55" s="2770">
        <v>1500</v>
      </c>
      <c r="D55" s="2764">
        <f t="shared" si="5"/>
        <v>22500000</v>
      </c>
    </row>
    <row r="56" spans="1:4">
      <c r="A56" s="3144" t="s">
        <v>3393</v>
      </c>
      <c r="B56" s="2764">
        <f>B51</f>
        <v>15000</v>
      </c>
      <c r="C56" s="3149">
        <f>C51+C54+C55</f>
        <v>4866.6666666666661</v>
      </c>
      <c r="D56" s="2764">
        <f>D51+D54+D55</f>
        <v>73000000</v>
      </c>
    </row>
    <row r="58" spans="1:4">
      <c r="A58" s="3144" t="s">
        <v>3394</v>
      </c>
      <c r="B58" s="3150">
        <v>0.05</v>
      </c>
      <c r="C58" s="2764">
        <f>C56*(1+B58)</f>
        <v>5110</v>
      </c>
      <c r="D58" s="2764">
        <f>D56*B58</f>
        <v>3650000</v>
      </c>
    </row>
    <row r="60" spans="1:4">
      <c r="A60" s="3144" t="s">
        <v>3395</v>
      </c>
      <c r="B60" s="2770">
        <v>3500</v>
      </c>
      <c r="C60" s="2770">
        <f>C53</f>
        <v>5000</v>
      </c>
      <c r="D60" s="2764">
        <f>C60*B60</f>
        <v>17500000</v>
      </c>
    </row>
    <row r="62" spans="1:4">
      <c r="A62" s="3144" t="s">
        <v>3396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1" zoomScaleNormal="100" zoomScaleSheetLayoutView="100" workbookViewId="0">
      <selection activeCell="B31" sqref="B3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80" t="str">
        <f>IF(B10="北京市","北京市",C10)&amp;F10&amp;IF(结果表!G1="在建","出让国有建设用地使用权及在建建筑物",IF(结果表!G1="土地","出让国有建设用地使用权",))&amp;B9&amp;"预评估"</f>
        <v>北京市朝阳区朝阳路69号1号楼1-3（1-1）号等4套房地产市场价值预评估</v>
      </c>
      <c r="C1" s="3281"/>
      <c r="D1" s="3281"/>
      <c r="E1" s="3281"/>
      <c r="F1" s="3281"/>
      <c r="G1" s="3281"/>
      <c r="H1" s="3281"/>
      <c r="I1" s="328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北京市朝阳区朝阳路69号1号楼1-3（1-1）号等4套房地产市场价值</v>
      </c>
      <c r="T1" s="1618"/>
      <c r="U1" s="1618"/>
      <c r="V1" s="1618"/>
      <c r="W1" s="1618"/>
      <c r="X1" s="1618"/>
      <c r="Y1" s="1618"/>
      <c r="Z1" s="1618"/>
      <c r="AA1" s="1618"/>
      <c r="AB1" s="1618"/>
    </row>
    <row r="2" spans="1:30" ht="13">
      <c r="A2" s="2182" t="s">
        <v>2167</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北京市朝阳区朝阳路69号1号楼1-3（1-1）号等4套房地产</v>
      </c>
      <c r="T2" s="1618"/>
      <c r="U2" s="1618"/>
      <c r="V2" s="1618"/>
      <c r="W2" s="1618"/>
      <c r="X2" s="1618"/>
      <c r="Y2" s="1618"/>
      <c r="Z2" s="1618"/>
      <c r="AA2" s="1618"/>
      <c r="AB2" s="1618"/>
    </row>
    <row r="3" spans="1:30" ht="13">
      <c r="A3" s="294" t="s">
        <v>2168</v>
      </c>
      <c r="B3" s="2185">
        <v>46026</v>
      </c>
      <c r="C3" s="2186" t="s">
        <v>2169</v>
      </c>
      <c r="D3" s="2185">
        <f>B3</f>
        <v>46026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2173</v>
      </c>
      <c r="B7" s="2198"/>
      <c r="C7" s="2196"/>
      <c r="D7" s="2197"/>
      <c r="E7" s="2441"/>
      <c r="F7" s="2442"/>
      <c r="G7" s="2442"/>
      <c r="H7" s="2442"/>
      <c r="I7" s="2442"/>
      <c r="J7" s="2245"/>
      <c r="K7" s="2402"/>
      <c r="L7" s="2399"/>
      <c r="M7" s="2399"/>
      <c r="N7" s="2245"/>
      <c r="O7" s="1670"/>
      <c r="P7" s="2245"/>
      <c r="Q7" s="2245"/>
      <c r="R7" s="2245"/>
    </row>
    <row r="8" spans="1:30" ht="13">
      <c r="A8" s="2199" t="s">
        <v>2174</v>
      </c>
      <c r="B8" s="2200" t="s">
        <v>3442</v>
      </c>
      <c r="C8" s="2201"/>
      <c r="D8" s="3283" t="s">
        <v>2175</v>
      </c>
      <c r="E8" s="2202"/>
      <c r="F8" s="2203"/>
      <c r="G8" s="2442"/>
      <c r="H8" s="2442"/>
      <c r="I8" s="2442"/>
      <c r="J8" s="2245"/>
      <c r="K8" s="2400"/>
      <c r="L8" s="2399"/>
      <c r="M8" s="2399"/>
      <c r="N8" s="2245"/>
      <c r="O8" s="1670"/>
      <c r="P8" s="2245"/>
      <c r="Q8" s="2245"/>
      <c r="R8" s="2245"/>
    </row>
    <row r="9" spans="1:30" ht="13.5" thickBot="1">
      <c r="A9" s="2204" t="s">
        <v>2176</v>
      </c>
      <c r="B9" s="2205" t="s">
        <v>3443</v>
      </c>
      <c r="C9" s="2206"/>
      <c r="D9" s="3284"/>
      <c r="E9" s="2205"/>
      <c r="F9" s="2207"/>
      <c r="G9" s="2443"/>
      <c r="H9" s="2443"/>
      <c r="I9" s="2443"/>
      <c r="J9" s="2245"/>
      <c r="K9" s="2402"/>
      <c r="L9" s="2399"/>
      <c r="M9" s="2399"/>
      <c r="N9" s="2245"/>
      <c r="O9" s="1670"/>
      <c r="P9" s="2245"/>
      <c r="Q9" s="2245"/>
      <c r="R9" s="2245"/>
    </row>
    <row r="10" spans="1:30" ht="13.5" thickTop="1">
      <c r="A10" s="2208" t="s">
        <v>2177</v>
      </c>
      <c r="B10" s="2209" t="s">
        <v>3444</v>
      </c>
      <c r="C10" s="2210"/>
      <c r="D10" s="2193"/>
      <c r="E10" s="2211" t="s">
        <v>2178</v>
      </c>
      <c r="F10" s="3169" t="s">
        <v>3446</v>
      </c>
      <c r="G10" s="2444"/>
      <c r="H10" s="2445"/>
      <c r="I10" s="2446"/>
      <c r="J10" s="2245"/>
      <c r="K10" s="2402"/>
      <c r="L10" s="2399"/>
      <c r="M10" s="2399"/>
      <c r="N10" s="2245"/>
      <c r="O10" s="1670"/>
      <c r="P10" s="2245"/>
      <c r="Q10" s="2245"/>
      <c r="R10" s="2245"/>
    </row>
    <row r="11" spans="1:30" ht="13">
      <c r="A11" s="2212" t="s">
        <v>2179</v>
      </c>
      <c r="B11" s="2213" t="s">
        <v>3445</v>
      </c>
      <c r="C11" s="2214" t="str">
        <f>面积信息!B4</f>
        <v>李胜利</v>
      </c>
      <c r="D11" s="2215"/>
      <c r="E11" s="2182"/>
      <c r="F11" s="2182"/>
      <c r="G11" s="2182"/>
      <c r="H11" s="2182"/>
      <c r="I11" s="2182"/>
      <c r="J11" s="2801"/>
      <c r="K11" s="2399"/>
      <c r="L11" s="2399"/>
      <c r="M11" s="2399"/>
      <c r="N11" s="2245"/>
      <c r="O11" s="1670"/>
      <c r="P11" s="2245"/>
      <c r="Q11" s="2245"/>
      <c r="R11" s="2245"/>
    </row>
    <row r="12" spans="1:30" ht="13">
      <c r="A12" s="2216" t="s">
        <v>2180</v>
      </c>
      <c r="B12" s="315" t="s">
        <v>2181</v>
      </c>
      <c r="C12" s="2217" t="s">
        <v>2182</v>
      </c>
      <c r="D12" s="2217" t="s">
        <v>2183</v>
      </c>
      <c r="E12" s="2217" t="s">
        <v>2184</v>
      </c>
      <c r="F12" s="2217" t="s">
        <v>2185</v>
      </c>
      <c r="G12" s="2217" t="s">
        <v>2186</v>
      </c>
      <c r="H12" s="2217" t="s">
        <v>2187</v>
      </c>
      <c r="I12" s="2800" t="s">
        <v>2574</v>
      </c>
      <c r="J12" s="2802"/>
      <c r="K12" s="2399"/>
      <c r="L12" s="2399"/>
      <c r="M12" s="2245"/>
      <c r="N12" s="1670"/>
      <c r="O12" s="2245"/>
      <c r="P12" s="2245"/>
      <c r="Q12" s="2245"/>
      <c r="AD12" s="1618"/>
    </row>
    <row r="13" spans="1:30" ht="13">
      <c r="A13" s="3121" t="s">
        <v>3328</v>
      </c>
      <c r="B13" s="2218" t="s">
        <v>2188</v>
      </c>
      <c r="C13" s="803">
        <v>63538</v>
      </c>
      <c r="D13" s="803">
        <v>52580</v>
      </c>
      <c r="E13" s="803"/>
      <c r="F13" s="803"/>
      <c r="G13" s="803"/>
      <c r="H13" s="803"/>
      <c r="I13" s="803"/>
      <c r="J13" s="2802"/>
      <c r="K13" s="2399"/>
      <c r="L13" s="2399"/>
      <c r="M13" s="2245"/>
      <c r="N13" s="1670"/>
      <c r="O13" s="2245"/>
      <c r="P13" s="2245"/>
      <c r="Q13" s="2245"/>
      <c r="AD13" s="1618"/>
    </row>
    <row r="14" spans="1:30" ht="13">
      <c r="A14" s="1018"/>
      <c r="B14" s="2218" t="s">
        <v>2189</v>
      </c>
      <c r="C14" s="2219"/>
      <c r="D14" s="2219">
        <v>40</v>
      </c>
      <c r="E14" s="2219"/>
      <c r="F14" s="2219"/>
      <c r="G14" s="2219"/>
      <c r="H14" s="2219"/>
      <c r="I14" s="2219"/>
      <c r="J14" s="2803"/>
      <c r="K14" s="2399"/>
      <c r="L14" s="2399"/>
      <c r="M14" s="2245"/>
      <c r="N14" s="1670"/>
      <c r="O14" s="2245"/>
      <c r="P14" s="2245"/>
      <c r="Q14" s="2245"/>
      <c r="AD14" s="1618"/>
    </row>
    <row r="15" spans="1:30" ht="13">
      <c r="A15" s="312"/>
      <c r="B15" s="2220" t="s">
        <v>2190</v>
      </c>
      <c r="C15" s="2221">
        <f>IF(A13="出让",IF(C13="","",ROUNDDOWN(MIN((C13-$D$3)/365,C14),2)),C14)</f>
        <v>47.97</v>
      </c>
      <c r="D15" s="2221">
        <f>IF(A13="出让",IF(D13="","",ROUNDDOWN(MIN((D13-$D$3)/365,D14),2)),D14)</f>
        <v>17.95</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2191</v>
      </c>
      <c r="B16" s="3290" t="s">
        <v>3447</v>
      </c>
      <c r="C16" s="3291"/>
      <c r="D16" s="3292"/>
      <c r="E16" s="2222" t="s">
        <v>2192</v>
      </c>
      <c r="F16" s="3293"/>
      <c r="G16" s="3294"/>
      <c r="H16" s="3294"/>
      <c r="I16" s="3295"/>
      <c r="J16" s="2245"/>
      <c r="K16" s="2403"/>
      <c r="L16" s="1670"/>
      <c r="M16" s="1670"/>
      <c r="N16" s="2245"/>
      <c r="O16" s="1670"/>
      <c r="P16" s="2245"/>
      <c r="Q16" s="2245"/>
      <c r="R16" s="2245"/>
    </row>
    <row r="17" spans="1:28" ht="13">
      <c r="A17" s="305" t="s">
        <v>2193</v>
      </c>
      <c r="B17" s="294" t="s">
        <v>2194</v>
      </c>
      <c r="C17" s="8">
        <f>'数据-汇总表'!E3</f>
        <v>525.41000000000008</v>
      </c>
      <c r="D17" s="1256" t="s">
        <v>2195</v>
      </c>
      <c r="E17" s="3296" t="s">
        <v>2196</v>
      </c>
      <c r="F17" s="3297"/>
      <c r="G17" s="3297"/>
      <c r="H17" s="3297"/>
      <c r="I17" s="3298"/>
      <c r="J17" s="2245"/>
      <c r="K17" s="2404"/>
      <c r="L17" s="1670"/>
      <c r="M17" s="1670"/>
      <c r="N17" s="2245"/>
      <c r="O17" s="1670"/>
      <c r="P17" s="2245"/>
      <c r="Q17" s="2245"/>
      <c r="R17" s="2245"/>
      <c r="S17" s="2245"/>
      <c r="T17" s="2245"/>
      <c r="U17" s="2245"/>
      <c r="V17" s="2245"/>
    </row>
    <row r="18" spans="1:28" ht="26.5" thickBot="1">
      <c r="A18" s="2223" t="s">
        <v>2197</v>
      </c>
      <c r="B18" s="1027" t="s">
        <v>2198</v>
      </c>
      <c r="C18" s="2224">
        <f>'数据-汇总表'!D3</f>
        <v>0</v>
      </c>
      <c r="D18" s="1029" t="s">
        <v>2199</v>
      </c>
      <c r="E18" s="3299" t="s">
        <v>2200</v>
      </c>
      <c r="F18" s="3300"/>
      <c r="G18" s="3300"/>
      <c r="H18" s="3300"/>
      <c r="I18" s="3301"/>
      <c r="J18" s="2245"/>
      <c r="K18" s="2404"/>
      <c r="L18" s="1670"/>
      <c r="M18" s="1670"/>
      <c r="N18" s="2245"/>
      <c r="O18" s="1670"/>
      <c r="P18" s="2245"/>
      <c r="Q18" s="2245"/>
      <c r="R18" s="2245"/>
      <c r="S18" s="2245"/>
      <c r="T18" s="2245"/>
      <c r="U18" s="2245"/>
      <c r="V18" s="2245"/>
    </row>
    <row r="19" spans="1:28" ht="40" thickTop="1" thickBot="1">
      <c r="A19" s="319" t="s">
        <v>1055</v>
      </c>
      <c r="B19" s="299" t="s">
        <v>2201</v>
      </c>
      <c r="C19" s="1455" t="s">
        <v>3448</v>
      </c>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2203</v>
      </c>
      <c r="B20" s="3286" t="s">
        <v>2204</v>
      </c>
      <c r="C20" s="3287"/>
      <c r="D20" s="3288" t="s">
        <v>2205</v>
      </c>
      <c r="E20" s="3289"/>
      <c r="F20" s="2430" t="s">
        <v>1056</v>
      </c>
      <c r="G20" s="2442"/>
      <c r="H20" s="2442"/>
      <c r="I20" s="2442"/>
      <c r="J20" s="2245"/>
      <c r="K20" s="3285"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2207</v>
      </c>
      <c r="C21" s="2296" t="s">
        <v>1057</v>
      </c>
      <c r="D21" s="1460" t="s">
        <v>2208</v>
      </c>
      <c r="E21" s="2419" t="s">
        <v>1057</v>
      </c>
      <c r="F21" s="2431"/>
      <c r="G21" s="2442"/>
      <c r="H21" s="2442"/>
      <c r="I21" s="2442"/>
      <c r="J21" s="2245"/>
      <c r="K21" s="328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2209</v>
      </c>
      <c r="C22" s="2296" t="s">
        <v>1058</v>
      </c>
      <c r="D22" s="2442"/>
      <c r="E22" s="2442"/>
      <c r="F22" s="2442"/>
      <c r="G22" s="2442"/>
      <c r="H22" s="2442"/>
      <c r="I22" s="2442"/>
      <c r="J22" s="2245"/>
      <c r="K22" s="328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74" t="s">
        <v>2212</v>
      </c>
      <c r="B27" s="312" t="s">
        <v>2213</v>
      </c>
      <c r="C27" s="2225" t="s">
        <v>3449</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74"/>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74"/>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75"/>
      <c r="B30" s="294" t="s">
        <v>2216</v>
      </c>
      <c r="C30" s="3276"/>
      <c r="D30" s="3277"/>
      <c r="E30" s="2442"/>
      <c r="F30" s="2442"/>
      <c r="G30" s="2442"/>
      <c r="H30" s="2442"/>
      <c r="I30" s="2442"/>
      <c r="J30" s="2245"/>
      <c r="K30" s="2402"/>
      <c r="L30" s="2399"/>
      <c r="M30" s="2399"/>
      <c r="N30" s="2245"/>
      <c r="O30" s="1670"/>
      <c r="P30" s="2245"/>
      <c r="Q30" s="2245"/>
      <c r="R30" s="2245"/>
      <c r="S30" s="2245"/>
      <c r="T30" s="2245"/>
      <c r="U30" s="2245"/>
      <c r="V30" s="2245"/>
    </row>
    <row r="31" spans="1:28">
      <c r="A31" s="3278" t="s">
        <v>2217</v>
      </c>
      <c r="B31" s="2231" t="s">
        <v>3450</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7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7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73" t="s">
        <v>2226</v>
      </c>
      <c r="T34" s="315" t="str">
        <f>NUMBERSTRING(7-K34,1)&amp;"通"</f>
        <v>七通</v>
      </c>
      <c r="U34" s="2245"/>
      <c r="V34" s="2245"/>
    </row>
    <row r="35" spans="1:30">
      <c r="A35" s="2236"/>
      <c r="B35" s="3273" t="s">
        <v>2227</v>
      </c>
      <c r="C35" s="3273"/>
      <c r="D35" s="3273"/>
      <c r="E35" s="327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3"/>
      <c r="T35" s="138" t="str">
        <f>IF(T34="一通",L35,IF(T34="二通",M35,IF(T34="三通",N35,IF(T34="四通",O35,IF(T34="五通",P35,IF(T34="六通",Q35,R35))))))</f>
        <v>、、、、、、</v>
      </c>
      <c r="U35" s="2245"/>
      <c r="V35" s="2245"/>
    </row>
    <row r="36" spans="1:30" ht="13">
      <c r="A36" s="2183"/>
      <c r="B36" s="8" t="s">
        <v>2183</v>
      </c>
      <c r="C36" s="8" t="s">
        <v>2184</v>
      </c>
      <c r="D36" s="8" t="s">
        <v>2182</v>
      </c>
      <c r="E36" s="8" t="s">
        <v>2187</v>
      </c>
      <c r="F36" s="2800" t="s">
        <v>2577</v>
      </c>
      <c r="G36" s="2442"/>
      <c r="H36" s="2442"/>
      <c r="I36" s="2442"/>
      <c r="J36" s="2245"/>
      <c r="K36" s="2402"/>
      <c r="L36" s="2399"/>
      <c r="M36" s="2399"/>
      <c r="N36" s="2245"/>
      <c r="O36" s="1670"/>
      <c r="P36" s="2245"/>
      <c r="Q36" s="2245"/>
      <c r="R36" s="2245"/>
      <c r="S36" s="2245"/>
      <c r="T36" s="2245"/>
      <c r="U36" s="2245"/>
      <c r="V36" s="2245"/>
    </row>
    <row r="37" spans="1:30" ht="13">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D16"/>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525.41000000000008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525.41000000000008</v>
      </c>
      <c r="H5" s="13">
        <f t="shared" ref="H5:AT5" si="0">SUM(H13:H656)</f>
        <v>525.41000000000008</v>
      </c>
      <c r="I5" s="13">
        <f t="shared" si="0"/>
        <v>525.41000000000008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525.41000000000008</v>
      </c>
      <c r="BA5" s="15">
        <f t="shared" si="1"/>
        <v>525.41000000000008</v>
      </c>
      <c r="BB5" s="15">
        <f t="shared" si="1"/>
        <v>525.41000000000008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3452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t="str">
        <f>面积信息!F2</f>
        <v>1-3（1-1）</v>
      </c>
      <c r="D13" s="1513" t="s">
        <v>3451</v>
      </c>
      <c r="E13" s="13">
        <f>IF($C$3="是",ROUND($A$3*G13/$B$3,2),ROUND($A$3*(G13-AT13)/$B$3,2))</f>
        <v>0</v>
      </c>
      <c r="F13" s="29"/>
      <c r="G13" s="30">
        <f>H13+AC13+AT13</f>
        <v>137.74</v>
      </c>
      <c r="H13" s="17">
        <f>SUMIF(I$12:AB$12,"总值",I13:AB13)</f>
        <v>137.74</v>
      </c>
      <c r="I13" s="1514">
        <f>面积信息!J2</f>
        <v>137.74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1-3（1-1）</v>
      </c>
      <c r="AY13" s="1260">
        <f>ROUND($AY$6*AZ13/$AZ$5,2)</f>
        <v>0</v>
      </c>
      <c r="AZ13" s="13">
        <f>BA13+BL13</f>
        <v>137.74</v>
      </c>
      <c r="BA13" s="13">
        <f>SUM(BB13:BK13)</f>
        <v>137.74</v>
      </c>
      <c r="BB13" s="13">
        <f>IF($D13="是",I13-J13,0)</f>
        <v>137.74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628" t="str">
        <f>面积信息!F3</f>
        <v>1-3（1-2）</v>
      </c>
      <c r="D14" s="1513" t="s">
        <v>3451</v>
      </c>
      <c r="E14" s="13">
        <f>IF($C$3="是",ROUND($A$3*G14/$B$3,2),ROUND($A$3*(G14-AT14)/$B$3,2))</f>
        <v>0</v>
      </c>
      <c r="F14" s="29"/>
      <c r="G14" s="30">
        <f>H14+AC14+AT14</f>
        <v>138.06</v>
      </c>
      <c r="H14" s="17">
        <f>SUMIF(I$12:AB$12,"总值",I14:AB14)</f>
        <v>138.06</v>
      </c>
      <c r="I14" s="1514">
        <f>面积信息!J3</f>
        <v>138.06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1-3（1-2）</v>
      </c>
      <c r="AY14" s="1260">
        <f>ROUND($AY$6*AZ14/$AZ$5,2)</f>
        <v>0</v>
      </c>
      <c r="AZ14" s="13">
        <f>BA14+BL14</f>
        <v>138.06</v>
      </c>
      <c r="BA14" s="13">
        <f>SUM(BB14:BK14)</f>
        <v>138.06</v>
      </c>
      <c r="BB14" s="13">
        <f>IF($D14="是",I14-J14,0)</f>
        <v>138.06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628" t="str">
        <f>面积信息!F4</f>
        <v>1-3（1-3）</v>
      </c>
      <c r="D15" s="1513" t="s">
        <v>3451</v>
      </c>
      <c r="E15" s="13">
        <f>IF($C$3="是",ROUND($A$3*G15/$B$3,2),ROUND($A$3*(G15-AT15)/$B$3,2))</f>
        <v>0</v>
      </c>
      <c r="F15" s="29"/>
      <c r="G15" s="30">
        <f>H15+AC15+AT15</f>
        <v>141.4</v>
      </c>
      <c r="H15" s="17">
        <f>SUMIF(I$12:AB$12,"总值",I15:AB15)</f>
        <v>141.4</v>
      </c>
      <c r="I15" s="1514">
        <f>面积信息!J4</f>
        <v>141.4</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1-3（1-3）</v>
      </c>
      <c r="AY15" s="1260">
        <f>ROUND($AY$6*AZ15/$AZ$5,2)</f>
        <v>0</v>
      </c>
      <c r="AZ15" s="13">
        <f>BA15+BL15</f>
        <v>141.4</v>
      </c>
      <c r="BA15" s="13">
        <f>SUM(BB15:BK15)</f>
        <v>141.4</v>
      </c>
      <c r="BB15" s="13">
        <f>IF($D15="是",I15-J15,0)</f>
        <v>141.4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628" t="str">
        <f>面积信息!F5</f>
        <v>1-3（1-4）</v>
      </c>
      <c r="D16" s="1513" t="s">
        <v>3451</v>
      </c>
      <c r="E16" s="13">
        <f>IF($C$3="是",ROUND($A$3*G16/$B$3,2),ROUND($A$3*(G16-AT16)/$B$3,2))</f>
        <v>0</v>
      </c>
      <c r="F16" s="29"/>
      <c r="G16" s="30">
        <f>H16+AC16+AT16</f>
        <v>108.21</v>
      </c>
      <c r="H16" s="17">
        <f>SUMIF(I$12:AB$12,"总值",I16:AB16)</f>
        <v>108.21</v>
      </c>
      <c r="I16" s="1514">
        <f>面积信息!J5</f>
        <v>108.21</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1-3（1-4）</v>
      </c>
      <c r="AY16" s="1260">
        <f>ROUND($AY$6*AZ16/$AZ$5,2)</f>
        <v>0</v>
      </c>
      <c r="AZ16" s="13">
        <f>BA16+BL16</f>
        <v>108.21</v>
      </c>
      <c r="BA16" s="13">
        <f>SUM(BB16:BK16)</f>
        <v>108.21</v>
      </c>
      <c r="BB16" s="13">
        <f>IF($D16="是",I16-J16,0)</f>
        <v>108.21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311" t="s">
        <v>1131</v>
      </c>
      <c r="B2" s="3311"/>
      <c r="C2" s="3311"/>
      <c r="D2" s="748" t="s">
        <v>1107</v>
      </c>
      <c r="E2" s="1523" t="s">
        <v>1108</v>
      </c>
      <c r="F2" s="2439"/>
      <c r="G2" s="2432"/>
      <c r="H2" s="2433"/>
      <c r="I2" s="2146" t="s">
        <v>1132</v>
      </c>
      <c r="J2" s="2439"/>
      <c r="K2" s="2439"/>
      <c r="L2" s="2439"/>
      <c r="M2" s="2439"/>
      <c r="N2" s="2440"/>
      <c r="O2" s="2439"/>
      <c r="P2" s="2439"/>
    </row>
    <row r="3" spans="1:16" ht="14.5" thickBot="1">
      <c r="A3" s="3312" t="s">
        <v>1105</v>
      </c>
      <c r="B3" s="3312"/>
      <c r="C3" s="3312"/>
      <c r="D3" s="41">
        <f>'数据-基础表'!AY6</f>
        <v>0</v>
      </c>
      <c r="E3" s="41">
        <f>'数据-基础表'!AZ5</f>
        <v>525.41000000000008</v>
      </c>
      <c r="F3" s="2439"/>
      <c r="G3" s="42"/>
      <c r="H3" s="43" t="s">
        <v>1106</v>
      </c>
      <c r="I3" s="802" t="e">
        <f>ROUND('数据-基础表'!B3/'数据-基础表'!A3,2)</f>
        <v>#DIV/0!</v>
      </c>
      <c r="J3" s="2439"/>
      <c r="K3" s="2439"/>
      <c r="L3" s="2439"/>
      <c r="M3" s="2439"/>
      <c r="N3" s="2440"/>
      <c r="O3" s="2439"/>
      <c r="P3" s="2439"/>
    </row>
    <row r="4" spans="1:16">
      <c r="A4" s="3313"/>
      <c r="B4" s="3314"/>
      <c r="C4" s="331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316" t="s">
        <v>1110</v>
      </c>
      <c r="C5" s="331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316" t="s">
        <v>1111</v>
      </c>
      <c r="C6" s="3316"/>
      <c r="D6" s="43">
        <f>ROUND($D$3*E6/$E$3,2)</f>
        <v>0</v>
      </c>
      <c r="E6" s="44">
        <f>E3-E5</f>
        <v>525.41000000000008</v>
      </c>
      <c r="F6" s="2439"/>
      <c r="G6" s="1529" t="s">
        <v>1112</v>
      </c>
      <c r="H6" s="45" t="s">
        <v>1113</v>
      </c>
      <c r="I6" s="2435" t="e">
        <f>ROUND(F31/D31,2)</f>
        <v>#DIV/0!</v>
      </c>
      <c r="J6" s="2439"/>
      <c r="K6" s="2439"/>
      <c r="L6" s="2439"/>
      <c r="M6" s="2439"/>
      <c r="N6" s="2439"/>
      <c r="O6" s="2439"/>
      <c r="P6" s="2439"/>
    </row>
    <row r="7" spans="1:16" ht="14.5" thickBot="1">
      <c r="A7" s="3308"/>
      <c r="B7" s="3309"/>
      <c r="C7" s="3310"/>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525.41000000000008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525.41000000000008</v>
      </c>
      <c r="F16" s="2439"/>
      <c r="G16" s="2439"/>
      <c r="H16" s="1531" t="s">
        <v>1135</v>
      </c>
      <c r="I16" s="1532"/>
      <c r="J16" s="1071"/>
      <c r="K16" s="3305" t="s">
        <v>1135</v>
      </c>
      <c r="L16" s="3306"/>
      <c r="M16" s="3306"/>
      <c r="N16" s="3306"/>
      <c r="O16" s="3306"/>
      <c r="P16" s="3307"/>
    </row>
    <row r="17" spans="1:19">
      <c r="A17" s="1533" t="s">
        <v>1136</v>
      </c>
      <c r="B17" s="1534" t="s">
        <v>1137</v>
      </c>
      <c r="C17" s="1535" t="s">
        <v>1138</v>
      </c>
      <c r="D17" s="1536" t="s">
        <v>1126</v>
      </c>
      <c r="E17" s="1537" t="s">
        <v>1127</v>
      </c>
      <c r="F17" s="1538"/>
      <c r="G17" s="1539"/>
      <c r="H17" s="1540" t="s">
        <v>1139</v>
      </c>
      <c r="I17" s="1541" t="s">
        <v>1124</v>
      </c>
      <c r="J17" s="1071"/>
      <c r="K17" s="3302" t="s">
        <v>1140</v>
      </c>
      <c r="L17" s="3303"/>
      <c r="M17" s="3304"/>
      <c r="N17" s="3302" t="s">
        <v>1141</v>
      </c>
      <c r="O17" s="3303"/>
      <c r="P17" s="3304"/>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3647</v>
      </c>
      <c r="D19" s="43">
        <f>ROUND($D$3*E19/$E$3,2)</f>
        <v>0</v>
      </c>
      <c r="E19" s="51">
        <f t="shared" ref="E19:E26" si="1">SUM(F19:G19)</f>
        <v>525.41000000000008</v>
      </c>
      <c r="F19" s="2557">
        <f>'数据-基础表'!B3</f>
        <v>525.41000000000008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525.41000000000008</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525.41000000000008</v>
      </c>
      <c r="F27" s="1072">
        <f>IF(SUM(F19:F26)=E8,SUM(F19:F26),"地上面积有误")</f>
        <v>525.41000000000008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525.41000000000008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525.41000000000008</v>
      </c>
      <c r="F31" s="644">
        <f>F27+F30</f>
        <v>525.41000000000008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N7" sqref="N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46026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40</v>
      </c>
      <c r="E6" s="804">
        <f>IF(B6="","",SUMIF(项目基本情况!C$12:I$12,C6,项目基本情况!C$13:I$13))</f>
        <v>52580</v>
      </c>
      <c r="F6" s="61">
        <f>SUMIF(项目基本情况!C$12:I$12,C6,项目基本情况!C$15:I$15)</f>
        <v>17.95</v>
      </c>
      <c r="G6" s="62">
        <f>IF(ISERROR(ROUND(POWER(1+H6,D6-F6)*(POWER(1+H6,F6)-1)/(POWER(1+H6,D6)-1),3)),0,ROUND(POWER(1+H6,D6-F6)*(POWER(1+H6,F6)-1)/(POWER(1+H6,D6)-1),3))</f>
        <v>0.68</v>
      </c>
      <c r="H6" s="691">
        <v>0.05</v>
      </c>
      <c r="I6" s="691">
        <v>5.5E-2</v>
      </c>
      <c r="J6" s="63">
        <v>7.0000000000000007E-2</v>
      </c>
      <c r="K6" s="970">
        <f>SUMIF('数据-汇总表'!C$19:C$33,A6,'数据-汇总表'!E$19:E$33)</f>
        <v>525.41000000000008</v>
      </c>
      <c r="L6" s="692">
        <v>4000</v>
      </c>
      <c r="M6" s="64">
        <f t="shared" ref="M6:M14" si="0">ROUND(K6*L6/10000,0)</f>
        <v>210</v>
      </c>
      <c r="N6" s="690">
        <f>N19</f>
        <v>0.67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f>N6</f>
        <v>0.67</v>
      </c>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t="s">
        <v>3459</v>
      </c>
      <c r="AO6" s="50" t="e">
        <f ca="1">SUMIF(INDIRECT("'"&amp;AN6&amp;"'"&amp;"!A:A"),"总价",INDIRECT("'"&amp;AN6&amp;"'"&amp;"!B:B"))</f>
        <v>#DIV/0!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0.68</v>
      </c>
      <c r="H16" s="84">
        <f>ROUND(SUMPRODUCT(H6:H13,K6:K13)/SUMPRODUCT((H6:H13&gt;0)*(K6:K13)),3)</f>
        <v>0.05</v>
      </c>
      <c r="I16" s="85"/>
      <c r="J16" s="85"/>
      <c r="K16" s="86">
        <f>SUM(K6:K15)</f>
        <v>525.41000000000008</v>
      </c>
      <c r="L16" s="87">
        <f>ROUND(M16*10000/SUM(K6:K14),0)</f>
        <v>3997</v>
      </c>
      <c r="M16" s="87">
        <f>SUM(M6:M14)</f>
        <v>210</v>
      </c>
      <c r="N16" s="88">
        <f>ROUND(SUMPRODUCT(M6:M14,N6:N14)/M16,3)</f>
        <v>0.67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2448" t="str">
        <f>面积信息!L1</f>
        <v>建成年份</v>
      </c>
      <c r="N18" s="2448">
        <f>面积信息!L5</f>
        <v>2005</v>
      </c>
      <c r="O18" s="3170" t="s">
        <v>3455</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2300</v>
      </c>
      <c r="D19" s="2451"/>
      <c r="E19" s="2439"/>
      <c r="F19" s="2439"/>
      <c r="G19" s="2439"/>
      <c r="H19" s="2439"/>
      <c r="I19" s="2439"/>
      <c r="J19" s="2439"/>
      <c r="K19" s="2449"/>
      <c r="L19" s="2449"/>
      <c r="M19" s="3170" t="s">
        <v>3456</v>
      </c>
      <c r="N19" s="2448">
        <f>ROUND(1-(1-0)*(2025-N18)/60,2)</f>
        <v>0.67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2298</v>
      </c>
      <c r="D20" s="2451"/>
      <c r="E20" s="2439"/>
      <c r="F20" s="2439"/>
      <c r="G20" s="2439"/>
      <c r="H20" s="2439"/>
      <c r="I20" s="2439"/>
      <c r="J20" s="2439"/>
      <c r="K20" s="2449"/>
      <c r="L20" s="2449"/>
      <c r="M20" s="3170" t="s">
        <v>3457</v>
      </c>
      <c r="N20" s="2448">
        <v>0.8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3170" t="s">
        <v>3458</v>
      </c>
      <c r="N21" s="2448">
        <f>ROUND((N19+N20)/2,2)</f>
        <v>0.74</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2302</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2292</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3379</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2293</v>
      </c>
      <c r="D34" s="2459" t="s">
        <v>2299</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2294</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3397</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3380</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3381</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2308</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5.000000000000001E-3</v>
      </c>
      <c r="C43" s="2453"/>
      <c r="D43" s="3171" t="s">
        <v>3460</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0.05</v>
      </c>
      <c r="C44" s="2564" t="s">
        <v>3382</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2295</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2296</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2303</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2295</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2297</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c r="C53" s="2440" t="s">
        <v>1246</v>
      </c>
      <c r="D53" s="2565" t="s">
        <v>2301</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317" t="s">
        <v>2284</v>
      </c>
      <c r="B1" s="3318"/>
      <c r="C1" s="3318"/>
      <c r="D1" s="3318"/>
      <c r="E1" s="3318"/>
      <c r="F1" s="3318"/>
      <c r="G1" s="331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2279</v>
      </c>
      <c r="D2" s="1595"/>
      <c r="E2" s="2260"/>
      <c r="F2" s="2263"/>
      <c r="G2" s="2262" t="s">
        <v>2280</v>
      </c>
      <c r="H2" s="751"/>
      <c r="I2" s="751"/>
      <c r="J2" s="751"/>
      <c r="K2" s="751"/>
      <c r="L2" s="751"/>
      <c r="M2" s="751"/>
      <c r="N2" s="751"/>
      <c r="O2" s="751"/>
      <c r="P2" s="751"/>
      <c r="Q2" s="751"/>
    </row>
    <row r="3" spans="1:29" ht="52">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9">
      <c r="A4" s="2248"/>
      <c r="B4" s="315" t="s">
        <v>2252</v>
      </c>
      <c r="C4" s="2269" t="s">
        <v>2253</v>
      </c>
      <c r="D4" s="2266"/>
      <c r="E4" s="2270"/>
      <c r="F4" s="1281" t="s">
        <v>2254</v>
      </c>
      <c r="G4" s="2271" t="s">
        <v>2255</v>
      </c>
      <c r="H4" s="751"/>
      <c r="I4" s="751"/>
      <c r="J4" s="751"/>
      <c r="K4" s="751"/>
      <c r="L4" s="751"/>
      <c r="M4" s="751"/>
      <c r="N4" s="751"/>
      <c r="O4" s="751"/>
      <c r="P4" s="751"/>
      <c r="Q4" s="751"/>
    </row>
    <row r="5" spans="1:29" ht="39">
      <c r="A5" s="2248"/>
      <c r="B5" s="315" t="s">
        <v>2256</v>
      </c>
      <c r="C5" s="2269" t="s">
        <v>2257</v>
      </c>
      <c r="D5" s="2266"/>
      <c r="E5" s="2270"/>
      <c r="F5" s="315" t="s">
        <v>2258</v>
      </c>
      <c r="G5" s="2271" t="s">
        <v>2259</v>
      </c>
      <c r="H5" s="751"/>
      <c r="I5" s="751"/>
      <c r="J5" s="751"/>
      <c r="K5" s="751"/>
      <c r="L5" s="751"/>
      <c r="M5" s="751"/>
      <c r="N5" s="751"/>
      <c r="O5" s="751"/>
      <c r="P5" s="751"/>
      <c r="Q5" s="751"/>
    </row>
    <row r="6" spans="1:29" ht="39">
      <c r="A6" s="2248"/>
      <c r="B6" s="315" t="s">
        <v>2260</v>
      </c>
      <c r="C6" s="2271" t="s">
        <v>2255</v>
      </c>
      <c r="D6" s="2266"/>
      <c r="E6" s="2270"/>
      <c r="F6" s="315" t="s">
        <v>2261</v>
      </c>
      <c r="G6" s="2271" t="s">
        <v>2262</v>
      </c>
      <c r="H6" s="751"/>
      <c r="I6" s="751"/>
      <c r="J6" s="751"/>
      <c r="K6" s="751"/>
      <c r="L6" s="751"/>
      <c r="M6" s="751"/>
      <c r="N6" s="751"/>
      <c r="O6" s="751"/>
      <c r="P6" s="751"/>
      <c r="Q6" s="751"/>
    </row>
    <row r="7" spans="1:29" ht="39.5" thickBot="1">
      <c r="A7" s="2248"/>
      <c r="B7" s="315" t="s">
        <v>2258</v>
      </c>
      <c r="C7" s="2271" t="s">
        <v>2259</v>
      </c>
      <c r="D7" s="2245"/>
      <c r="E7" s="2272"/>
      <c r="F7" s="2273" t="s">
        <v>2263</v>
      </c>
      <c r="G7" s="2274" t="s">
        <v>2264</v>
      </c>
      <c r="H7" s="751"/>
      <c r="I7" s="751"/>
      <c r="J7" s="751"/>
      <c r="K7" s="751"/>
      <c r="L7" s="751"/>
      <c r="M7" s="751"/>
      <c r="N7" s="751"/>
      <c r="O7" s="751"/>
      <c r="P7" s="751"/>
      <c r="Q7" s="751"/>
    </row>
    <row r="8" spans="1:29" ht="26">
      <c r="A8" s="2248"/>
      <c r="B8" s="315" t="s">
        <v>2261</v>
      </c>
      <c r="C8" s="2271" t="s">
        <v>2262</v>
      </c>
      <c r="D8" s="2245"/>
      <c r="E8" s="2245"/>
      <c r="F8" s="121"/>
      <c r="G8" s="121"/>
      <c r="H8" s="751"/>
      <c r="I8" s="751"/>
      <c r="J8" s="751"/>
      <c r="K8" s="751"/>
      <c r="L8" s="751"/>
      <c r="M8" s="751"/>
      <c r="N8" s="751"/>
      <c r="O8" s="751"/>
      <c r="P8" s="751"/>
      <c r="Q8" s="751"/>
    </row>
    <row r="9" spans="1:29" ht="26">
      <c r="A9" s="2248"/>
      <c r="B9" s="315" t="s">
        <v>2265</v>
      </c>
      <c r="C9" s="2269" t="s">
        <v>2266</v>
      </c>
      <c r="D9" s="2266"/>
      <c r="E9" s="2245"/>
      <c r="F9" s="121"/>
      <c r="G9" s="121"/>
      <c r="H9" s="751"/>
      <c r="I9" s="751"/>
      <c r="J9" s="751"/>
      <c r="K9" s="751"/>
      <c r="L9" s="751"/>
      <c r="M9" s="751"/>
      <c r="N9" s="751"/>
      <c r="O9" s="751"/>
      <c r="P9" s="751"/>
      <c r="Q9" s="751"/>
    </row>
    <row r="10" spans="1:29" ht="14.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2285</v>
      </c>
      <c r="B13" s="2280"/>
      <c r="C13" s="2280"/>
      <c r="D13" s="2279"/>
      <c r="E13" s="2280"/>
      <c r="F13" s="2280"/>
      <c r="G13" s="2280"/>
    </row>
    <row r="14" spans="1:29" ht="14.5" thickBot="1">
      <c r="A14" s="2285"/>
      <c r="B14" s="2285"/>
      <c r="C14" s="2286" t="s">
        <v>2268</v>
      </c>
      <c r="D14" s="2266"/>
      <c r="E14" s="2287"/>
      <c r="F14" s="2287"/>
      <c r="G14" s="2262" t="s">
        <v>2269</v>
      </c>
    </row>
    <row r="15" spans="1:29" ht="50">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7.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7.5">
      <c r="A17" s="2252"/>
      <c r="B17" s="2291" t="s">
        <v>2256</v>
      </c>
      <c r="C17" s="2292" t="str">
        <f>C5</f>
        <v>估价对象位于XX商圈，周边办公楼项目较多，入驻率高，办公集聚程度较好</v>
      </c>
      <c r="D17" s="2245"/>
      <c r="E17" s="2253"/>
      <c r="F17" s="2293" t="s">
        <v>2273</v>
      </c>
      <c r="G17" s="2295"/>
    </row>
    <row r="18" spans="1:17" ht="37.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
      <c r="A19" s="2252"/>
      <c r="B19" s="2293" t="s">
        <v>2274</v>
      </c>
      <c r="C19" s="2295"/>
      <c r="D19" s="2266"/>
      <c r="E19" s="2253"/>
      <c r="F19" s="315" t="s">
        <v>2258</v>
      </c>
      <c r="G19" s="2294" t="str">
        <f>G5</f>
        <v>估价对象所在区域公共配套设施齐备情况</v>
      </c>
    </row>
    <row r="20" spans="1:17" ht="25">
      <c r="A20" s="2252"/>
      <c r="B20" s="2293" t="s">
        <v>2275</v>
      </c>
      <c r="C20" s="2292" t="str">
        <f>C9</f>
        <v>区域自然环境：；人文环境；综合评价环境状况一般</v>
      </c>
      <c r="D20" s="2245"/>
      <c r="E20" s="2253"/>
      <c r="F20" s="315" t="s">
        <v>2261</v>
      </c>
      <c r="G20" s="2294" t="str">
        <f>G6</f>
        <v>估价对象所在区域基础设施水平</v>
      </c>
    </row>
    <row r="21" spans="1:17" ht="2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4.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4.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8" sqref="F8"/>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525.41000000000008</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46026</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SUM(D14:D23)</f>
        <v>0</v>
      </c>
      <c r="C5" s="2300">
        <f ca="1">IF(B5=D14,结果表!H102,ROUND(B5*10000/$B$1,0))</f>
        <v>0</v>
      </c>
      <c r="D5" s="2300" t="e">
        <f>ROUND(B5*10000/$B$2,0)</f>
        <v>#DIV/0!</v>
      </c>
      <c r="E5" s="2461"/>
      <c r="F5" s="2462"/>
      <c r="G5" s="2462"/>
      <c r="H5" s="2462"/>
      <c r="I5" s="2462"/>
      <c r="J5" s="2462"/>
      <c r="K5" s="2462"/>
    </row>
    <row r="6" spans="1:11" ht="16.5">
      <c r="A6" s="2300" t="s">
        <v>656</v>
      </c>
      <c r="B6" s="2300">
        <f>SUM(G14:G23)</f>
        <v>0</v>
      </c>
      <c r="C6" s="2300">
        <f ca="1">IF(B6=G14,结果表!H108,ROUND(B6*10000/$B$1,0))</f>
        <v>0</v>
      </c>
      <c r="D6" s="2300" t="e">
        <f>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2438</v>
      </c>
      <c r="C10" s="2300" t="s">
        <v>3352</v>
      </c>
      <c r="D10" s="2300" t="s">
        <v>3353</v>
      </c>
      <c r="E10" s="3136">
        <f>'比较法-商业租金'!C49</f>
        <v>8.9</v>
      </c>
      <c r="F10" s="3140" t="s">
        <v>3354</v>
      </c>
      <c r="G10" s="3137">
        <v>7.0000000000000007E-2</v>
      </c>
      <c r="H10" s="2462"/>
      <c r="I10" s="2462"/>
      <c r="J10" s="2462"/>
      <c r="K10" s="2462"/>
    </row>
    <row r="11" spans="1:11" ht="16.5">
      <c r="A11" s="2300" t="s">
        <v>670</v>
      </c>
      <c r="B11" s="1244"/>
      <c r="C11" s="2461"/>
      <c r="D11" s="2461" t="s">
        <v>3652</v>
      </c>
      <c r="E11" s="2461">
        <f>'比较法-商业租金'!C51</f>
        <v>8.01</v>
      </c>
      <c r="F11" s="2461" t="s">
        <v>3651</v>
      </c>
      <c r="G11" s="2461">
        <f>'比较法-商业租金'!E51</f>
        <v>9.7899999999999991</v>
      </c>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'比较法-商业租金'!C33</f>
        <v>525.41000000000008</v>
      </c>
      <c r="C14" s="2306"/>
      <c r="D14" s="2306"/>
      <c r="E14" s="2306">
        <f>ROUND(D14*10000/B14,0)</f>
        <v>0</v>
      </c>
      <c r="F14" s="2306" t="e">
        <f>ROUND(D14*10000/C14,0)</f>
        <v>#DIV/0!</v>
      </c>
      <c r="G14" s="2306"/>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53" t="str">
        <f>项目基本情况!S2</f>
        <v>北京市朝阳区朝阳路69号1号楼1-3（1-1）号等4套房地产</v>
      </c>
      <c r="B2" s="3354"/>
      <c r="C2" s="3354"/>
      <c r="D2" s="3354"/>
      <c r="E2" s="3354"/>
      <c r="F2" s="3354"/>
      <c r="G2" s="3354"/>
      <c r="H2" s="3354"/>
      <c r="I2" s="3355"/>
    </row>
    <row r="3" spans="1:12" ht="13">
      <c r="A3" s="3357" t="s">
        <v>1264</v>
      </c>
      <c r="B3" s="3358"/>
      <c r="C3" s="3358"/>
      <c r="D3" s="3358"/>
      <c r="E3" s="3358"/>
      <c r="F3" s="3358"/>
      <c r="G3" s="3358"/>
      <c r="H3" s="3358"/>
      <c r="I3" s="3358"/>
    </row>
    <row r="4" spans="1:12" ht="14">
      <c r="A4" s="1624" t="s">
        <v>1265</v>
      </c>
      <c r="B4" s="1625" t="s">
        <v>1266</v>
      </c>
      <c r="C4" s="1626"/>
      <c r="D4" s="1626"/>
      <c r="E4" s="3359" t="s">
        <v>1267</v>
      </c>
      <c r="F4" s="3360"/>
      <c r="G4" s="3360"/>
      <c r="H4" s="3360"/>
      <c r="I4" s="336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333" t="s">
        <v>1268</v>
      </c>
      <c r="B5" s="3320">
        <v>25</v>
      </c>
      <c r="C5" s="3336"/>
      <c r="D5" s="3356"/>
      <c r="E5" s="123" t="s">
        <v>1269</v>
      </c>
      <c r="F5" s="1627"/>
      <c r="G5" s="1627"/>
      <c r="H5" s="1627"/>
      <c r="I5" s="1281"/>
    </row>
    <row r="6" spans="1:12" ht="13">
      <c r="A6" s="3333"/>
      <c r="B6" s="3320"/>
      <c r="C6" s="3337"/>
      <c r="D6" s="3356"/>
      <c r="E6" s="123" t="s">
        <v>1270</v>
      </c>
      <c r="F6" s="1627"/>
      <c r="G6" s="1627"/>
      <c r="H6" s="1627"/>
      <c r="I6" s="1281"/>
    </row>
    <row r="7" spans="1:12" ht="13">
      <c r="A7" s="3333"/>
      <c r="B7" s="3320"/>
      <c r="C7" s="3338"/>
      <c r="D7" s="3356"/>
      <c r="E7" s="123" t="s">
        <v>1271</v>
      </c>
      <c r="F7" s="1627"/>
      <c r="G7" s="1627"/>
      <c r="H7" s="1627"/>
      <c r="I7" s="1281"/>
    </row>
    <row r="8" spans="1:12" ht="13">
      <c r="A8" s="3333" t="s">
        <v>1272</v>
      </c>
      <c r="B8" s="3320">
        <v>15</v>
      </c>
      <c r="C8" s="3336"/>
      <c r="D8" s="3356"/>
      <c r="E8" s="123" t="s">
        <v>1273</v>
      </c>
      <c r="F8" s="1627"/>
      <c r="G8" s="1627"/>
      <c r="H8" s="1627"/>
      <c r="I8" s="1281"/>
    </row>
    <row r="9" spans="1:12" ht="13">
      <c r="A9" s="3333"/>
      <c r="B9" s="3320"/>
      <c r="C9" s="3338"/>
      <c r="D9" s="3356"/>
      <c r="E9" s="123" t="s">
        <v>1274</v>
      </c>
      <c r="F9" s="1627"/>
      <c r="G9" s="1627"/>
      <c r="H9" s="1627"/>
      <c r="I9" s="1281"/>
    </row>
    <row r="10" spans="1:12" ht="13">
      <c r="A10" s="3333" t="s">
        <v>1275</v>
      </c>
      <c r="B10" s="3320">
        <v>15</v>
      </c>
      <c r="C10" s="3336"/>
      <c r="D10" s="3356"/>
      <c r="E10" s="123" t="s">
        <v>1276</v>
      </c>
      <c r="F10" s="1627"/>
      <c r="G10" s="1627"/>
      <c r="H10" s="1627"/>
      <c r="I10" s="1281"/>
    </row>
    <row r="11" spans="1:12" ht="13">
      <c r="A11" s="3333"/>
      <c r="B11" s="3320"/>
      <c r="C11" s="3338"/>
      <c r="D11" s="3356"/>
      <c r="E11" s="123" t="s">
        <v>1277</v>
      </c>
      <c r="F11" s="1627"/>
      <c r="G11" s="1627"/>
      <c r="H11" s="1627"/>
      <c r="I11" s="1281"/>
    </row>
    <row r="12" spans="1:12" ht="13">
      <c r="A12" s="3333" t="s">
        <v>1278</v>
      </c>
      <c r="B12" s="3320">
        <v>15</v>
      </c>
      <c r="C12" s="3336"/>
      <c r="D12" s="3356"/>
      <c r="E12" s="123" t="s">
        <v>1279</v>
      </c>
      <c r="F12" s="1627"/>
      <c r="G12" s="1627"/>
      <c r="H12" s="1627"/>
      <c r="I12" s="1281"/>
    </row>
    <row r="13" spans="1:12" ht="13">
      <c r="A13" s="3333"/>
      <c r="B13" s="3320"/>
      <c r="C13" s="3338"/>
      <c r="D13" s="3356"/>
      <c r="E13" s="123" t="s">
        <v>1280</v>
      </c>
      <c r="F13" s="1627"/>
      <c r="G13" s="1627"/>
      <c r="H13" s="1627"/>
      <c r="I13" s="1281"/>
    </row>
    <row r="14" spans="1:12" ht="13">
      <c r="A14" s="3333" t="s">
        <v>1281</v>
      </c>
      <c r="B14" s="3320">
        <v>30</v>
      </c>
      <c r="C14" s="3336"/>
      <c r="D14" s="3356"/>
      <c r="E14" s="123" t="s">
        <v>1282</v>
      </c>
      <c r="F14" s="1627"/>
      <c r="G14" s="1627"/>
      <c r="H14" s="1627"/>
      <c r="I14" s="1281"/>
    </row>
    <row r="15" spans="1:12" ht="13">
      <c r="A15" s="3333"/>
      <c r="B15" s="3320"/>
      <c r="C15" s="3337"/>
      <c r="D15" s="3356"/>
      <c r="E15" s="123" t="s">
        <v>1283</v>
      </c>
      <c r="F15" s="1627"/>
      <c r="G15" s="1627"/>
      <c r="H15" s="1627"/>
      <c r="I15" s="1281"/>
    </row>
    <row r="16" spans="1:12" ht="13">
      <c r="A16" s="3333"/>
      <c r="B16" s="3320"/>
      <c r="C16" s="3338"/>
      <c r="D16" s="3356"/>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43" t="s">
        <v>2129</v>
      </c>
      <c r="F18" s="3344"/>
      <c r="G18" s="3344"/>
      <c r="H18" s="3344"/>
      <c r="I18" s="3344"/>
      <c r="K18" s="294" t="s">
        <v>1289</v>
      </c>
      <c r="L18" s="294">
        <f>IF(C1="",'数据-汇总表'!E3,SUMIF(项目类型,C1,'数据-汇总表'!E17:E26)+SUMIF(项目类型,C1,'数据-汇总表'!I17:I26))</f>
        <v>525.41000000000008</v>
      </c>
      <c r="M18" s="294">
        <f>IF(C1="",'数据-汇总表'!E3,SUMIF(项目类型,C1,'数据-汇总表'!E17:E26))</f>
        <v>525.41000000000008</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327" t="s">
        <v>1299</v>
      </c>
      <c r="B24" s="1631" t="s">
        <v>1291</v>
      </c>
      <c r="C24" s="128">
        <f>IF(B30=0,0,D30)</f>
        <v>0</v>
      </c>
      <c r="D24" s="1637"/>
      <c r="E24" s="121"/>
      <c r="F24" s="121"/>
      <c r="G24" s="121"/>
      <c r="H24" s="121"/>
      <c r="I24" s="121"/>
    </row>
    <row r="25" spans="1:36" ht="14">
      <c r="A25" s="332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2130</v>
      </c>
      <c r="F30" s="121"/>
      <c r="G30" s="121"/>
      <c r="H30" s="121"/>
      <c r="I30" s="121"/>
    </row>
    <row r="31" spans="1:36" s="2133" customFormat="1" ht="26.5" customHeight="1" thickTop="1" thickBot="1">
      <c r="A31" s="2128"/>
      <c r="B31" s="2129"/>
      <c r="C31" s="2129"/>
      <c r="D31" s="2129"/>
      <c r="E31" s="2129"/>
      <c r="F31" s="2129"/>
      <c r="G31" s="2129"/>
      <c r="H31" s="2129"/>
      <c r="I31" s="2130" t="s">
        <v>2131</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347" t="s">
        <v>1312</v>
      </c>
      <c r="B36" s="1652" t="s">
        <v>1313</v>
      </c>
      <c r="C36" s="137"/>
      <c r="D36" s="1653"/>
      <c r="E36" s="1567"/>
      <c r="F36" s="1654"/>
      <c r="G36" s="121"/>
      <c r="H36" s="121"/>
      <c r="I36" s="121"/>
    </row>
    <row r="37" spans="1:15" ht="14.5" thickBot="1">
      <c r="A37" s="3348"/>
      <c r="B37" s="1555" t="s">
        <v>1314</v>
      </c>
      <c r="C37" s="139"/>
      <c r="D37" s="1071"/>
      <c r="E37" s="1071"/>
      <c r="F37" s="1654"/>
      <c r="G37" s="121"/>
      <c r="H37" s="121"/>
      <c r="I37" s="121"/>
    </row>
    <row r="38" spans="1:15" ht="14.5" thickBot="1">
      <c r="A38" s="3349"/>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24" t="s">
        <v>1326</v>
      </c>
      <c r="B45" s="3325"/>
      <c r="C45" s="3326"/>
      <c r="D45" s="147" t="e">
        <f ca="1">ROUND(H101*F45,0)</f>
        <v>#REF!</v>
      </c>
      <c r="E45" s="148" t="s">
        <v>1327</v>
      </c>
      <c r="F45" s="149">
        <v>1</v>
      </c>
      <c r="G45" s="150" t="s">
        <v>1328</v>
      </c>
      <c r="H45" s="121"/>
      <c r="I45" s="121"/>
      <c r="J45" s="3402" t="s">
        <v>1329</v>
      </c>
      <c r="K45" s="3402"/>
      <c r="L45" s="3402"/>
      <c r="M45" s="3402"/>
      <c r="N45" s="3402"/>
      <c r="O45" s="3402"/>
    </row>
    <row r="46" spans="1:15" ht="14.25" customHeight="1">
      <c r="A46" s="3321" t="s">
        <v>1330</v>
      </c>
      <c r="B46" s="3322"/>
      <c r="C46" s="3322"/>
      <c r="D46" s="3322"/>
      <c r="E46" s="3322"/>
      <c r="F46" s="3322"/>
      <c r="G46" s="3323"/>
      <c r="H46" s="1668"/>
      <c r="I46" s="151"/>
      <c r="J46" s="2310">
        <v>1</v>
      </c>
      <c r="K46" s="3383" t="s">
        <v>1331</v>
      </c>
      <c r="L46" s="3383"/>
      <c r="M46" s="3403"/>
      <c r="N46" s="3403"/>
      <c r="O46" s="3403"/>
    </row>
    <row r="47" spans="1:15" ht="12" customHeight="1">
      <c r="A47" s="152" t="s">
        <v>1332</v>
      </c>
      <c r="B47" s="153"/>
      <c r="C47" s="154"/>
      <c r="D47" s="1024" t="s">
        <v>1333</v>
      </c>
      <c r="E47" s="294" t="s">
        <v>1334</v>
      </c>
      <c r="F47" s="155" t="s">
        <v>1335</v>
      </c>
      <c r="G47" s="2333" t="s">
        <v>1336</v>
      </c>
      <c r="H47" s="2334"/>
      <c r="I47" s="151"/>
      <c r="J47" s="2310">
        <v>2</v>
      </c>
      <c r="K47" s="3383" t="s">
        <v>1337</v>
      </c>
      <c r="L47" s="3383"/>
      <c r="M47" s="3404">
        <f>'数据-取费表'!B2</f>
        <v>46026</v>
      </c>
      <c r="N47" s="3404"/>
      <c r="O47" s="3404"/>
    </row>
    <row r="48" spans="1:15" ht="26">
      <c r="A48" s="3352" t="s">
        <v>1338</v>
      </c>
      <c r="B48" s="3335"/>
      <c r="C48" s="3335"/>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83" t="s">
        <v>1340</v>
      </c>
      <c r="L48" s="3383"/>
      <c r="M48" s="3405" t="e">
        <f ca="1">H101</f>
        <v>#REF!</v>
      </c>
      <c r="N48" s="3405"/>
      <c r="O48" s="3405"/>
    </row>
    <row r="49" spans="1:35" ht="25.5" customHeight="1">
      <c r="A49" s="2152" t="s">
        <v>1341</v>
      </c>
      <c r="B49" s="3319" t="s">
        <v>1342</v>
      </c>
      <c r="C49" s="3319"/>
      <c r="D49" s="1478">
        <v>0</v>
      </c>
      <c r="E49" s="316" t="s">
        <v>1343</v>
      </c>
      <c r="F49" s="2233" t="s">
        <v>28</v>
      </c>
      <c r="G49" s="3389"/>
      <c r="H49" s="2134" t="s">
        <v>2132</v>
      </c>
      <c r="I49" s="2135"/>
      <c r="J49" s="2310">
        <v>4</v>
      </c>
      <c r="K49" s="3383" t="str">
        <f>IF(项目基本情况!E8="房地产抵押价值","房地产抵押价值","抵押担保权已注销时的房地产抵押价值")</f>
        <v>抵押担保权已注销时的房地产抵押价值</v>
      </c>
      <c r="L49" s="3383"/>
      <c r="M49" s="3405" t="str">
        <f>IF(项目基本情况!E8="房地产抵押价值",H107,H109)</f>
        <v>——</v>
      </c>
      <c r="N49" s="3405"/>
      <c r="O49" s="3405"/>
    </row>
    <row r="50" spans="1:35" ht="25.5" customHeight="1">
      <c r="A50" s="2338"/>
      <c r="B50" s="3319" t="s">
        <v>1344</v>
      </c>
      <c r="C50" s="3319"/>
      <c r="D50" s="2189"/>
      <c r="E50" s="323"/>
      <c r="F50" s="2233"/>
      <c r="G50" s="3390"/>
      <c r="H50" s="2136" t="s">
        <v>2133</v>
      </c>
      <c r="I50" s="2135"/>
      <c r="J50" s="3402" t="s">
        <v>1345</v>
      </c>
      <c r="K50" s="3402"/>
      <c r="L50" s="3402"/>
      <c r="M50" s="3402"/>
      <c r="N50" s="3402"/>
      <c r="O50" s="3402"/>
    </row>
    <row r="51" spans="1:35" ht="20.5" customHeight="1">
      <c r="A51" s="2339"/>
      <c r="B51" s="3319" t="s">
        <v>1346</v>
      </c>
      <c r="C51" s="3319"/>
      <c r="D51" s="1024"/>
      <c r="E51" s="319"/>
      <c r="F51" s="2233"/>
      <c r="G51" s="3391"/>
      <c r="H51" s="2136" t="s">
        <v>2134</v>
      </c>
      <c r="I51" s="2135"/>
      <c r="J51" s="2311" t="s">
        <v>1347</v>
      </c>
      <c r="K51" s="3383" t="s">
        <v>1348</v>
      </c>
      <c r="L51" s="3383"/>
      <c r="M51" s="2311" t="s">
        <v>1349</v>
      </c>
      <c r="N51" s="2311" t="s">
        <v>1350</v>
      </c>
      <c r="O51" s="2311" t="s">
        <v>1351</v>
      </c>
    </row>
    <row r="52" spans="1:35" ht="24" customHeight="1">
      <c r="A52" s="2153" t="s">
        <v>1352</v>
      </c>
      <c r="B52" s="3319" t="s">
        <v>1353</v>
      </c>
      <c r="C52" s="3319"/>
      <c r="D52" s="1024" t="e">
        <f ca="1">ROUND(D45*'数据-取费表'!B41/(1+'数据-取费表'!C42),0)</f>
        <v>#REF!</v>
      </c>
      <c r="E52" s="1256" t="s">
        <v>1354</v>
      </c>
      <c r="F52" s="2340">
        <f>'数据-取费表'!B41</f>
        <v>5.5000000000000007E-2</v>
      </c>
      <c r="G52" s="2341"/>
      <c r="H52" s="2331"/>
      <c r="I52" s="1669"/>
      <c r="J52" s="2310">
        <v>1</v>
      </c>
      <c r="K52" s="3384" t="s">
        <v>1355</v>
      </c>
      <c r="L52" s="3384"/>
      <c r="M52" s="2312" t="b">
        <f>D48</f>
        <v>0</v>
      </c>
      <c r="N52" s="2310" t="str">
        <f>E48</f>
        <v>销售额×税（费）率</v>
      </c>
      <c r="O52" s="2313">
        <f>F48</f>
        <v>5.5000000000000007E-2</v>
      </c>
    </row>
    <row r="53" spans="1:35" ht="12" customHeight="1">
      <c r="A53" s="2153" t="s">
        <v>1356</v>
      </c>
      <c r="B53" s="3345" t="s">
        <v>2289</v>
      </c>
      <c r="C53" s="3346"/>
      <c r="D53" s="1024" t="e">
        <f ca="1">ROUND(D45*'数据-取费表'!B41/(1+'数据-取费表'!C42),0)</f>
        <v>#REF!</v>
      </c>
      <c r="E53" s="1256" t="s">
        <v>1354</v>
      </c>
      <c r="F53" s="2340">
        <f>'数据-取费表'!B41</f>
        <v>5.5000000000000007E-2</v>
      </c>
      <c r="G53" s="2341"/>
      <c r="H53" s="2331"/>
      <c r="I53" s="1669"/>
      <c r="J53" s="2310">
        <v>2</v>
      </c>
      <c r="K53" s="3384" t="s">
        <v>1357</v>
      </c>
      <c r="L53" s="3384"/>
      <c r="M53" s="2312" t="e">
        <f t="shared" ref="M53:O54" ca="1" si="0">D55</f>
        <v>#REF!</v>
      </c>
      <c r="N53" s="2310" t="str">
        <f t="shared" si="0"/>
        <v>销售额×税（费）率</v>
      </c>
      <c r="O53" s="2313" t="str">
        <f t="shared" si="0"/>
        <v>免征</v>
      </c>
    </row>
    <row r="54" spans="1:35" ht="12" customHeight="1">
      <c r="A54" s="2153" t="s">
        <v>1358</v>
      </c>
      <c r="B54" s="3345" t="s">
        <v>2290</v>
      </c>
      <c r="C54" s="3346"/>
      <c r="D54" s="1024" t="e">
        <f ca="1">C68</f>
        <v>#REF!</v>
      </c>
      <c r="E54" s="319" t="s">
        <v>1359</v>
      </c>
      <c r="F54" s="2340">
        <f>'数据-取费表'!B41</f>
        <v>5.5000000000000007E-2</v>
      </c>
      <c r="G54" s="2341"/>
      <c r="H54" s="2342"/>
      <c r="I54" s="1669"/>
      <c r="J54" s="2310">
        <v>3</v>
      </c>
      <c r="K54" s="3384" t="s">
        <v>1360</v>
      </c>
      <c r="L54" s="3384"/>
      <c r="M54" s="2312" t="e">
        <f t="shared" ca="1" si="0"/>
        <v>#REF!</v>
      </c>
      <c r="N54" s="2310" t="str">
        <f t="shared" si="0"/>
        <v>增值额×税（费）率</v>
      </c>
      <c r="O54" s="2314" t="str">
        <f t="shared" si="0"/>
        <v>免征</v>
      </c>
    </row>
    <row r="55" spans="1:35" ht="24" customHeight="1">
      <c r="A55" s="3334" t="s">
        <v>1361</v>
      </c>
      <c r="B55" s="3335"/>
      <c r="C55" s="3335"/>
      <c r="D55" s="12" t="e">
        <f ca="1">IF(H55="个人住宅",0,ROUND(D45*I55,0))</f>
        <v>#REF!</v>
      </c>
      <c r="E55" s="1256" t="s">
        <v>1362</v>
      </c>
      <c r="F55" s="2340" t="str">
        <f>IF(H55="正常",I55,"免征")</f>
        <v>免征</v>
      </c>
      <c r="G55" s="2341"/>
      <c r="H55" s="2337"/>
      <c r="I55" s="157">
        <f>'数据-取费表'!B49</f>
        <v>5.0000000000000001E-4</v>
      </c>
      <c r="J55" s="2310">
        <f>IF(H59="非个人房产","",4)</f>
        <v>4</v>
      </c>
      <c r="K55" s="3384" t="str">
        <f>IF(H59="非个人房产","——","个人所得税")</f>
        <v>个人所得税</v>
      </c>
      <c r="L55" s="3384"/>
      <c r="M55" s="2315" t="e">
        <f ca="1">D59</f>
        <v>#REF!</v>
      </c>
      <c r="N55" s="1883" t="str">
        <f>E59</f>
        <v>差额计税</v>
      </c>
      <c r="O55" s="2316">
        <f>F59</f>
        <v>0.01</v>
      </c>
    </row>
    <row r="56" spans="1:35" ht="26">
      <c r="A56" s="3334" t="s">
        <v>1363</v>
      </c>
      <c r="B56" s="3335"/>
      <c r="C56" s="3335"/>
      <c r="D56" s="12" t="e">
        <f ca="1">IF(H56="个人住宅",D57,D58)</f>
        <v>#REF!</v>
      </c>
      <c r="E56" s="1256" t="s">
        <v>1364</v>
      </c>
      <c r="F56" s="2340" t="str">
        <f>IF(H56="正常",F58,"免征")</f>
        <v>免征</v>
      </c>
      <c r="G56" s="2343" t="s">
        <v>1365</v>
      </c>
      <c r="H56" s="2344"/>
      <c r="I56" s="1670"/>
      <c r="J56" s="2310" t="str">
        <f>IF(项目基本情况!K6="上海银行",IF(J55="",4,J55+1),"")</f>
        <v/>
      </c>
      <c r="K56" s="3407" t="str">
        <f>IF(项目基本情况!K6="上海银行","其他处置费用","")</f>
        <v/>
      </c>
      <c r="L56" s="3408"/>
      <c r="M56" s="2312" t="str">
        <f>IF(项目基本情况!K6="上海银行",M69,"")</f>
        <v/>
      </c>
      <c r="N56" s="3407" t="str">
        <f>IF(项目基本情况!K6="上海银行","包含处置中涉及的律师、诉讼、拍卖、评估等费用","")</f>
        <v/>
      </c>
      <c r="O56" s="3410"/>
    </row>
    <row r="57" spans="1:35" ht="13">
      <c r="A57" s="2153" t="s">
        <v>1341</v>
      </c>
      <c r="B57" s="3345" t="s">
        <v>1366</v>
      </c>
      <c r="C57" s="3346"/>
      <c r="D57" s="1478">
        <v>0</v>
      </c>
      <c r="E57" s="316" t="s">
        <v>1343</v>
      </c>
      <c r="F57" s="294"/>
      <c r="G57" s="2341"/>
      <c r="H57" s="2345"/>
      <c r="I57" s="1670"/>
      <c r="J57" s="3384">
        <f>IF(AND(J55="",J56=""),4,IF(项目基本情况!K6="上海银行",结果表!J56+1,结果表!J55+1))</f>
        <v>5</v>
      </c>
      <c r="K57" s="3384" t="s">
        <v>1367</v>
      </c>
      <c r="L57" s="2317" t="s">
        <v>1368</v>
      </c>
      <c r="M57" s="2318"/>
      <c r="N57" s="2319">
        <f ca="1">SUMIF(M52:M56,"&lt;9e307")</f>
        <v>0</v>
      </c>
      <c r="O57" s="2320"/>
      <c r="P57" s="2464" t="e">
        <f ca="1">N57/M49</f>
        <v>#VALUE!</v>
      </c>
    </row>
    <row r="58" spans="1:35" ht="26">
      <c r="A58" s="2153" t="s">
        <v>1352</v>
      </c>
      <c r="B58" s="3345" t="s">
        <v>1369</v>
      </c>
      <c r="C58" s="3319"/>
      <c r="D58" s="12" t="e">
        <f ca="1">IF(H58="转让取得",C81,C97)</f>
        <v>#REF!</v>
      </c>
      <c r="E58" s="1256" t="s">
        <v>1364</v>
      </c>
      <c r="F58" s="294" t="s">
        <v>28</v>
      </c>
      <c r="G58" s="2341"/>
      <c r="H58" s="2344"/>
      <c r="I58" s="1670"/>
      <c r="J58" s="3384"/>
      <c r="K58" s="3384"/>
      <c r="L58" s="2317" t="s">
        <v>1370</v>
      </c>
      <c r="M58" s="2321"/>
      <c r="N58" s="2322" t="str">
        <f ca="1">NUMBERSTRING(INT(N57*10000),2)&amp;"元整"</f>
        <v>零元整</v>
      </c>
      <c r="O58" s="2323"/>
    </row>
    <row r="59" spans="1:35" ht="26.5" thickBot="1">
      <c r="A59" s="3387" t="s">
        <v>1371</v>
      </c>
      <c r="B59" s="3388"/>
      <c r="C59" s="3388"/>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2135</v>
      </c>
      <c r="J59" s="3385">
        <f>J57+1</f>
        <v>6</v>
      </c>
      <c r="K59" s="3384" t="s">
        <v>1372</v>
      </c>
      <c r="L59" s="2310" t="s">
        <v>1368</v>
      </c>
      <c r="M59" s="2324"/>
      <c r="N59" s="2325" t="e">
        <f ca="1">M49-N57</f>
        <v>#VALUE!</v>
      </c>
      <c r="O59" s="2326"/>
    </row>
    <row r="60" spans="1:35" ht="12" customHeight="1">
      <c r="A60" s="1671"/>
      <c r="B60" s="646"/>
      <c r="C60" s="646"/>
      <c r="D60" s="646"/>
      <c r="E60" s="1466"/>
      <c r="F60" s="1670"/>
      <c r="G60" s="1670"/>
      <c r="H60" s="151"/>
      <c r="I60" s="121"/>
      <c r="J60" s="3386"/>
      <c r="K60" s="3384"/>
      <c r="L60" s="2317" t="s">
        <v>1370</v>
      </c>
      <c r="M60" s="2321"/>
      <c r="N60" s="2322" t="e">
        <f ca="1">NUMBERSTRING(INT(N59*10000),2)&amp;"元整"</f>
        <v>#VALUE!</v>
      </c>
      <c r="O60" s="2323"/>
    </row>
    <row r="61" spans="1:35" ht="13.5" thickBot="1">
      <c r="A61" s="3332" t="s">
        <v>1373</v>
      </c>
      <c r="B61" s="3332"/>
      <c r="C61" s="3332"/>
      <c r="D61" s="3332"/>
      <c r="E61" s="3332"/>
      <c r="F61" s="1670"/>
      <c r="G61" s="1670"/>
      <c r="H61" s="151"/>
      <c r="I61" s="121"/>
      <c r="J61" s="2310">
        <f>J59+1</f>
        <v>7</v>
      </c>
      <c r="K61" s="3384" t="s">
        <v>1374</v>
      </c>
      <c r="L61" s="3384"/>
      <c r="M61" s="2327"/>
      <c r="N61" s="2328" t="e">
        <f ca="1">ROUND(N59*10000/'数据-汇总表'!E3,0)</f>
        <v>#VALUE!</v>
      </c>
      <c r="O61" s="2329"/>
    </row>
    <row r="62" spans="1:35" ht="13">
      <c r="A62" s="3350" t="s">
        <v>1375</v>
      </c>
      <c r="B62" s="3351"/>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409"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0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09"/>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09"/>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0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409"/>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09"/>
      <c r="K69" s="1245" t="s">
        <v>1393</v>
      </c>
      <c r="L69" s="1245"/>
      <c r="M69" s="294" t="e">
        <f>ROUND(SUM(M63:M68),0)</f>
        <v>#VALUE!</v>
      </c>
      <c r="N69" s="2332" t="e">
        <f>M69/M49</f>
        <v>#VALUE!</v>
      </c>
      <c r="Z69" s="1623"/>
      <c r="AI69" s="1561"/>
    </row>
    <row r="70" spans="1:35" s="642" customFormat="1" ht="14.5" thickBot="1">
      <c r="A70" s="3371" t="s">
        <v>1394</v>
      </c>
      <c r="B70" s="3372"/>
      <c r="C70" s="3372"/>
      <c r="D70" s="3372"/>
      <c r="E70" s="3372"/>
      <c r="F70" s="3372"/>
      <c r="G70" s="3372"/>
      <c r="H70" s="337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50" t="s">
        <v>1375</v>
      </c>
      <c r="B71" s="335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45" t="s">
        <v>1402</v>
      </c>
      <c r="F76" s="3319"/>
      <c r="G76" s="3319"/>
      <c r="H76" s="337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329" t="s">
        <v>1406</v>
      </c>
      <c r="F78" s="3330"/>
      <c r="G78" s="3330"/>
      <c r="H78" s="333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71" t="s">
        <v>1410</v>
      </c>
      <c r="B83" s="3372"/>
      <c r="C83" s="3372"/>
      <c r="D83" s="3372"/>
      <c r="E83" s="3372"/>
      <c r="F83" s="3372"/>
      <c r="G83" s="3372"/>
      <c r="H83" s="337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50" t="s">
        <v>1375</v>
      </c>
      <c r="B84" s="335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411" t="s">
        <v>2127</v>
      </c>
      <c r="H90" s="3412"/>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9" t="s">
        <v>1419</v>
      </c>
      <c r="F91" s="3330"/>
      <c r="G91" s="333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9" t="s">
        <v>1422</v>
      </c>
      <c r="F92" s="3330"/>
      <c r="G92" s="3330"/>
      <c r="H92" s="3339"/>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329" t="s">
        <v>1406</v>
      </c>
      <c r="F93" s="3330"/>
      <c r="G93" s="3330"/>
      <c r="H93" s="333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13" t="s">
        <v>1428</v>
      </c>
      <c r="B100" s="3314"/>
      <c r="C100" s="3314"/>
      <c r="D100" s="3331"/>
      <c r="E100" s="3314" t="s">
        <v>1429</v>
      </c>
      <c r="F100" s="3314"/>
      <c r="G100" s="3314"/>
      <c r="H100" s="3331"/>
      <c r="I100" s="121"/>
    </row>
    <row r="101" spans="1:35" ht="18.75" customHeight="1">
      <c r="A101" s="3392" t="s">
        <v>1430</v>
      </c>
      <c r="B101" s="3393"/>
      <c r="C101" s="2371">
        <f>C4</f>
        <v>0</v>
      </c>
      <c r="D101" s="2372">
        <f>D4</f>
        <v>0</v>
      </c>
      <c r="E101" s="3406" t="s">
        <v>1431</v>
      </c>
      <c r="F101" s="3363"/>
      <c r="G101" s="1687" t="s">
        <v>1432</v>
      </c>
      <c r="H101" s="2381" t="e">
        <f ca="1">H118</f>
        <v>#REF!</v>
      </c>
      <c r="I101" s="121"/>
    </row>
    <row r="102" spans="1:35" ht="18.75" customHeight="1">
      <c r="A102" s="3365" t="s">
        <v>1433</v>
      </c>
      <c r="B102" s="2370" t="s">
        <v>1432</v>
      </c>
      <c r="C102" s="2371" t="e">
        <f ca="1">IF(D32="楼面单价",ROUND(C19,0),C19)</f>
        <v>#REF!</v>
      </c>
      <c r="D102" s="2372" t="e">
        <f ca="1">IF(D32="楼面单价",ROUND(D19,0),D19)</f>
        <v>#REF!</v>
      </c>
      <c r="E102" s="3406"/>
      <c r="F102" s="3363"/>
      <c r="G102" s="1687" t="s">
        <v>1434</v>
      </c>
      <c r="H102" s="2341" t="e">
        <f ca="1">I118</f>
        <v>#REF!</v>
      </c>
      <c r="I102" s="121"/>
    </row>
    <row r="103" spans="1:35" ht="42.75" customHeight="1">
      <c r="A103" s="3365"/>
      <c r="B103" s="2370" t="s">
        <v>1434</v>
      </c>
      <c r="C103" s="2373" t="e">
        <f ca="1">C20</f>
        <v>#REF!</v>
      </c>
      <c r="D103" s="2374" t="e">
        <f ca="1">D20</f>
        <v>#REF!</v>
      </c>
      <c r="E103" s="3400" t="s">
        <v>1435</v>
      </c>
      <c r="F103" s="3401"/>
      <c r="G103" s="1688" t="s">
        <v>1436</v>
      </c>
      <c r="H103" s="2381">
        <f>IF(D36="正常操作",H104+H105+H106,H105+H106)</f>
        <v>0</v>
      </c>
      <c r="I103" s="121"/>
    </row>
    <row r="104" spans="1:35" ht="18.75" customHeight="1">
      <c r="A104" s="3365"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6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62" t="str">
        <f>IF(项目基本情况!E8="已注销","——","3.房地产抵押价值")</f>
        <v>3.房地产抵押价值</v>
      </c>
      <c r="F107" s="3363"/>
      <c r="G107" s="1687" t="s">
        <v>1432</v>
      </c>
      <c r="H107" s="2381" t="e">
        <f ca="1">IF(E107="——","——",H101-H103)</f>
        <v>#REF!</v>
      </c>
      <c r="I107" s="121"/>
    </row>
    <row r="108" spans="1:35" ht="18.75" customHeight="1">
      <c r="A108" s="121"/>
      <c r="B108" s="121"/>
      <c r="C108" s="121"/>
      <c r="D108" s="121"/>
      <c r="E108" s="3362"/>
      <c r="F108" s="3363"/>
      <c r="G108" s="1687" t="s">
        <v>1434</v>
      </c>
      <c r="H108" s="2341">
        <f ca="1">IF(H107=H101,H102,ROUND(H107*10000/'数据-汇总表'!E3,0))</f>
        <v>0</v>
      </c>
      <c r="I108" s="121"/>
    </row>
    <row r="109" spans="1:35" ht="18.75" customHeight="1">
      <c r="A109" s="121"/>
      <c r="B109" s="121"/>
      <c r="C109" s="121"/>
      <c r="D109" s="121"/>
      <c r="E109" s="3362" t="str">
        <f>IF(项目基本情况!E8="已注销及未注销","4.抵押担保权已注销时的房地产抵押价值",IF(项目基本情况!E8="已注销","3.抵押担保权已注销时的房地产抵押价值","——"))</f>
        <v>——</v>
      </c>
      <c r="F109" s="3363"/>
      <c r="G109" s="1687" t="s">
        <v>1432</v>
      </c>
      <c r="H109" s="2384" t="str">
        <f>IF(E109="——","——",H101-H105-H106)</f>
        <v>——</v>
      </c>
      <c r="I109" s="121"/>
    </row>
    <row r="110" spans="1:35" ht="18.75" customHeight="1">
      <c r="A110" s="121"/>
      <c r="B110" s="121"/>
      <c r="C110" s="121"/>
      <c r="D110" s="121"/>
      <c r="E110" s="3362"/>
      <c r="F110" s="3363"/>
      <c r="G110" s="1687" t="s">
        <v>1434</v>
      </c>
      <c r="H110" s="2341" t="str">
        <f>IF(H109="——","——",ROUND(H109*10000/'数据-汇总表'!E3,0))</f>
        <v>——</v>
      </c>
      <c r="I110" s="121"/>
    </row>
    <row r="111" spans="1:35" ht="18.75" customHeight="1">
      <c r="A111" s="121"/>
      <c r="B111" s="121"/>
      <c r="C111" s="121"/>
      <c r="D111" s="121"/>
      <c r="E111" s="3394" t="str">
        <f>IF(项目基本情况!E9="抵押净值",IF(OR(项目基本情况!E8="已注销",项目基本情况!E8="房地产抵押价值"),"4.抵押净值","5.抵押净值"),"——")</f>
        <v>——</v>
      </c>
      <c r="F111" s="3364"/>
      <c r="G111" s="1687" t="s">
        <v>1432</v>
      </c>
      <c r="H111" s="2381" t="str">
        <f>IF(E111="——","——",N59)</f>
        <v>——</v>
      </c>
      <c r="I111" s="121"/>
    </row>
    <row r="112" spans="1:35" ht="18.75" customHeight="1" thickBot="1">
      <c r="A112" s="121"/>
      <c r="B112" s="121"/>
      <c r="C112" s="121"/>
      <c r="D112" s="121"/>
      <c r="E112" s="3395"/>
      <c r="F112" s="3396"/>
      <c r="G112" s="1690" t="s">
        <v>1434</v>
      </c>
      <c r="H112" s="2385" t="str">
        <f>IF(E111="——","——",N61)</f>
        <v>——</v>
      </c>
      <c r="I112" s="121"/>
    </row>
    <row r="113" spans="1:27" ht="18.75" customHeight="1">
      <c r="A113" s="121"/>
      <c r="B113" s="121"/>
      <c r="C113" s="121"/>
      <c r="D113" s="121"/>
      <c r="E113" s="3367" t="s">
        <v>1440</v>
      </c>
      <c r="F113" s="3367"/>
      <c r="G113" s="3367"/>
      <c r="H113" s="3367"/>
      <c r="I113" s="121"/>
    </row>
    <row r="114" spans="1:27" ht="3.75" customHeight="1">
      <c r="A114" s="646"/>
      <c r="B114" s="646"/>
      <c r="C114" s="646"/>
      <c r="D114" s="646"/>
      <c r="E114" s="1671"/>
      <c r="F114" s="1671"/>
      <c r="G114" s="1671"/>
      <c r="H114" s="1671"/>
      <c r="I114" s="646"/>
    </row>
    <row r="115" spans="1:27" ht="18.75" customHeight="1">
      <c r="A115" s="3377" t="s">
        <v>1442</v>
      </c>
      <c r="B115" s="3378"/>
      <c r="C115" s="3378"/>
      <c r="D115" s="3378"/>
      <c r="E115" s="3378"/>
      <c r="F115" s="3378"/>
      <c r="G115" s="3378"/>
      <c r="H115" s="3378"/>
      <c r="I115" s="3379"/>
    </row>
    <row r="116" spans="1:27" ht="27" customHeight="1">
      <c r="A116" s="3333" t="s">
        <v>1443</v>
      </c>
      <c r="B116" s="3368" t="s">
        <v>1444</v>
      </c>
      <c r="C116" s="3368" t="s">
        <v>1445</v>
      </c>
      <c r="D116" s="3381" t="s">
        <v>1446</v>
      </c>
      <c r="E116" s="3382"/>
      <c r="F116" s="3376" t="s">
        <v>1447</v>
      </c>
      <c r="G116" s="3376"/>
      <c r="H116" s="3333" t="s">
        <v>1448</v>
      </c>
      <c r="I116" s="3333"/>
    </row>
    <row r="117" spans="1:27" ht="18.75" customHeight="1">
      <c r="A117" s="3333"/>
      <c r="B117" s="3369"/>
      <c r="C117" s="3369"/>
      <c r="D117" s="2150" t="s">
        <v>1449</v>
      </c>
      <c r="E117" s="2150" t="s">
        <v>1450</v>
      </c>
      <c r="F117" s="2150" t="s">
        <v>1449</v>
      </c>
      <c r="G117" s="2150" t="s">
        <v>1451</v>
      </c>
      <c r="H117" s="2150" t="s">
        <v>1449</v>
      </c>
      <c r="I117" s="2150" t="s">
        <v>1451</v>
      </c>
    </row>
    <row r="118" spans="1:27" ht="24.75" customHeight="1">
      <c r="A118" s="2386" t="str">
        <f>项目基本情况!S2</f>
        <v>北京市朝阳区朝阳路69号1号楼1-3（1-1）号等4套房地产</v>
      </c>
      <c r="B118" s="2150">
        <f>M18</f>
        <v>525.41000000000008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33" t="s">
        <v>1452</v>
      </c>
      <c r="B119" s="3333"/>
      <c r="C119" s="3333"/>
      <c r="D119" s="3373" t="e">
        <f ca="1">NUMBERSTRING(INT(D118*10000),2)&amp;"元整"</f>
        <v>#REF!</v>
      </c>
      <c r="E119" s="3375"/>
      <c r="F119" s="3373" t="e">
        <f ca="1">NUMBERSTRING(INT(F118*10000),2)&amp;"元整"</f>
        <v>#REF!</v>
      </c>
      <c r="G119" s="3375"/>
      <c r="H119" s="3373" t="e">
        <f ca="1">NUMBERSTRING(INT(H118*10000),2)&amp;"元整"</f>
        <v>#REF!</v>
      </c>
      <c r="I119" s="3375"/>
    </row>
    <row r="120" spans="1:27" ht="18.75" customHeight="1">
      <c r="A120" s="3397" t="str">
        <f>IF(项目基本情况!B9="房地产市场价值","",MID(E103,3,LEN(E103)-2))</f>
        <v/>
      </c>
      <c r="B120" s="3398"/>
      <c r="C120" s="3399"/>
      <c r="D120" s="3397">
        <f>H103</f>
        <v>0</v>
      </c>
      <c r="E120" s="3398"/>
      <c r="F120" s="3398"/>
      <c r="G120" s="3398"/>
      <c r="H120" s="3398"/>
      <c r="I120" s="339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73" t="s">
        <v>1452</v>
      </c>
      <c r="B121" s="3374"/>
      <c r="C121" s="3375"/>
      <c r="D121" s="3373" t="str">
        <f>IF(D120=0,"零元整",NUMBERSTRING(INT(D120*10000),2)&amp;"元整")</f>
        <v>零元整</v>
      </c>
      <c r="E121" s="3374"/>
      <c r="F121" s="3374"/>
      <c r="G121" s="3374"/>
      <c r="H121" s="3374"/>
      <c r="I121" s="3375"/>
      <c r="AA121" s="684"/>
    </row>
    <row r="122" spans="1:27" ht="18.75" customHeight="1">
      <c r="A122" s="3364" t="str">
        <f>IF(项目基本情况!B9="房地产市场价值","",MID(E107,3,LEN(E107)-2))</f>
        <v/>
      </c>
      <c r="B122" s="3364"/>
      <c r="C122" s="3364"/>
      <c r="D122" s="3397" t="e">
        <f ca="1">H107</f>
        <v>#REF!</v>
      </c>
      <c r="E122" s="3398"/>
      <c r="F122" s="3398"/>
      <c r="G122" s="3398"/>
      <c r="H122" s="3398"/>
      <c r="I122" s="3399"/>
      <c r="AA122" s="684"/>
    </row>
    <row r="123" spans="1:27" ht="18.75" customHeight="1">
      <c r="A123" s="3333" t="s">
        <v>1452</v>
      </c>
      <c r="B123" s="3333"/>
      <c r="C123" s="3333"/>
      <c r="D123" s="3373" t="e">
        <f ca="1">NUMBERSTRING(INT(D122*10000),2)&amp;"元整"</f>
        <v>#REF!</v>
      </c>
      <c r="E123" s="3374"/>
      <c r="F123" s="3374"/>
      <c r="G123" s="3374"/>
      <c r="H123" s="3374"/>
      <c r="I123" s="3375"/>
      <c r="AA123" s="684"/>
    </row>
    <row r="124" spans="1:27" ht="18.75" customHeight="1">
      <c r="A124" s="3364" t="str">
        <f>IF(项目基本情况!B9="房地产市场价值","",MID(E109,3,LEN(E109)-2))</f>
        <v/>
      </c>
      <c r="B124" s="3364"/>
      <c r="C124" s="3364"/>
      <c r="D124" s="3397" t="str">
        <f>H109</f>
        <v>——</v>
      </c>
      <c r="E124" s="3398"/>
      <c r="F124" s="3398"/>
      <c r="G124" s="3398"/>
      <c r="H124" s="3398"/>
      <c r="I124" s="3399"/>
      <c r="AA124" s="684"/>
    </row>
    <row r="125" spans="1:27" ht="18.75" customHeight="1">
      <c r="A125" s="3333" t="s">
        <v>1452</v>
      </c>
      <c r="B125" s="3333"/>
      <c r="C125" s="3333"/>
      <c r="D125" s="3373" t="e">
        <f>NUMBERSTRING(INT(D124*10000),2)&amp;"元整"</f>
        <v>#VALUE!</v>
      </c>
      <c r="E125" s="3374"/>
      <c r="F125" s="3374"/>
      <c r="G125" s="3374"/>
      <c r="H125" s="3374"/>
      <c r="I125" s="3375"/>
      <c r="AA125" s="684"/>
    </row>
    <row r="126" spans="1:27" ht="18.75" customHeight="1">
      <c r="A126" s="3364" t="str">
        <f>IF(项目基本情况!B9="房地产市场价值","",MID(E111,3,LEN(E111)-2))</f>
        <v/>
      </c>
      <c r="B126" s="3364"/>
      <c r="C126" s="3364"/>
      <c r="D126" s="3397" t="str">
        <f>H111</f>
        <v>——</v>
      </c>
      <c r="E126" s="3398"/>
      <c r="F126" s="3398"/>
      <c r="G126" s="3398"/>
      <c r="H126" s="3398"/>
      <c r="I126" s="3399"/>
      <c r="AA126" s="684"/>
    </row>
    <row r="127" spans="1:27" ht="18.75" customHeight="1">
      <c r="A127" s="3333" t="s">
        <v>1452</v>
      </c>
      <c r="B127" s="3333"/>
      <c r="C127" s="3333"/>
      <c r="D127" s="3373" t="e">
        <f>NUMBERSTRING(INT(D126*10000),2)&amp;"元整"</f>
        <v>#VALUE!</v>
      </c>
      <c r="E127" s="3374"/>
      <c r="F127" s="3374"/>
      <c r="G127" s="3374"/>
      <c r="H127" s="3374"/>
      <c r="I127" s="3375"/>
      <c r="AA127" s="684"/>
    </row>
    <row r="128" spans="1:27" ht="21.75" customHeight="1">
      <c r="A128" s="3380" t="s">
        <v>1453</v>
      </c>
      <c r="B128" s="3380"/>
      <c r="C128" s="3380"/>
      <c r="D128" s="3380"/>
      <c r="E128" s="3380"/>
      <c r="F128" s="3380"/>
      <c r="G128" s="3380"/>
      <c r="H128" s="3380"/>
      <c r="I128" s="338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230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4378</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525.41000000000008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v>
      </c>
      <c r="D19" s="204">
        <f ca="1">D9+D10</f>
        <v>525.41000000000008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15</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210</v>
      </c>
      <c r="D34" s="209"/>
      <c r="E34" s="212"/>
      <c r="F34" s="249">
        <f ca="1">IF('数据-取费表'!B24=0,1,IF(B1="",'数据-取费表'!N16,INDIRECT("'数据-取费表'!n"&amp;$G$1)))</f>
        <v>1</v>
      </c>
      <c r="G34" s="211" t="s">
        <v>1526</v>
      </c>
    </row>
    <row r="35" spans="1:7" ht="13.5" customHeight="1">
      <c r="A35" s="734" t="s">
        <v>351</v>
      </c>
      <c r="B35" s="207" t="s">
        <v>1527</v>
      </c>
      <c r="C35" s="212">
        <f ca="1">ROUND(C34*F35,0)</f>
        <v>11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525.41000000000008</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413" t="s">
        <v>1544</v>
      </c>
    </row>
    <row r="43" spans="1:7" ht="13.5" customHeight="1">
      <c r="A43" s="734" t="s">
        <v>347</v>
      </c>
      <c r="B43" s="207" t="s">
        <v>1545</v>
      </c>
      <c r="C43" s="230">
        <f ca="1">ROUND(IF('数据-取费表'!B22&lt;=1,C39*F22*'数据-取费表'!B21/2,C39*(POWER((1+F22),'数据-取费表'!B21/2)-1)),0)</f>
        <v>0</v>
      </c>
      <c r="D43" s="230"/>
      <c r="E43" s="230"/>
      <c r="F43" s="231"/>
      <c r="G43" s="3414"/>
    </row>
    <row r="44" spans="1:7" ht="13.5" customHeight="1">
      <c r="A44" s="734" t="s">
        <v>348</v>
      </c>
      <c r="B44" s="207" t="s">
        <v>1546</v>
      </c>
      <c r="C44" s="230">
        <f ca="1">ROUND(IF('数据-取费表'!B22&lt;=1,C40*F22*'数据-取费表'!B21/2,C40*(POWER((1+F22),'数据-取费表'!B21/2)-1)),4)</f>
        <v>5.9999999999999995E-4</v>
      </c>
      <c r="D44" s="230"/>
      <c r="E44" s="230"/>
      <c r="F44" s="231"/>
      <c r="G44" s="3415"/>
    </row>
    <row r="45" spans="1:7" s="206" customFormat="1" ht="13.5" customHeight="1">
      <c r="A45" s="247" t="s">
        <v>1547</v>
      </c>
      <c r="B45" s="236" t="s">
        <v>1513</v>
      </c>
      <c r="C45" s="237">
        <f ca="1">C46</f>
        <v>48</v>
      </c>
      <c r="D45" s="227">
        <f ca="1">C47</f>
        <v>4.0000000000000001E-3</v>
      </c>
      <c r="E45" s="228" t="s">
        <v>1539</v>
      </c>
      <c r="F45" s="238">
        <f ca="1">F27</f>
        <v>0.2</v>
      </c>
      <c r="G45" s="239" t="s">
        <v>1548</v>
      </c>
    </row>
    <row r="46" spans="1:7" s="206" customFormat="1" ht="13.5" customHeight="1">
      <c r="A46" s="734" t="s">
        <v>346</v>
      </c>
      <c r="B46" s="240" t="s">
        <v>1549</v>
      </c>
      <c r="C46" s="241">
        <f ca="1">ROUND((C33+C39)*F27,0)</f>
        <v>48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321</v>
      </c>
      <c r="D49" s="224"/>
      <c r="E49" s="224"/>
      <c r="F49" s="256"/>
      <c r="G49" s="226" t="s">
        <v>1554</v>
      </c>
    </row>
    <row r="50" spans="1:7" s="250" customFormat="1" ht="26">
      <c r="A50" s="247" t="s">
        <v>1555</v>
      </c>
      <c r="B50" s="202" t="s">
        <v>1556</v>
      </c>
      <c r="C50" s="224"/>
      <c r="D50" s="224"/>
      <c r="E50" s="224"/>
      <c r="F50" s="256">
        <f>IF('数据-取费表'!B24=0,'数据-取费表'!N16,1)</f>
        <v>0.67</v>
      </c>
      <c r="G50" s="239" t="s">
        <v>1557</v>
      </c>
    </row>
    <row r="51" spans="1:7" ht="16.5" customHeight="1">
      <c r="A51" s="247" t="s">
        <v>1558</v>
      </c>
      <c r="B51" s="202" t="s">
        <v>1559</v>
      </c>
      <c r="C51" s="224">
        <f ca="1">ROUND(C49*F50,0)</f>
        <v>215</v>
      </c>
      <c r="D51" s="224"/>
      <c r="E51" s="224"/>
      <c r="F51" s="256"/>
      <c r="G51" s="226" t="s">
        <v>1560</v>
      </c>
    </row>
    <row r="52" spans="1:7" s="200" customFormat="1" ht="16.5" thickBot="1">
      <c r="A52" s="257" t="s">
        <v>1561</v>
      </c>
      <c r="B52" s="258"/>
      <c r="C52" s="259">
        <f ca="1">C31+C51</f>
        <v>230</v>
      </c>
      <c r="D52" s="258"/>
      <c r="E52" s="258"/>
      <c r="F52" s="258"/>
      <c r="G52" s="260"/>
    </row>
    <row r="55" spans="1:7" ht="15.5">
      <c r="B55" s="262" t="s">
        <v>1562</v>
      </c>
      <c r="C55" s="263"/>
    </row>
    <row r="56" spans="1:7" ht="13">
      <c r="B56" s="265" t="s">
        <v>802</v>
      </c>
      <c r="C56" s="267">
        <f ca="1">1-C57</f>
        <v>6.4999999999999947E-2</v>
      </c>
    </row>
    <row r="57" spans="1:7" ht="13">
      <c r="B57" s="265" t="s">
        <v>803</v>
      </c>
      <c r="C57" s="266">
        <f ca="1">ROUND(C51/C52,3)</f>
        <v>0.93500000000000005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231" t="str">
        <f>项目基本情况!B1</f>
        <v>北京市朝阳区朝阳路69号1号楼1-3（1-1）号等4套房地产市场价值预评估</v>
      </c>
      <c r="C37" s="3231"/>
      <c r="D37" s="3231"/>
      <c r="E37" s="3231"/>
      <c r="F37" s="3231"/>
      <c r="G37" s="3231"/>
      <c r="H37" s="3231"/>
      <c r="I37" s="323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243.92410000000001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4643</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105082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105082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105082</v>
      </c>
      <c r="D10" s="795">
        <f ca="1">IF(B1="",'数据-汇总表'!E6,IF(INDIRECT("'数据-取费表'!c"&amp;$G$1)="住宅",INDIRECT("'数据-取费表'!s"&amp;$G$1),INDIRECT("'数据-取费表'!k"&amp;$G$1)+INDIRECT("'数据-取费表'!s"&amp;$G$1)))</f>
        <v>525.41000000000008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105082</v>
      </c>
      <c r="D19" s="204">
        <f ca="1">D9+D10</f>
        <v>525.41000000000008</v>
      </c>
      <c r="E19" s="203">
        <f>'数据-取费表'!B31</f>
        <v>200</v>
      </c>
      <c r="F19" s="223"/>
      <c r="G19" s="1714"/>
    </row>
    <row r="20" spans="1:7" s="206" customFormat="1" ht="13.5" customHeight="1">
      <c r="A20" s="247" t="s">
        <v>1574</v>
      </c>
      <c r="B20" s="202" t="s">
        <v>1575</v>
      </c>
      <c r="C20" s="224">
        <f ca="1">ROUND((C5+C19)*F20,0)</f>
        <v>4203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13494</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6681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6681</v>
      </c>
      <c r="D24" s="230"/>
      <c r="E24" s="230"/>
      <c r="F24" s="231"/>
      <c r="G24" s="232" t="s">
        <v>1586</v>
      </c>
    </row>
    <row r="25" spans="1:7" s="206" customFormat="1" ht="26">
      <c r="A25" s="734" t="s">
        <v>1476</v>
      </c>
      <c r="B25" s="207" t="s">
        <v>1587</v>
      </c>
      <c r="C25" s="230">
        <f ca="1">ROUND(IF('数据-取费表'!B22&lt;=1,C20*F22*'数据-取费表'!B22/2,C20*(POWER((1+F22),'数据-取费表'!B22/2)-1)),0)</f>
        <v>132</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42873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42873</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293320</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2353837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2101640</v>
      </c>
      <c r="D34" s="209"/>
      <c r="E34" s="212"/>
      <c r="F34" s="249"/>
      <c r="G34" s="211"/>
    </row>
    <row r="35" spans="1:7" ht="13.5" customHeight="1">
      <c r="A35" s="734" t="s">
        <v>351</v>
      </c>
      <c r="B35" s="207" t="s">
        <v>1527</v>
      </c>
      <c r="C35" s="212">
        <f ca="1">ROUND(C34*F35,0)</f>
        <v>105082</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105082</v>
      </c>
      <c r="D37" s="209">
        <f ca="1">D19</f>
        <v>525.41000000000008</v>
      </c>
      <c r="E37" s="241">
        <f>'数据-取费表'!B35</f>
        <v>200</v>
      </c>
      <c r="F37" s="251"/>
      <c r="G37" s="253"/>
    </row>
    <row r="38" spans="1:7" ht="13.5" customHeight="1">
      <c r="A38" s="734" t="s">
        <v>354</v>
      </c>
      <c r="B38" s="207" t="s">
        <v>1533</v>
      </c>
      <c r="C38" s="212">
        <f ca="1">ROUND(C34*F38,0)</f>
        <v>42033</v>
      </c>
      <c r="D38" s="212"/>
      <c r="E38" s="212"/>
      <c r="F38" s="251">
        <f>'数据-取费表'!B36</f>
        <v>0.02</v>
      </c>
      <c r="G38" s="211" t="s">
        <v>1528</v>
      </c>
    </row>
    <row r="39" spans="1:7" s="206" customFormat="1" ht="13.5" customHeight="1">
      <c r="A39" s="247" t="s">
        <v>1534</v>
      </c>
      <c r="B39" s="202" t="s">
        <v>1535</v>
      </c>
      <c r="C39" s="224">
        <f ca="1">ROUND(C33*F20,0)</f>
        <v>47077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75149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73675</v>
      </c>
      <c r="D42" s="230"/>
      <c r="E42" s="230"/>
      <c r="F42" s="231"/>
      <c r="G42" s="3413" t="s">
        <v>1591</v>
      </c>
    </row>
    <row r="43" spans="1:7" ht="13.5" customHeight="1">
      <c r="A43" s="734" t="s">
        <v>347</v>
      </c>
      <c r="B43" s="207" t="s">
        <v>1545</v>
      </c>
      <c r="C43" s="230">
        <f ca="1">ROUND(IF('数据-取费表'!B22&lt;=1,C39*F22*'数据-取费表'!B20/2,C39*(POWER((1+F22),'数据-取费表'!B20/2)-1)),0)</f>
        <v>1474</v>
      </c>
      <c r="D43" s="230"/>
      <c r="E43" s="230"/>
      <c r="F43" s="231"/>
      <c r="G43" s="3414"/>
    </row>
    <row r="44" spans="1:7" ht="13.5" customHeight="1">
      <c r="A44" s="734" t="s">
        <v>348</v>
      </c>
      <c r="B44" s="207" t="s">
        <v>1546</v>
      </c>
      <c r="C44" s="230">
        <f ca="1">ROUND(IF('数据-取费表'!B22&lt;=1,C40*F22*'数据-取费表'!B20/2,C40*(POWER((1+F22),'数据-取费表'!B20/2)-1)),4)</f>
        <v>5.9999999999999995E-4</v>
      </c>
      <c r="D44" s="230"/>
      <c r="E44" s="230"/>
      <c r="F44" s="231"/>
      <c r="G44" s="3415"/>
    </row>
    <row r="45" spans="1:7" s="206" customFormat="1" ht="13.5" customHeight="1">
      <c r="A45" s="247" t="s">
        <v>1547</v>
      </c>
      <c r="B45" s="236" t="s">
        <v>1513</v>
      </c>
      <c r="C45" s="237">
        <f ca="1">C46</f>
        <v>480183</v>
      </c>
      <c r="D45" s="227">
        <f ca="1">C47</f>
        <v>4.0000000000000001E-3</v>
      </c>
      <c r="E45" s="228" t="s">
        <v>1539</v>
      </c>
      <c r="F45" s="238">
        <f ca="1">F27</f>
        <v>0.2</v>
      </c>
      <c r="G45" s="239" t="s">
        <v>1548</v>
      </c>
    </row>
    <row r="46" spans="1:7" s="206" customFormat="1" ht="13.5" customHeight="1">
      <c r="A46" s="734" t="s">
        <v>346</v>
      </c>
      <c r="B46" s="240" t="s">
        <v>1549</v>
      </c>
      <c r="C46" s="241">
        <f ca="1">ROUND((C33+C39)*F27,0)</f>
        <v>480183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3202867</v>
      </c>
      <c r="D49" s="224"/>
      <c r="E49" s="224"/>
      <c r="F49" s="256"/>
      <c r="G49" s="226" t="s">
        <v>1554</v>
      </c>
    </row>
    <row r="50" spans="1:7" s="250" customFormat="1" ht="13.5">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2145921</v>
      </c>
      <c r="D51" s="224"/>
      <c r="E51" s="224"/>
      <c r="F51" s="256"/>
      <c r="G51" s="226" t="s">
        <v>1560</v>
      </c>
    </row>
    <row r="52" spans="1:7" s="200" customFormat="1" ht="16.5" thickBot="1">
      <c r="A52" s="257" t="s">
        <v>1561</v>
      </c>
      <c r="B52" s="258"/>
      <c r="C52" s="259">
        <f ca="1">C31+C51</f>
        <v>2439241</v>
      </c>
      <c r="D52" s="258"/>
      <c r="E52" s="258"/>
      <c r="F52" s="258"/>
      <c r="G52" s="260"/>
    </row>
    <row r="55" spans="1:7" ht="15.5">
      <c r="B55" s="262" t="s">
        <v>1562</v>
      </c>
      <c r="C55" s="263"/>
    </row>
    <row r="56" spans="1:7" ht="13">
      <c r="B56" s="265" t="s">
        <v>802</v>
      </c>
      <c r="C56" s="267">
        <f ca="1">1-C57</f>
        <v>0.12</v>
      </c>
    </row>
    <row r="57" spans="1:7" ht="13">
      <c r="B57" s="265" t="s">
        <v>803</v>
      </c>
      <c r="C57" s="266">
        <f ca="1">ROUND(C51/C52,3)</f>
        <v>0.88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-13</v>
      </c>
      <c r="C2" s="268" t="s">
        <v>1595</v>
      </c>
      <c r="D2" s="268"/>
      <c r="E2" s="2567"/>
      <c r="F2" s="2567"/>
      <c r="G2" s="2567"/>
      <c r="H2" s="2567"/>
      <c r="I2" s="2567"/>
      <c r="J2" s="2567"/>
      <c r="K2" s="2567"/>
    </row>
    <row r="3" spans="1:33" ht="18" customHeight="1" thickBot="1">
      <c r="A3" s="195" t="s">
        <v>1464</v>
      </c>
      <c r="B3" s="196">
        <f ca="1">ROUND(B2*10000/IF(C1="",'数据-汇总表'!E3,INDIRECT("'数据-取费表'!K"&amp;$K$1)),0)</f>
        <v>-247</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525.41000000000008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525.41000000000008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525.41000000000008</v>
      </c>
      <c r="E20" s="21">
        <f>'数据-取费表'!B28</f>
        <v>200</v>
      </c>
      <c r="F20" s="756"/>
      <c r="G20" s="12"/>
      <c r="H20" s="761"/>
      <c r="I20" s="761"/>
      <c r="J20" s="761"/>
      <c r="K20" s="762"/>
    </row>
    <row r="21" spans="1:33" s="755" customFormat="1" ht="13.5" customHeight="1">
      <c r="A21" s="744" t="s">
        <v>357</v>
      </c>
      <c r="B21" s="765" t="s">
        <v>1628</v>
      </c>
      <c r="C21" s="766">
        <f ca="1">C16+C17+C18</f>
        <v>11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-13</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8" t="s">
        <v>694</v>
      </c>
      <c r="C6" s="1011">
        <f ca="1">ROUND(F6*F8*F7*(1-F9)/10000,0)</f>
        <v>0</v>
      </c>
      <c r="D6" s="147" t="s">
        <v>2107</v>
      </c>
      <c r="E6" s="294" t="s">
        <v>696</v>
      </c>
      <c r="F6" s="295">
        <f ca="1">INDIRECT("'数据-取费表'!u"&amp;$G$1)</f>
        <v>0</v>
      </c>
      <c r="G6" s="1292"/>
      <c r="H6" s="1006" t="s">
        <v>398</v>
      </c>
      <c r="I6" s="3418" t="s">
        <v>694</v>
      </c>
      <c r="J6" s="293">
        <f ca="1">ROUND(M6*M8*M7*(1-M9)/10000,0)</f>
        <v>0</v>
      </c>
      <c r="K6" s="147" t="s">
        <v>2106</v>
      </c>
      <c r="L6" s="294" t="s">
        <v>696</v>
      </c>
      <c r="M6" s="295">
        <f ca="1">INDIRECT("'数据-取费表'!z"&amp;$G$1)</f>
        <v>0</v>
      </c>
    </row>
    <row r="7" spans="1:37" ht="18" customHeight="1">
      <c r="A7" s="1010"/>
      <c r="B7" s="3419"/>
      <c r="C7" s="1012"/>
      <c r="D7" s="299"/>
      <c r="E7" s="1013" t="s">
        <v>697</v>
      </c>
      <c r="F7" s="295">
        <f ca="1">IF(INDIRECT("'数据-取费表'!ah"&amp;$G$1)="",INDIRECT("'数据-取费表'!k"&amp;$G$1),INDIRECT("'数据-取费表'!ah"&amp;$G$1))</f>
        <v>0</v>
      </c>
      <c r="G7" s="1292"/>
      <c r="H7" s="296"/>
      <c r="I7" s="3419"/>
      <c r="J7" s="298"/>
      <c r="K7" s="299"/>
      <c r="L7" s="294" t="s">
        <v>697</v>
      </c>
      <c r="M7" s="295">
        <f ca="1">F7</f>
        <v>0</v>
      </c>
    </row>
    <row r="8" spans="1:37" ht="18" customHeight="1">
      <c r="A8" s="296"/>
      <c r="B8" s="3419"/>
      <c r="C8" s="298"/>
      <c r="D8" s="299"/>
      <c r="E8" s="294" t="s">
        <v>698</v>
      </c>
      <c r="F8" s="295">
        <f ca="1">INDIRECT("'数据-取费表'!ai"&amp;$G$1)</f>
        <v>0</v>
      </c>
      <c r="G8" s="1292"/>
      <c r="H8" s="296"/>
      <c r="I8" s="3419"/>
      <c r="J8" s="298"/>
      <c r="K8" s="299"/>
      <c r="L8" s="294" t="s">
        <v>698</v>
      </c>
      <c r="M8" s="295">
        <f ca="1">INDIRECT("'数据-取费表'!ai"&amp;$G$1)</f>
        <v>0</v>
      </c>
    </row>
    <row r="9" spans="1:37" ht="18" customHeight="1">
      <c r="A9" s="296"/>
      <c r="B9" s="3420"/>
      <c r="C9" s="298"/>
      <c r="D9" s="299"/>
      <c r="E9" s="294" t="s">
        <v>699</v>
      </c>
      <c r="F9" s="304">
        <f ca="1">INDIRECT("'数据-取费表'!w"&amp;$G$1)</f>
        <v>0</v>
      </c>
      <c r="G9" s="1292"/>
      <c r="H9" s="296"/>
      <c r="I9" s="342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2304</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416" t="s">
        <v>837</v>
      </c>
      <c r="L53" s="3417"/>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8" t="s">
        <v>694</v>
      </c>
      <c r="C6" s="1011">
        <f ca="1">ROUND(F6*F8*F7*(1-F9),0)</f>
        <v>0</v>
      </c>
      <c r="D6" s="147" t="s">
        <v>2104</v>
      </c>
      <c r="E6" s="294" t="s">
        <v>696</v>
      </c>
      <c r="F6" s="295">
        <f ca="1">INDIRECT("'数据-取费表'!u"&amp;$G$1)</f>
        <v>0</v>
      </c>
      <c r="G6" s="1292"/>
      <c r="H6" s="1006" t="s">
        <v>398</v>
      </c>
      <c r="I6" s="3418" t="s">
        <v>694</v>
      </c>
      <c r="J6" s="293">
        <f ca="1">ROUND(M6*M8*M7*(1-M9),0)</f>
        <v>0</v>
      </c>
      <c r="K6" s="1284" t="s">
        <v>2105</v>
      </c>
      <c r="L6" s="294" t="s">
        <v>696</v>
      </c>
      <c r="M6" s="295">
        <f ca="1">INDIRECT("'数据-取费表'!z"&amp;$G$1)</f>
        <v>0</v>
      </c>
    </row>
    <row r="7" spans="1:37" ht="18" customHeight="1">
      <c r="A7" s="1010"/>
      <c r="B7" s="3419"/>
      <c r="C7" s="1012"/>
      <c r="D7" s="299"/>
      <c r="E7" s="1013" t="s">
        <v>697</v>
      </c>
      <c r="F7" s="295">
        <f ca="1">IF(INDIRECT("'数据-取费表'!ah"&amp;$G$1)="",INDIRECT("'数据-取费表'!k"&amp;$G$1),INDIRECT("'数据-取费表'!ah"&amp;$G$1))</f>
        <v>0</v>
      </c>
      <c r="G7" s="1292"/>
      <c r="H7" s="296"/>
      <c r="I7" s="3419"/>
      <c r="J7" s="298"/>
      <c r="K7" s="299"/>
      <c r="L7" s="294" t="s">
        <v>697</v>
      </c>
      <c r="M7" s="295">
        <f ca="1">F7</f>
        <v>0</v>
      </c>
    </row>
    <row r="8" spans="1:37" ht="18" customHeight="1">
      <c r="A8" s="296"/>
      <c r="B8" s="3419"/>
      <c r="C8" s="298"/>
      <c r="D8" s="299"/>
      <c r="E8" s="294" t="s">
        <v>698</v>
      </c>
      <c r="F8" s="295">
        <f ca="1">INDIRECT("'数据-取费表'!ai"&amp;$G$1)</f>
        <v>0</v>
      </c>
      <c r="G8" s="1292"/>
      <c r="H8" s="296"/>
      <c r="I8" s="3419"/>
      <c r="J8" s="298"/>
      <c r="K8" s="299"/>
      <c r="L8" s="294" t="s">
        <v>698</v>
      </c>
      <c r="M8" s="295">
        <f ca="1">INDIRECT("'数据-取费表'!ai"&amp;$G$1)</f>
        <v>0</v>
      </c>
    </row>
    <row r="9" spans="1:37" ht="18" customHeight="1">
      <c r="A9" s="296"/>
      <c r="B9" s="3420"/>
      <c r="C9" s="298"/>
      <c r="D9" s="299"/>
      <c r="E9" s="294" t="s">
        <v>699</v>
      </c>
      <c r="F9" s="304">
        <f ca="1">INDIRECT("'数据-取费表'!w"&amp;$G$1)</f>
        <v>0</v>
      </c>
      <c r="G9" s="1292"/>
      <c r="H9" s="296"/>
      <c r="I9" s="342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2304</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3348</v>
      </c>
      <c r="B45" s="1307"/>
      <c r="C45" s="1376" t="e">
        <f ca="1">ROUND((C68-C40)/10000,4)</f>
        <v>#DIV/0!</v>
      </c>
      <c r="D45" s="3130" t="s">
        <v>3349</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416" t="s">
        <v>837</v>
      </c>
      <c r="L53" s="341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15" customHeight="1">
      <c r="A2" s="1293" t="s">
        <v>2313</v>
      </c>
      <c r="B2" s="2594" t="e">
        <f>IF(D2="——",C40,C40+E2)</f>
        <v>#DIV/0!</v>
      </c>
      <c r="C2" s="2595" t="s">
        <v>2314</v>
      </c>
      <c r="D2" s="3138" t="s">
        <v>3355</v>
      </c>
      <c r="E2" s="3139"/>
      <c r="F2" s="2597"/>
      <c r="G2" s="2598"/>
      <c r="H2" s="2599"/>
      <c r="I2" s="2600"/>
      <c r="J2" s="3427" t="s">
        <v>2315</v>
      </c>
      <c r="K2" s="3428"/>
      <c r="L2" s="2601" t="s">
        <v>2316</v>
      </c>
      <c r="M2" s="2601" t="s">
        <v>2317</v>
      </c>
      <c r="N2" s="2601" t="s">
        <v>2318</v>
      </c>
      <c r="O2" s="2601" t="s">
        <v>2319</v>
      </c>
      <c r="P2" s="2601" t="s">
        <v>2320</v>
      </c>
      <c r="Q2" s="2602" t="s">
        <v>2321</v>
      </c>
      <c r="R2" s="2603" t="s">
        <v>2322</v>
      </c>
      <c r="S2" s="2592"/>
      <c r="T2" s="2592"/>
      <c r="U2" s="2592"/>
      <c r="V2" s="2600"/>
    </row>
    <row r="3" spans="1:22" s="2604" customFormat="1" ht="13.15" customHeight="1">
      <c r="A3" s="2605" t="s">
        <v>2323</v>
      </c>
      <c r="B3" s="2606" t="e">
        <f>ROUND(B2*10000/B4,0)</f>
        <v>#DIV/0!</v>
      </c>
      <c r="C3" s="2595" t="s">
        <v>2324</v>
      </c>
      <c r="D3" s="2595"/>
      <c r="E3" s="2596"/>
      <c r="F3" s="2597"/>
      <c r="G3" s="2598"/>
      <c r="H3" s="2599"/>
      <c r="I3" s="2600"/>
      <c r="J3" s="3429" t="s">
        <v>2325</v>
      </c>
      <c r="K3" s="3430"/>
      <c r="L3" s="2607"/>
      <c r="M3" s="2607"/>
      <c r="N3" s="2607"/>
      <c r="O3" s="2607"/>
      <c r="P3" s="2607"/>
      <c r="Q3" s="2608"/>
      <c r="R3" s="2609">
        <f>SUM(L3:Q3)</f>
        <v>0</v>
      </c>
      <c r="S3" s="2592"/>
      <c r="T3" s="2592"/>
      <c r="U3" s="2592"/>
      <c r="V3" s="2600"/>
    </row>
    <row r="4" spans="1:22" s="2604" customFormat="1" ht="13.15" customHeight="1">
      <c r="A4" s="2610" t="s">
        <v>2326</v>
      </c>
      <c r="B4" s="2611"/>
      <c r="C4" s="2595"/>
      <c r="D4" s="2595"/>
      <c r="E4" s="2596"/>
      <c r="F4" s="2597"/>
      <c r="G4" s="2598"/>
      <c r="H4" s="2599"/>
      <c r="I4" s="2600"/>
      <c r="J4" s="3429" t="s">
        <v>2327</v>
      </c>
      <c r="K4" s="3430"/>
      <c r="L4" s="2612"/>
      <c r="M4" s="2612"/>
      <c r="N4" s="2612"/>
      <c r="O4" s="2612"/>
      <c r="P4" s="2612"/>
      <c r="Q4" s="2613"/>
      <c r="R4" s="2614">
        <f>SUM(L4:Q4)</f>
        <v>0</v>
      </c>
      <c r="S4" s="2592"/>
      <c r="T4" s="2592"/>
      <c r="U4" s="2592"/>
      <c r="V4" s="2600"/>
    </row>
    <row r="5" spans="1:22" s="2604" customFormat="1" ht="13.15"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15" customHeight="1" thickBot="1">
      <c r="A6" s="3435" t="s">
        <v>2331</v>
      </c>
      <c r="B6" s="3436"/>
      <c r="C6" s="3437"/>
      <c r="D6" s="2621"/>
      <c r="E6" s="2622"/>
      <c r="F6" s="2623"/>
      <c r="G6" s="2624"/>
      <c r="H6" s="2599"/>
      <c r="I6" s="2600"/>
      <c r="J6" s="3421">
        <v>1</v>
      </c>
      <c r="K6" s="3422"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15" customHeight="1">
      <c r="A7" s="2627" t="s">
        <v>2341</v>
      </c>
      <c r="B7" s="2628"/>
      <c r="C7" s="2629"/>
      <c r="D7" s="2630">
        <f>SUM(D9,D10,D11,D17,0)</f>
        <v>0</v>
      </c>
      <c r="E7" s="2631" t="e">
        <f>E9+E10+E11+E17</f>
        <v>#DIV/0!</v>
      </c>
      <c r="F7" s="2632"/>
      <c r="G7" s="2633"/>
      <c r="H7" s="2599"/>
      <c r="I7" s="2600"/>
      <c r="J7" s="3421"/>
      <c r="K7" s="3423"/>
      <c r="L7" s="2634" t="s">
        <v>2342</v>
      </c>
      <c r="M7" s="2635"/>
      <c r="N7" s="2611"/>
      <c r="O7" s="2636"/>
      <c r="P7" s="2636"/>
      <c r="Q7" s="2637">
        <v>365</v>
      </c>
      <c r="R7" s="2638">
        <f>ROUND(M7*N7*O7*P7*Q7/10000,0)</f>
        <v>0</v>
      </c>
      <c r="S7" s="2592"/>
      <c r="T7" s="2592" t="s">
        <v>2343</v>
      </c>
      <c r="U7" s="2592"/>
      <c r="V7" s="2600"/>
    </row>
    <row r="8" spans="1:22" s="2604" customFormat="1" ht="13.15" customHeight="1">
      <c r="A8" s="2639" t="s">
        <v>2344</v>
      </c>
      <c r="B8" s="3438" t="s">
        <v>2345</v>
      </c>
      <c r="C8" s="3439"/>
      <c r="D8" s="2640" t="s">
        <v>2346</v>
      </c>
      <c r="E8" s="2641" t="s">
        <v>2347</v>
      </c>
      <c r="F8" s="2642" t="s">
        <v>2348</v>
      </c>
      <c r="G8" s="2643"/>
      <c r="H8" s="2599"/>
      <c r="I8" s="2600"/>
      <c r="J8" s="3421"/>
      <c r="K8" s="3423"/>
      <c r="L8" s="2634" t="s">
        <v>2349</v>
      </c>
      <c r="M8" s="2635"/>
      <c r="N8" s="2611"/>
      <c r="O8" s="2636"/>
      <c r="P8" s="2636"/>
      <c r="Q8" s="2637">
        <v>365</v>
      </c>
      <c r="R8" s="2638">
        <f t="shared" ref="R8:R13" si="0">ROUND(M8*N8*O8*P8*Q8/10000,0)</f>
        <v>0</v>
      </c>
      <c r="S8" s="2592"/>
      <c r="T8" s="2592" t="s">
        <v>2350</v>
      </c>
      <c r="U8" s="2592"/>
      <c r="V8" s="2600"/>
    </row>
    <row r="9" spans="1:22" s="2604" customFormat="1" ht="13.15" customHeight="1">
      <c r="A9" s="2639">
        <v>1</v>
      </c>
      <c r="B9" s="3438" t="s">
        <v>2351</v>
      </c>
      <c r="C9" s="3439"/>
      <c r="D9" s="2640">
        <f>ROUND(D6*E9,0)</f>
        <v>0</v>
      </c>
      <c r="E9" s="2644"/>
      <c r="F9" s="2645" t="s">
        <v>2352</v>
      </c>
      <c r="G9" s="2624"/>
      <c r="H9" s="2599"/>
      <c r="I9" s="2600"/>
      <c r="J9" s="3421"/>
      <c r="K9" s="3423"/>
      <c r="L9" s="2634" t="s">
        <v>2353</v>
      </c>
      <c r="M9" s="2635"/>
      <c r="N9" s="2611"/>
      <c r="O9" s="2636"/>
      <c r="P9" s="2636"/>
      <c r="Q9" s="2637">
        <v>365</v>
      </c>
      <c r="R9" s="2638">
        <f t="shared" si="0"/>
        <v>0</v>
      </c>
      <c r="S9" s="2592"/>
      <c r="T9" s="2592"/>
      <c r="U9" s="2592"/>
      <c r="V9" s="2600"/>
    </row>
    <row r="10" spans="1:22" s="2604" customFormat="1" ht="13.15" customHeight="1">
      <c r="A10" s="2639">
        <v>2</v>
      </c>
      <c r="B10" s="3438" t="s">
        <v>2354</v>
      </c>
      <c r="C10" s="3439"/>
      <c r="D10" s="2640">
        <f>ROUND(D6*E10,0)</f>
        <v>0</v>
      </c>
      <c r="E10" s="2644"/>
      <c r="F10" s="2645" t="s">
        <v>2355</v>
      </c>
      <c r="G10" s="2624"/>
      <c r="H10" s="2599"/>
      <c r="I10" s="2600"/>
      <c r="J10" s="3421"/>
      <c r="K10" s="3423"/>
      <c r="L10" s="2634" t="s">
        <v>2356</v>
      </c>
      <c r="M10" s="2635"/>
      <c r="N10" s="2611"/>
      <c r="O10" s="2636"/>
      <c r="P10" s="2636"/>
      <c r="Q10" s="2637">
        <v>365</v>
      </c>
      <c r="R10" s="2638">
        <f t="shared" si="0"/>
        <v>0</v>
      </c>
      <c r="S10" s="2592"/>
      <c r="T10" s="2592"/>
      <c r="U10" s="2592"/>
      <c r="V10" s="2600"/>
    </row>
    <row r="11" spans="1:22" s="2604" customFormat="1" ht="13.15" customHeight="1">
      <c r="A11" s="2639">
        <v>3</v>
      </c>
      <c r="B11" s="3438" t="s">
        <v>2357</v>
      </c>
      <c r="C11" s="3439"/>
      <c r="D11" s="2640">
        <f>D12+D14+D15+D16</f>
        <v>0</v>
      </c>
      <c r="E11" s="2646" t="e">
        <f>D11/D6</f>
        <v>#DIV/0!</v>
      </c>
      <c r="F11" s="2642"/>
      <c r="G11" s="2643"/>
      <c r="H11" s="2599"/>
      <c r="I11" s="2600"/>
      <c r="J11" s="3421"/>
      <c r="K11" s="3423"/>
      <c r="L11" s="2634" t="s">
        <v>2358</v>
      </c>
      <c r="M11" s="2635"/>
      <c r="N11" s="2611"/>
      <c r="O11" s="2636"/>
      <c r="P11" s="2636"/>
      <c r="Q11" s="2637">
        <v>365</v>
      </c>
      <c r="R11" s="2638">
        <f t="shared" si="0"/>
        <v>0</v>
      </c>
      <c r="S11" s="2592"/>
      <c r="T11" s="2592"/>
      <c r="U11" s="2592"/>
      <c r="V11" s="2600"/>
    </row>
    <row r="12" spans="1:22" s="2604" customFormat="1" ht="13.15" customHeight="1">
      <c r="A12" s="2647" t="s">
        <v>2359</v>
      </c>
      <c r="B12" s="3431" t="s">
        <v>2360</v>
      </c>
      <c r="C12" s="3432"/>
      <c r="D12" s="2648">
        <f>ROUND(D13*1.2%*(1-30%),0)</f>
        <v>0</v>
      </c>
      <c r="E12" s="2649">
        <v>1.2E-2</v>
      </c>
      <c r="F12" s="2642" t="s">
        <v>2361</v>
      </c>
      <c r="G12" s="2643"/>
      <c r="H12" s="2599"/>
      <c r="I12" s="2600"/>
      <c r="J12" s="3421"/>
      <c r="K12" s="3423"/>
      <c r="L12" s="2634" t="s">
        <v>2362</v>
      </c>
      <c r="M12" s="2635"/>
      <c r="N12" s="2611"/>
      <c r="O12" s="2636"/>
      <c r="P12" s="2636"/>
      <c r="Q12" s="2637">
        <v>365</v>
      </c>
      <c r="R12" s="2638">
        <f t="shared" si="0"/>
        <v>0</v>
      </c>
      <c r="S12" s="2592"/>
      <c r="T12" s="2592"/>
      <c r="U12" s="2592"/>
      <c r="V12" s="2600"/>
    </row>
    <row r="13" spans="1:22" s="2604" customFormat="1" ht="13.15" customHeight="1">
      <c r="A13" s="2647"/>
      <c r="B13" s="2650"/>
      <c r="C13" s="2651" t="s">
        <v>2363</v>
      </c>
      <c r="D13" s="2652"/>
      <c r="E13" s="2653"/>
      <c r="F13" s="2642"/>
      <c r="G13" s="2643"/>
      <c r="H13" s="2599"/>
      <c r="I13" s="2600"/>
      <c r="J13" s="3421"/>
      <c r="K13" s="3423"/>
      <c r="L13" s="2634" t="s">
        <v>2364</v>
      </c>
      <c r="M13" s="2635"/>
      <c r="N13" s="2611"/>
      <c r="O13" s="2636"/>
      <c r="P13" s="2636"/>
      <c r="Q13" s="2637">
        <v>365</v>
      </c>
      <c r="R13" s="2638">
        <f t="shared" si="0"/>
        <v>0</v>
      </c>
      <c r="S13" s="2592"/>
      <c r="T13" s="2592"/>
      <c r="U13" s="2592"/>
      <c r="V13" s="2600"/>
    </row>
    <row r="14" spans="1:22" s="2604" customFormat="1" ht="13.15" customHeight="1">
      <c r="A14" s="2647" t="s">
        <v>2365</v>
      </c>
      <c r="B14" s="3431" t="s">
        <v>2366</v>
      </c>
      <c r="C14" s="3432"/>
      <c r="D14" s="2648">
        <f>ROUND(E14*B5/10000,0)</f>
        <v>0</v>
      </c>
      <c r="E14" s="2637"/>
      <c r="F14" s="2642" t="s">
        <v>2367</v>
      </c>
      <c r="G14" s="2643"/>
      <c r="H14" s="2599"/>
      <c r="I14" s="2600"/>
      <c r="J14" s="3421"/>
      <c r="K14" s="3424"/>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2369</v>
      </c>
      <c r="B15" s="3431" t="s">
        <v>2370</v>
      </c>
      <c r="C15" s="3432"/>
      <c r="D15" s="2648">
        <f>ROUND(D6*E15,0)</f>
        <v>0</v>
      </c>
      <c r="E15" s="2649">
        <v>5.5E-2</v>
      </c>
      <c r="F15" s="2642" t="s">
        <v>2371</v>
      </c>
      <c r="G15" s="2624"/>
      <c r="H15" s="2599"/>
      <c r="I15" s="2600"/>
      <c r="J15" s="3421">
        <v>2</v>
      </c>
      <c r="K15" s="3422"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15" customHeight="1">
      <c r="A16" s="2647" t="s">
        <v>2378</v>
      </c>
      <c r="B16" s="3431" t="s">
        <v>2379</v>
      </c>
      <c r="C16" s="3432"/>
      <c r="D16" s="2659">
        <f>D6*E16</f>
        <v>0</v>
      </c>
      <c r="E16" s="2660"/>
      <c r="F16" s="2645" t="s">
        <v>2380</v>
      </c>
      <c r="G16" s="2624"/>
      <c r="H16" s="2599"/>
      <c r="I16" s="2600"/>
      <c r="J16" s="3421"/>
      <c r="K16" s="3423"/>
      <c r="L16" s="2634" t="s">
        <v>2381</v>
      </c>
      <c r="M16" s="2635"/>
      <c r="N16" s="2635"/>
      <c r="O16" s="2636"/>
      <c r="P16" s="2637">
        <v>365</v>
      </c>
      <c r="Q16" s="2611"/>
      <c r="R16" s="2658">
        <f>ROUND(M16*N16*O16*P16/10000,0)</f>
        <v>0</v>
      </c>
      <c r="S16" s="2592"/>
      <c r="T16" s="2592"/>
      <c r="U16" s="2592"/>
      <c r="V16" s="2600"/>
    </row>
    <row r="17" spans="1:22" s="2604" customFormat="1" ht="13.15" customHeight="1" thickBot="1">
      <c r="A17" s="2661">
        <v>4</v>
      </c>
      <c r="B17" s="3433" t="s">
        <v>2382</v>
      </c>
      <c r="C17" s="3434"/>
      <c r="D17" s="2662">
        <f>ROUND(D6*E17,0)</f>
        <v>0</v>
      </c>
      <c r="E17" s="2663"/>
      <c r="F17" s="2664" t="s">
        <v>2383</v>
      </c>
      <c r="G17" s="2624"/>
      <c r="H17" s="2599"/>
      <c r="I17" s="2600"/>
      <c r="J17" s="3421"/>
      <c r="K17" s="3423"/>
      <c r="L17" s="2634" t="s">
        <v>2384</v>
      </c>
      <c r="M17" s="2635"/>
      <c r="N17" s="2635"/>
      <c r="O17" s="2636"/>
      <c r="P17" s="2637">
        <v>365</v>
      </c>
      <c r="Q17" s="2611"/>
      <c r="R17" s="2658">
        <f>ROUND(M17*N17*O17*P17/10000,0)</f>
        <v>0</v>
      </c>
      <c r="S17" s="2592"/>
      <c r="T17" s="2592"/>
      <c r="U17" s="2592"/>
      <c r="V17" s="2600"/>
    </row>
    <row r="18" spans="1:22" s="2604" customFormat="1" ht="13.15" customHeight="1" thickBot="1">
      <c r="A18" s="2627" t="s">
        <v>2385</v>
      </c>
      <c r="B18" s="2628"/>
      <c r="C18" s="2628"/>
      <c r="D18" s="2665">
        <f>ROUND(D6*E18,0)</f>
        <v>0</v>
      </c>
      <c r="E18" s="2666"/>
      <c r="F18" s="2667" t="s">
        <v>2386</v>
      </c>
      <c r="G18" s="2624"/>
      <c r="H18" s="2599"/>
      <c r="I18" s="2600"/>
      <c r="J18" s="3421"/>
      <c r="K18" s="3423"/>
      <c r="L18" s="2634" t="s">
        <v>2387</v>
      </c>
      <c r="M18" s="2635"/>
      <c r="N18" s="2635"/>
      <c r="O18" s="2636"/>
      <c r="P18" s="2637">
        <v>365</v>
      </c>
      <c r="Q18" s="2611"/>
      <c r="R18" s="2658">
        <f>ROUND(M18*N18*O18*P18/10000,0)</f>
        <v>0</v>
      </c>
      <c r="S18" s="2592"/>
      <c r="T18" s="2592"/>
      <c r="U18" s="2592"/>
      <c r="V18" s="2600"/>
    </row>
    <row r="19" spans="1:22" s="2604" customFormat="1" ht="13.15" customHeight="1" thickBot="1">
      <c r="A19" s="2668" t="s">
        <v>2388</v>
      </c>
      <c r="B19" s="2622"/>
      <c r="C19" s="2622"/>
      <c r="D19" s="2622"/>
      <c r="E19" s="2622"/>
      <c r="F19" s="2623"/>
      <c r="G19" s="2643"/>
      <c r="H19" s="2599"/>
      <c r="I19" s="2600"/>
      <c r="J19" s="3421"/>
      <c r="K19" s="3424"/>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1">
        <v>3</v>
      </c>
      <c r="K20" s="3422"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15" customHeight="1">
      <c r="A21" s="2627"/>
      <c r="B21" s="2628"/>
      <c r="C21" s="2673" t="s">
        <v>2397</v>
      </c>
      <c r="D21" s="2674" t="s">
        <v>2398</v>
      </c>
      <c r="E21" s="2675" t="s">
        <v>2399</v>
      </c>
      <c r="F21" s="2671"/>
      <c r="G21" s="2643"/>
      <c r="H21" s="2599"/>
      <c r="I21" s="2600"/>
      <c r="J21" s="3421"/>
      <c r="K21" s="3423"/>
      <c r="L21" s="2634" t="s">
        <v>2400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2401</v>
      </c>
      <c r="D22" s="2678" t="s">
        <v>2402</v>
      </c>
      <c r="E22" s="2679" t="s">
        <v>2403</v>
      </c>
      <c r="F22" s="2671"/>
      <c r="G22" s="2592"/>
      <c r="H22" s="2599"/>
      <c r="I22" s="2600"/>
      <c r="J22" s="3421"/>
      <c r="K22" s="3423"/>
      <c r="L22" s="2634" t="s">
        <v>2404</v>
      </c>
      <c r="M22" s="2635"/>
      <c r="N22" s="2635"/>
      <c r="O22" s="2636"/>
      <c r="P22" s="2637">
        <v>365</v>
      </c>
      <c r="Q22" s="2611"/>
      <c r="R22" s="2676">
        <f>ROUND(M22*N22*O22*P22/10000,0)</f>
        <v>0</v>
      </c>
      <c r="S22" s="2592"/>
      <c r="T22" s="2592"/>
      <c r="U22" s="2592"/>
      <c r="V22" s="2600"/>
    </row>
    <row r="23" spans="1:22" s="2604" customFormat="1" ht="13.15" customHeight="1">
      <c r="A23" s="2680">
        <v>1</v>
      </c>
      <c r="B23" s="2681" t="s">
        <v>2405</v>
      </c>
      <c r="C23" s="2682">
        <f>D6</f>
        <v>0</v>
      </c>
      <c r="D23" s="2683">
        <f>C23*(1+D24)</f>
        <v>0</v>
      </c>
      <c r="E23" s="2684">
        <f>D23*(1+E24)</f>
        <v>0</v>
      </c>
      <c r="F23" s="2685"/>
      <c r="G23" s="2686"/>
      <c r="H23" s="2599"/>
      <c r="I23" s="2600"/>
      <c r="J23" s="3421"/>
      <c r="K23" s="3423"/>
      <c r="L23" s="2634" t="s">
        <v>2406</v>
      </c>
      <c r="M23" s="2635"/>
      <c r="N23" s="2635"/>
      <c r="O23" s="2636"/>
      <c r="P23" s="2637">
        <v>365</v>
      </c>
      <c r="Q23" s="2611"/>
      <c r="R23" s="2676">
        <f>ROUND(M23*N23*O23*P23/10000,0)</f>
        <v>0</v>
      </c>
      <c r="S23" s="2592"/>
      <c r="T23" s="2592"/>
      <c r="U23" s="2592"/>
      <c r="V23" s="2600"/>
    </row>
    <row r="24" spans="1:22" s="2604" customFormat="1" ht="13.15" customHeight="1">
      <c r="A24" s="2687"/>
      <c r="B24" s="2688" t="s">
        <v>2407</v>
      </c>
      <c r="C24" s="2689"/>
      <c r="D24" s="2690"/>
      <c r="E24" s="2691"/>
      <c r="F24" s="2692"/>
      <c r="G24" s="2686"/>
      <c r="H24" s="2599"/>
      <c r="I24" s="2600"/>
      <c r="J24" s="3421"/>
      <c r="K24" s="3424"/>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15" customHeight="1">
      <c r="A26" s="2680">
        <v>2</v>
      </c>
      <c r="B26" s="2681" t="s">
        <v>2409</v>
      </c>
      <c r="C26" s="2682">
        <f>D7</f>
        <v>0</v>
      </c>
      <c r="D26" s="2683">
        <f>D23*D27</f>
        <v>0</v>
      </c>
      <c r="E26" s="2684">
        <f>E23*E27</f>
        <v>0</v>
      </c>
      <c r="F26" s="2685"/>
      <c r="G26" s="2686"/>
      <c r="H26" s="2599"/>
      <c r="I26" s="2600"/>
      <c r="J26" s="3425">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15" customHeight="1">
      <c r="A27" s="2687"/>
      <c r="B27" s="2688" t="s">
        <v>2415</v>
      </c>
      <c r="C27" s="2705" t="e">
        <f>E7</f>
        <v>#DIV/0!</v>
      </c>
      <c r="D27" s="2690"/>
      <c r="E27" s="2691"/>
      <c r="F27" s="2692"/>
      <c r="G27" s="2686"/>
      <c r="H27" s="2706"/>
      <c r="I27" s="2698"/>
      <c r="J27" s="342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15"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15" customHeight="1">
      <c r="A32" s="2680">
        <v>4</v>
      </c>
      <c r="B32" s="2681" t="s">
        <v>2423</v>
      </c>
      <c r="C32" s="2682">
        <f>C23-C26-C29</f>
        <v>0</v>
      </c>
      <c r="D32" s="2683">
        <f>D23-D26-D29</f>
        <v>0</v>
      </c>
      <c r="E32" s="2684">
        <f>E23-E26-E29</f>
        <v>0</v>
      </c>
      <c r="F32" s="2685"/>
      <c r="G32" s="2592"/>
      <c r="H32" s="2599"/>
      <c r="I32" s="2600"/>
      <c r="J32" s="3427" t="s">
        <v>2315</v>
      </c>
      <c r="K32" s="3428"/>
      <c r="L32" s="2601" t="s">
        <v>2316</v>
      </c>
      <c r="M32" s="2601" t="s">
        <v>2317</v>
      </c>
      <c r="N32" s="2601" t="s">
        <v>2318</v>
      </c>
      <c r="O32" s="2601" t="s">
        <v>2319</v>
      </c>
      <c r="P32" s="2601" t="s">
        <v>2320</v>
      </c>
      <c r="Q32" s="2602" t="s">
        <v>2321</v>
      </c>
      <c r="R32" s="2721" t="s">
        <v>2322</v>
      </c>
      <c r="S32" s="2592"/>
      <c r="T32" s="2592"/>
      <c r="U32" s="2592"/>
      <c r="V32" s="2698"/>
    </row>
    <row r="33" spans="1:23" s="2604" customFormat="1" ht="13.15" customHeight="1">
      <c r="A33" s="2680"/>
      <c r="B33" s="2681"/>
      <c r="C33" s="2682"/>
      <c r="D33" s="2722"/>
      <c r="E33" s="2723"/>
      <c r="F33" s="2685"/>
      <c r="G33" s="2592"/>
      <c r="H33" s="2706"/>
      <c r="I33" s="2698"/>
      <c r="J33" s="3429" t="s">
        <v>2325</v>
      </c>
      <c r="K33" s="3430"/>
      <c r="L33" s="2607"/>
      <c r="M33" s="2607"/>
      <c r="N33" s="2607"/>
      <c r="O33" s="2607"/>
      <c r="P33" s="2607"/>
      <c r="Q33" s="2608"/>
      <c r="R33" s="2724">
        <f>SUM(L33:Q33)</f>
        <v>0</v>
      </c>
      <c r="S33" s="2592"/>
      <c r="T33" s="2592"/>
      <c r="U33" s="2592"/>
      <c r="V33" s="2600"/>
    </row>
    <row r="34" spans="1:23" s="2604" customFormat="1" ht="13.15" customHeight="1">
      <c r="A34" s="2680">
        <v>5</v>
      </c>
      <c r="B34" s="2681" t="s">
        <v>2424</v>
      </c>
      <c r="C34" s="2725"/>
      <c r="D34" s="2726"/>
      <c r="E34" s="2727"/>
      <c r="F34" s="2685"/>
      <c r="G34" s="2592"/>
      <c r="H34" s="2706"/>
      <c r="I34" s="2698"/>
      <c r="J34" s="3429" t="s">
        <v>2327</v>
      </c>
      <c r="K34" s="343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15" customHeight="1" thickBot="1">
      <c r="A36" s="2680">
        <v>7</v>
      </c>
      <c r="B36" s="2734" t="s">
        <v>2426</v>
      </c>
      <c r="C36" s="2735"/>
      <c r="D36" s="2736"/>
      <c r="E36" s="2737"/>
      <c r="F36" s="2738">
        <f>C36+D36+E36</f>
        <v>0</v>
      </c>
      <c r="G36" s="2592"/>
      <c r="H36" s="2599"/>
      <c r="I36" s="2600"/>
      <c r="J36" s="3421">
        <v>1</v>
      </c>
      <c r="K36" s="3422" t="s">
        <v>2427</v>
      </c>
      <c r="L36" s="2625"/>
      <c r="M36" s="2626"/>
      <c r="N36" s="2626"/>
      <c r="O36" s="2626"/>
      <c r="P36" s="2626"/>
      <c r="Q36" s="2626"/>
      <c r="R36" s="2609" t="s">
        <v>2339</v>
      </c>
      <c r="S36" s="2592"/>
      <c r="T36" s="2592" t="s">
        <v>2340</v>
      </c>
      <c r="U36" s="2592"/>
      <c r="V36" s="2600"/>
    </row>
    <row r="37" spans="1:23" s="2604" customFormat="1" ht="13.15" customHeight="1">
      <c r="A37" s="2680"/>
      <c r="B37" s="2681"/>
      <c r="C37" s="2681"/>
      <c r="D37" s="2681"/>
      <c r="E37" s="2681"/>
      <c r="F37" s="2685"/>
      <c r="G37" s="2592"/>
      <c r="H37" s="2599"/>
      <c r="I37" s="2600"/>
      <c r="J37" s="3421"/>
      <c r="K37" s="3423"/>
      <c r="L37" s="2634"/>
      <c r="M37" s="2635"/>
      <c r="N37" s="2611"/>
      <c r="O37" s="2636"/>
      <c r="P37" s="2636"/>
      <c r="Q37" s="2637"/>
      <c r="R37" s="2638"/>
      <c r="S37" s="2592"/>
      <c r="T37" s="2592" t="s">
        <v>2343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1"/>
      <c r="K38" s="3423"/>
      <c r="L38" s="2634"/>
      <c r="M38" s="2635"/>
      <c r="N38" s="2611"/>
      <c r="O38" s="2636"/>
      <c r="P38" s="2636"/>
      <c r="Q38" s="2637"/>
      <c r="R38" s="2638"/>
      <c r="S38" s="2592"/>
      <c r="T38" s="2592" t="s">
        <v>2350</v>
      </c>
      <c r="U38" s="2592"/>
      <c r="V38" s="2600"/>
    </row>
    <row r="39" spans="1:23" s="2604" customFormat="1" ht="13.15" customHeight="1">
      <c r="A39" s="2680">
        <v>9</v>
      </c>
      <c r="B39" s="2681" t="s">
        <v>2428</v>
      </c>
      <c r="C39" s="2648" t="e">
        <f>C38</f>
        <v>#DIV/0!</v>
      </c>
      <c r="D39" s="2681">
        <f>D38/(1+D34)^C36</f>
        <v>0</v>
      </c>
      <c r="E39" s="2681">
        <f>E38/(1+E34)^(C36+D36)</f>
        <v>0</v>
      </c>
      <c r="F39" s="2685"/>
      <c r="G39" s="2600"/>
      <c r="H39" s="2599"/>
      <c r="I39" s="2600"/>
      <c r="J39" s="3421"/>
      <c r="K39" s="3423"/>
      <c r="L39" s="2634"/>
      <c r="M39" s="2635"/>
      <c r="N39" s="2611"/>
      <c r="O39" s="2636"/>
      <c r="P39" s="2636"/>
      <c r="Q39" s="2637"/>
      <c r="R39" s="2638"/>
      <c r="S39" s="2592"/>
      <c r="T39" s="2592"/>
      <c r="U39" s="2592"/>
      <c r="V39" s="2600"/>
    </row>
    <row r="40" spans="1:23" s="2604" customFormat="1" ht="13.15" customHeight="1">
      <c r="A40" s="2739">
        <v>10</v>
      </c>
      <c r="B40" s="2681" t="s">
        <v>2429</v>
      </c>
      <c r="C40" s="2740" t="e">
        <f>C39+D39+E39</f>
        <v>#DIV/0!</v>
      </c>
      <c r="D40" s="2741"/>
      <c r="E40" s="2741"/>
      <c r="F40" s="2742"/>
      <c r="G40" s="2592"/>
      <c r="H40" s="2599"/>
      <c r="I40" s="2600"/>
      <c r="J40" s="3421"/>
      <c r="K40" s="3424"/>
      <c r="L40" s="2654" t="s">
        <v>2368</v>
      </c>
      <c r="M40" s="2655"/>
      <c r="N40" s="2655"/>
      <c r="O40" s="2656"/>
      <c r="P40" s="2656"/>
      <c r="Q40" s="2657"/>
      <c r="R40" s="2603">
        <f>SUM(R37:R39)</f>
        <v>0</v>
      </c>
      <c r="S40" s="2592"/>
      <c r="T40" s="2592"/>
      <c r="U40" s="2592"/>
      <c r="V40" s="2600"/>
    </row>
    <row r="41" spans="1:23" s="2604" customFormat="1" ht="13.15"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5">
        <v>3</v>
      </c>
      <c r="K42" s="2700" t="s">
        <v>2410</v>
      </c>
      <c r="L42" s="2701"/>
      <c r="M42" s="2702"/>
      <c r="N42" s="2703" t="s">
        <v>2411</v>
      </c>
      <c r="O42" s="2703" t="s">
        <v>2412</v>
      </c>
      <c r="P42" s="2704" t="s">
        <v>2413</v>
      </c>
      <c r="Q42" s="2704" t="s">
        <v>2414</v>
      </c>
      <c r="R42" s="2609" t="s">
        <v>2339</v>
      </c>
      <c r="S42" s="2643"/>
      <c r="T42" s="2643"/>
      <c r="U42" s="2592"/>
      <c r="V42" s="2600"/>
    </row>
    <row r="43" spans="1:23" ht="13.15" customHeight="1">
      <c r="A43" s="2604"/>
      <c r="B43" s="2604"/>
      <c r="C43" s="2604"/>
      <c r="D43" s="2604"/>
      <c r="E43" s="2604"/>
      <c r="F43" s="2604"/>
      <c r="I43" s="2587"/>
      <c r="J43" s="342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t="e">
        <f ca="1">SUMIF(B6:B13,"&lt;&gt;#ref!",B6:B13)</f>
        <v>#DIV/0!</v>
      </c>
      <c r="C2" s="1729" t="s">
        <v>1651</v>
      </c>
      <c r="D2" s="1730" t="s">
        <v>1652</v>
      </c>
      <c r="E2" s="2393">
        <f>SUM(E6:E13)</f>
        <v>525.41000000000008</v>
      </c>
      <c r="F2" s="2479"/>
      <c r="G2" s="459"/>
      <c r="H2" s="459"/>
      <c r="I2" s="459"/>
      <c r="J2" s="459"/>
      <c r="K2" s="459"/>
      <c r="L2" s="459"/>
      <c r="M2" s="459"/>
      <c r="N2" s="459"/>
      <c r="O2" s="459"/>
      <c r="P2" s="459"/>
      <c r="Q2" s="459"/>
      <c r="R2" s="459"/>
      <c r="S2" s="459"/>
    </row>
    <row r="3" spans="1:22" ht="15.5">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440" t="s">
        <v>1654</v>
      </c>
      <c r="C5" s="3441"/>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t="e">
        <f ca="1">IF(F6="是",'数据-取费表'!AO6,0)</f>
        <v>#DIV/0!</v>
      </c>
      <c r="C6" s="1729" t="s">
        <v>1651</v>
      </c>
      <c r="D6" s="2479"/>
      <c r="E6" s="2392">
        <f>IF(OR(A6=0,F6="否"),0,'数据-取费表'!K6+'数据-取费表'!S6)</f>
        <v>525.41000000000008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525.41000000000008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46" t="s">
        <v>1670</v>
      </c>
      <c r="W4" s="3446"/>
      <c r="X4" s="1265"/>
      <c r="Y4" s="3470" t="s">
        <v>1672</v>
      </c>
      <c r="Z4" s="3471"/>
      <c r="AA4" s="3457" t="s">
        <v>1668</v>
      </c>
      <c r="AB4" s="3457" t="s">
        <v>1669</v>
      </c>
      <c r="AC4" s="3457" t="s">
        <v>1670</v>
      </c>
    </row>
    <row r="5" spans="1:29">
      <c r="A5" s="348"/>
      <c r="B5" s="349"/>
      <c r="C5" s="3478" t="s">
        <v>1673</v>
      </c>
      <c r="D5" s="3479"/>
      <c r="E5" s="3485" t="s">
        <v>1674</v>
      </c>
      <c r="F5" s="3486"/>
      <c r="G5" s="3478" t="s">
        <v>1675</v>
      </c>
      <c r="H5" s="3479"/>
      <c r="I5" s="3478" t="s">
        <v>1676</v>
      </c>
      <c r="J5" s="3479"/>
      <c r="K5" s="1745"/>
      <c r="L5" s="2486"/>
      <c r="M5" s="2487"/>
      <c r="N5" s="2487"/>
      <c r="O5" s="2487"/>
      <c r="P5" s="3466"/>
      <c r="Q5" s="3467"/>
      <c r="R5" s="3472"/>
      <c r="S5" s="3473"/>
      <c r="T5" s="3472"/>
      <c r="U5" s="3473"/>
      <c r="V5" s="3446"/>
      <c r="W5" s="3446"/>
      <c r="X5" s="1265"/>
      <c r="Y5" s="3472"/>
      <c r="Z5" s="3473"/>
      <c r="AA5" s="3458"/>
      <c r="AB5" s="3458"/>
      <c r="AC5" s="3458"/>
    </row>
    <row r="6" spans="1:29" ht="15" thickBot="1">
      <c r="A6" s="350"/>
      <c r="B6" s="351"/>
      <c r="C6" s="3476" t="s">
        <v>1677</v>
      </c>
      <c r="D6" s="3477"/>
      <c r="E6" s="3483" t="s">
        <v>1677</v>
      </c>
      <c r="F6" s="3484"/>
      <c r="G6" s="3476" t="s">
        <v>1677</v>
      </c>
      <c r="H6" s="3477"/>
      <c r="I6" s="3476" t="s">
        <v>1677</v>
      </c>
      <c r="J6" s="3477"/>
      <c r="K6" s="1745" t="s">
        <v>1678</v>
      </c>
      <c r="L6" s="2486"/>
      <c r="M6" s="2487"/>
      <c r="N6" s="2487"/>
      <c r="O6" s="2487"/>
      <c r="P6" s="3468"/>
      <c r="Q6" s="3469"/>
      <c r="R6" s="3472"/>
      <c r="S6" s="3473"/>
      <c r="T6" s="3474"/>
      <c r="U6" s="3475"/>
      <c r="V6" s="3446"/>
      <c r="W6" s="3446"/>
      <c r="X6" s="1265"/>
      <c r="Y6" s="3474"/>
      <c r="Z6" s="3475"/>
      <c r="AA6" s="3459"/>
      <c r="AB6" s="3459"/>
      <c r="AC6" s="3459"/>
    </row>
    <row r="7" spans="1:29" s="102" customFormat="1" ht="14.5" thickBot="1">
      <c r="A7" s="352" t="s">
        <v>1679</v>
      </c>
      <c r="B7" s="353"/>
      <c r="C7" s="354">
        <f>'数据-取费表'!B2</f>
        <v>46026</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80" t="s">
        <v>1680</v>
      </c>
      <c r="Q7" s="3482"/>
      <c r="R7" s="664" t="s">
        <v>20</v>
      </c>
      <c r="S7" s="665">
        <f t="shared" ref="S7:S15" si="0">F7</f>
        <v>0</v>
      </c>
      <c r="T7" s="664" t="s">
        <v>20</v>
      </c>
      <c r="U7" s="665">
        <f t="shared" ref="U7:U15" si="1">H7</f>
        <v>0</v>
      </c>
      <c r="V7" s="664" t="s">
        <v>20</v>
      </c>
      <c r="W7" s="665">
        <f t="shared" ref="W7:W15" si="2">J7</f>
        <v>0</v>
      </c>
      <c r="X7" s="666"/>
      <c r="Y7" s="3480" t="s">
        <v>1680</v>
      </c>
      <c r="Z7" s="3481"/>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80" t="s">
        <v>1683</v>
      </c>
      <c r="Q8" s="3481"/>
      <c r="R8" s="664" t="s">
        <v>20</v>
      </c>
      <c r="S8" s="665">
        <f t="shared" si="0"/>
        <v>100</v>
      </c>
      <c r="T8" s="664" t="s">
        <v>20</v>
      </c>
      <c r="U8" s="665">
        <f t="shared" si="1"/>
        <v>100</v>
      </c>
      <c r="V8" s="664" t="s">
        <v>20</v>
      </c>
      <c r="W8" s="665">
        <f t="shared" si="2"/>
        <v>100</v>
      </c>
      <c r="X8" s="666"/>
      <c r="Y8" s="3480" t="s">
        <v>1683</v>
      </c>
      <c r="Z8" s="348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56"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56"/>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56"/>
      <c r="Q11" s="530" t="str">
        <f t="shared" si="6"/>
        <v>容积率</v>
      </c>
      <c r="R11" s="664" t="s">
        <v>18</v>
      </c>
      <c r="S11" s="665" t="e">
        <f t="shared" si="0"/>
        <v>#N/A</v>
      </c>
      <c r="T11" s="664" t="s">
        <v>18</v>
      </c>
      <c r="U11" s="665" t="e">
        <f t="shared" si="1"/>
        <v>#N/A</v>
      </c>
      <c r="V11" s="664" t="s">
        <v>18</v>
      </c>
      <c r="W11" s="665" t="e">
        <f t="shared" si="2"/>
        <v>#N/A</v>
      </c>
      <c r="X11" s="666"/>
      <c r="Y11" s="3320"/>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56"/>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56"/>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56"/>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54" t="s">
        <v>1691</v>
      </c>
      <c r="Q15" s="1263" t="str">
        <f t="shared" si="6"/>
        <v>居住社区成熟度</v>
      </c>
      <c r="R15" s="667" t="s">
        <v>18</v>
      </c>
      <c r="S15" s="668">
        <f t="shared" si="0"/>
        <v>100</v>
      </c>
      <c r="T15" s="667" t="s">
        <v>18</v>
      </c>
      <c r="U15" s="668">
        <f t="shared" si="1"/>
        <v>100</v>
      </c>
      <c r="V15" s="667" t="s">
        <v>18</v>
      </c>
      <c r="W15" s="668">
        <f t="shared" si="2"/>
        <v>100</v>
      </c>
      <c r="X15" s="1265"/>
      <c r="Y15" s="344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55"/>
      <c r="Q16" s="1263"/>
      <c r="R16" s="667"/>
      <c r="S16" s="668"/>
      <c r="T16" s="667"/>
      <c r="U16" s="668"/>
      <c r="V16" s="667"/>
      <c r="W16" s="668"/>
      <c r="X16" s="1265"/>
      <c r="Y16" s="344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55"/>
      <c r="Q17" s="1263" t="str">
        <f>B17</f>
        <v>交通便捷度</v>
      </c>
      <c r="R17" s="667" t="s">
        <v>18</v>
      </c>
      <c r="S17" s="668">
        <f>F17</f>
        <v>100</v>
      </c>
      <c r="T17" s="667" t="s">
        <v>18</v>
      </c>
      <c r="U17" s="668">
        <f>H17</f>
        <v>100</v>
      </c>
      <c r="V17" s="667" t="s">
        <v>18</v>
      </c>
      <c r="W17" s="668">
        <f>J17</f>
        <v>100</v>
      </c>
      <c r="X17" s="1265"/>
      <c r="Y17" s="344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55"/>
      <c r="Q18" s="1263"/>
      <c r="R18" s="667"/>
      <c r="S18" s="668"/>
      <c r="T18" s="667"/>
      <c r="U18" s="668"/>
      <c r="V18" s="667"/>
      <c r="W18" s="668"/>
      <c r="X18" s="1265"/>
      <c r="Y18" s="344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55"/>
      <c r="Q19" s="1263" t="str">
        <f>B19</f>
        <v>公共配套设施</v>
      </c>
      <c r="R19" s="667" t="s">
        <v>18</v>
      </c>
      <c r="S19" s="668">
        <f>F19</f>
        <v>100</v>
      </c>
      <c r="T19" s="667" t="s">
        <v>18</v>
      </c>
      <c r="U19" s="668">
        <f>H19</f>
        <v>100</v>
      </c>
      <c r="V19" s="667" t="s">
        <v>18</v>
      </c>
      <c r="W19" s="668">
        <f>J19</f>
        <v>100</v>
      </c>
      <c r="X19" s="1265"/>
      <c r="Y19" s="344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55"/>
      <c r="Q20" s="1263"/>
      <c r="R20" s="667"/>
      <c r="S20" s="668"/>
      <c r="T20" s="667"/>
      <c r="U20" s="668"/>
      <c r="V20" s="667"/>
      <c r="W20" s="668"/>
      <c r="X20" s="1265"/>
      <c r="Y20" s="344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55"/>
      <c r="Q21" s="1263" t="str">
        <f>B21</f>
        <v>基础设施水平</v>
      </c>
      <c r="R21" s="667" t="s">
        <v>14</v>
      </c>
      <c r="S21" s="668">
        <f>F21</f>
        <v>100</v>
      </c>
      <c r="T21" s="667" t="s">
        <v>14</v>
      </c>
      <c r="U21" s="668">
        <f>H21</f>
        <v>100</v>
      </c>
      <c r="V21" s="667" t="s">
        <v>14</v>
      </c>
      <c r="W21" s="668">
        <f>J21</f>
        <v>100</v>
      </c>
      <c r="X21" s="1265"/>
      <c r="Y21" s="344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55"/>
      <c r="Q22" s="1263"/>
      <c r="R22" s="667"/>
      <c r="S22" s="668"/>
      <c r="T22" s="667"/>
      <c r="U22" s="668"/>
      <c r="V22" s="667"/>
      <c r="W22" s="668"/>
      <c r="X22" s="1265"/>
      <c r="Y22" s="344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55"/>
      <c r="Q23" s="1263" t="str">
        <f>B23</f>
        <v>自然及人文环境</v>
      </c>
      <c r="R23" s="667" t="s">
        <v>18</v>
      </c>
      <c r="S23" s="668">
        <f>F23</f>
        <v>100</v>
      </c>
      <c r="T23" s="667" t="s">
        <v>18</v>
      </c>
      <c r="U23" s="668">
        <f>H23</f>
        <v>100</v>
      </c>
      <c r="V23" s="667" t="s">
        <v>18</v>
      </c>
      <c r="W23" s="668">
        <f>J23</f>
        <v>100</v>
      </c>
      <c r="X23" s="1265"/>
      <c r="Y23" s="344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55"/>
      <c r="Q24" s="1263"/>
      <c r="R24" s="667"/>
      <c r="S24" s="668"/>
      <c r="T24" s="667"/>
      <c r="U24" s="668"/>
      <c r="V24" s="667"/>
      <c r="W24" s="668"/>
      <c r="X24" s="1265"/>
      <c r="Y24" s="344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5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55"/>
      <c r="Q26" s="1263" t="str">
        <f t="shared" si="11"/>
        <v>朝向</v>
      </c>
      <c r="R26" s="667" t="s">
        <v>18</v>
      </c>
      <c r="S26" s="668">
        <f t="shared" si="12"/>
        <v>100</v>
      </c>
      <c r="T26" s="667" t="s">
        <v>18</v>
      </c>
      <c r="U26" s="668">
        <f t="shared" si="13"/>
        <v>100</v>
      </c>
      <c r="V26" s="667" t="s">
        <v>18</v>
      </c>
      <c r="W26" s="668">
        <f t="shared" si="14"/>
        <v>100</v>
      </c>
      <c r="X26" s="1265"/>
      <c r="Y26" s="344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55"/>
      <c r="Q27" s="530">
        <f t="shared" si="11"/>
        <v>111</v>
      </c>
      <c r="R27" s="664" t="s">
        <v>18</v>
      </c>
      <c r="S27" s="665">
        <f t="shared" si="12"/>
        <v>100</v>
      </c>
      <c r="T27" s="664" t="s">
        <v>18</v>
      </c>
      <c r="U27" s="665">
        <f t="shared" si="13"/>
        <v>100</v>
      </c>
      <c r="V27" s="664" t="s">
        <v>18</v>
      </c>
      <c r="W27" s="665">
        <f t="shared" si="14"/>
        <v>100</v>
      </c>
      <c r="X27" s="666"/>
      <c r="Y27" s="344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55"/>
      <c r="Q28" s="1263">
        <f t="shared" si="11"/>
        <v>111</v>
      </c>
      <c r="R28" s="667" t="s">
        <v>18</v>
      </c>
      <c r="S28" s="668">
        <f t="shared" si="12"/>
        <v>100</v>
      </c>
      <c r="T28" s="667" t="s">
        <v>18</v>
      </c>
      <c r="U28" s="668">
        <f t="shared" si="13"/>
        <v>100</v>
      </c>
      <c r="V28" s="667" t="s">
        <v>18</v>
      </c>
      <c r="W28" s="668">
        <f t="shared" si="14"/>
        <v>100</v>
      </c>
      <c r="X28" s="1265"/>
      <c r="Y28" s="344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55"/>
      <c r="Q29" s="1263">
        <f t="shared" si="11"/>
        <v>111</v>
      </c>
      <c r="R29" s="667" t="s">
        <v>18</v>
      </c>
      <c r="S29" s="668">
        <f t="shared" si="12"/>
        <v>100</v>
      </c>
      <c r="T29" s="667" t="s">
        <v>18</v>
      </c>
      <c r="U29" s="668">
        <f t="shared" si="13"/>
        <v>100</v>
      </c>
      <c r="V29" s="667" t="s">
        <v>18</v>
      </c>
      <c r="W29" s="668">
        <f t="shared" si="14"/>
        <v>100</v>
      </c>
      <c r="X29" s="1265"/>
      <c r="Y29" s="344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55"/>
      <c r="Q30" s="1263">
        <f t="shared" si="11"/>
        <v>111</v>
      </c>
      <c r="R30" s="667" t="s">
        <v>18</v>
      </c>
      <c r="S30" s="668">
        <f t="shared" si="12"/>
        <v>100</v>
      </c>
      <c r="T30" s="667" t="s">
        <v>18</v>
      </c>
      <c r="U30" s="668">
        <f t="shared" si="13"/>
        <v>100</v>
      </c>
      <c r="V30" s="667" t="s">
        <v>18</v>
      </c>
      <c r="W30" s="668">
        <f t="shared" si="14"/>
        <v>100</v>
      </c>
      <c r="X30" s="1265"/>
      <c r="Y30" s="344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55"/>
      <c r="Q31" s="1263">
        <f t="shared" si="11"/>
        <v>111</v>
      </c>
      <c r="R31" s="667" t="s">
        <v>18</v>
      </c>
      <c r="S31" s="668">
        <f t="shared" si="12"/>
        <v>100</v>
      </c>
      <c r="T31" s="667" t="s">
        <v>18</v>
      </c>
      <c r="U31" s="668">
        <f t="shared" si="13"/>
        <v>100</v>
      </c>
      <c r="V31" s="667" t="s">
        <v>18</v>
      </c>
      <c r="W31" s="668">
        <f t="shared" si="14"/>
        <v>100</v>
      </c>
      <c r="X31" s="1265"/>
      <c r="Y31" s="344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49" t="s">
        <v>1696</v>
      </c>
      <c r="Q32" s="1263" t="str">
        <f t="shared" si="11"/>
        <v>建筑类型</v>
      </c>
      <c r="R32" s="667" t="s">
        <v>18</v>
      </c>
      <c r="S32" s="668">
        <f t="shared" si="12"/>
        <v>100</v>
      </c>
      <c r="T32" s="667" t="s">
        <v>18</v>
      </c>
      <c r="U32" s="668">
        <f t="shared" si="13"/>
        <v>100</v>
      </c>
      <c r="V32" s="667" t="s">
        <v>18</v>
      </c>
      <c r="W32" s="668">
        <f t="shared" si="14"/>
        <v>100</v>
      </c>
      <c r="X32" s="1265"/>
      <c r="Y32" s="345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50"/>
      <c r="Q33" s="531" t="str">
        <f t="shared" si="11"/>
        <v>项目建筑规模</v>
      </c>
      <c r="R33" s="669" t="s">
        <v>18</v>
      </c>
      <c r="S33" s="670" t="e">
        <f t="shared" si="12"/>
        <v>#N/A</v>
      </c>
      <c r="T33" s="669" t="s">
        <v>18</v>
      </c>
      <c r="U33" s="670" t="e">
        <f t="shared" si="13"/>
        <v>#N/A</v>
      </c>
      <c r="V33" s="669" t="s">
        <v>18</v>
      </c>
      <c r="W33" s="670" t="e">
        <f t="shared" si="14"/>
        <v>#N/A</v>
      </c>
      <c r="X33" s="671"/>
      <c r="Y33" s="345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50"/>
      <c r="Q34" s="1263" t="str">
        <f t="shared" si="11"/>
        <v>建筑结构</v>
      </c>
      <c r="R34" s="667" t="s">
        <v>18</v>
      </c>
      <c r="S34" s="668">
        <f t="shared" si="12"/>
        <v>100</v>
      </c>
      <c r="T34" s="667" t="s">
        <v>18</v>
      </c>
      <c r="U34" s="668">
        <f t="shared" si="13"/>
        <v>100</v>
      </c>
      <c r="V34" s="667" t="s">
        <v>18</v>
      </c>
      <c r="W34" s="668">
        <f t="shared" si="14"/>
        <v>100</v>
      </c>
      <c r="X34" s="1265"/>
      <c r="Y34" s="345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50"/>
      <c r="Q35" s="1263" t="str">
        <f t="shared" si="11"/>
        <v>建筑品质</v>
      </c>
      <c r="R35" s="667" t="s">
        <v>18</v>
      </c>
      <c r="S35" s="668">
        <f t="shared" si="12"/>
        <v>100</v>
      </c>
      <c r="T35" s="667" t="s">
        <v>18</v>
      </c>
      <c r="U35" s="668">
        <f t="shared" si="13"/>
        <v>100</v>
      </c>
      <c r="V35" s="667" t="s">
        <v>18</v>
      </c>
      <c r="W35" s="668">
        <f t="shared" si="14"/>
        <v>100</v>
      </c>
      <c r="X35" s="1265"/>
      <c r="Y35" s="345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50"/>
      <c r="Q36" s="1263" t="str">
        <f t="shared" si="11"/>
        <v>公共部分装修</v>
      </c>
      <c r="R36" s="667" t="s">
        <v>18</v>
      </c>
      <c r="S36" s="668">
        <f t="shared" si="12"/>
        <v>100</v>
      </c>
      <c r="T36" s="667" t="s">
        <v>18</v>
      </c>
      <c r="U36" s="668">
        <f t="shared" si="13"/>
        <v>100</v>
      </c>
      <c r="V36" s="667" t="s">
        <v>18</v>
      </c>
      <c r="W36" s="668">
        <f t="shared" si="14"/>
        <v>100</v>
      </c>
      <c r="X36" s="1265"/>
      <c r="Y36" s="345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50"/>
      <c r="Q37" s="530" t="str">
        <f t="shared" si="11"/>
        <v>成新度</v>
      </c>
      <c r="R37" s="664" t="s">
        <v>18</v>
      </c>
      <c r="S37" s="665" t="e">
        <f t="shared" si="12"/>
        <v>#N/A</v>
      </c>
      <c r="T37" s="664" t="s">
        <v>18</v>
      </c>
      <c r="U37" s="665" t="e">
        <f t="shared" si="13"/>
        <v>#N/A</v>
      </c>
      <c r="V37" s="664" t="s">
        <v>18</v>
      </c>
      <c r="W37" s="665" t="e">
        <f t="shared" si="14"/>
        <v>#N/A</v>
      </c>
      <c r="X37" s="666"/>
      <c r="Y37" s="345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50" t="s">
        <v>1696</v>
      </c>
      <c r="Q38" s="1263" t="str">
        <f t="shared" si="11"/>
        <v>物业管理</v>
      </c>
      <c r="R38" s="667" t="s">
        <v>18</v>
      </c>
      <c r="S38" s="668">
        <f t="shared" si="12"/>
        <v>100</v>
      </c>
      <c r="T38" s="667" t="s">
        <v>18</v>
      </c>
      <c r="U38" s="668">
        <f t="shared" si="13"/>
        <v>100</v>
      </c>
      <c r="V38" s="667" t="s">
        <v>18</v>
      </c>
      <c r="W38" s="668">
        <f t="shared" si="14"/>
        <v>100</v>
      </c>
      <c r="X38" s="1265"/>
      <c r="Y38" s="345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50"/>
      <c r="Q39" s="1263" t="str">
        <f t="shared" si="11"/>
        <v>市政基础设施</v>
      </c>
      <c r="R39" s="667" t="s">
        <v>18</v>
      </c>
      <c r="S39" s="668">
        <f t="shared" si="12"/>
        <v>100</v>
      </c>
      <c r="T39" s="667" t="s">
        <v>18</v>
      </c>
      <c r="U39" s="668">
        <f t="shared" si="13"/>
        <v>100</v>
      </c>
      <c r="V39" s="667" t="s">
        <v>18</v>
      </c>
      <c r="W39" s="668">
        <f t="shared" si="14"/>
        <v>100</v>
      </c>
      <c r="X39" s="1265"/>
      <c r="Y39" s="345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50"/>
      <c r="Q40" s="1263" t="str">
        <f t="shared" si="11"/>
        <v>房型</v>
      </c>
      <c r="R40" s="667" t="s">
        <v>18</v>
      </c>
      <c r="S40" s="668">
        <f t="shared" si="12"/>
        <v>100</v>
      </c>
      <c r="T40" s="667" t="s">
        <v>18</v>
      </c>
      <c r="U40" s="668">
        <f t="shared" si="13"/>
        <v>100</v>
      </c>
      <c r="V40" s="667" t="s">
        <v>18</v>
      </c>
      <c r="W40" s="668">
        <f t="shared" si="14"/>
        <v>100</v>
      </c>
      <c r="X40" s="1265"/>
      <c r="Y40" s="345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50"/>
      <c r="Q41" s="531" t="str">
        <f t="shared" si="11"/>
        <v>单套/主力户型建筑面积</v>
      </c>
      <c r="R41" s="669" t="s">
        <v>18</v>
      </c>
      <c r="S41" s="670">
        <f t="shared" si="12"/>
        <v>100</v>
      </c>
      <c r="T41" s="669" t="s">
        <v>18</v>
      </c>
      <c r="U41" s="670">
        <f t="shared" si="13"/>
        <v>100</v>
      </c>
      <c r="V41" s="669" t="s">
        <v>18</v>
      </c>
      <c r="W41" s="670">
        <f t="shared" si="14"/>
        <v>100</v>
      </c>
      <c r="X41" s="671"/>
      <c r="Y41" s="345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50"/>
      <c r="Q42" s="1263" t="str">
        <f t="shared" si="11"/>
        <v>内部装修</v>
      </c>
      <c r="R42" s="667" t="s">
        <v>18</v>
      </c>
      <c r="S42" s="668">
        <f t="shared" si="12"/>
        <v>100</v>
      </c>
      <c r="T42" s="667" t="s">
        <v>18</v>
      </c>
      <c r="U42" s="668">
        <f t="shared" si="13"/>
        <v>100</v>
      </c>
      <c r="V42" s="667" t="s">
        <v>18</v>
      </c>
      <c r="W42" s="668">
        <f t="shared" si="14"/>
        <v>100</v>
      </c>
      <c r="X42" s="1265"/>
      <c r="Y42" s="345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50"/>
      <c r="Q43" s="1263" t="str">
        <f t="shared" si="11"/>
        <v>内部装修维护情况</v>
      </c>
      <c r="R43" s="667" t="s">
        <v>18</v>
      </c>
      <c r="S43" s="668">
        <f t="shared" si="12"/>
        <v>100</v>
      </c>
      <c r="T43" s="667" t="s">
        <v>18</v>
      </c>
      <c r="U43" s="668">
        <f t="shared" si="13"/>
        <v>100</v>
      </c>
      <c r="V43" s="667" t="s">
        <v>18</v>
      </c>
      <c r="W43" s="668">
        <f t="shared" si="14"/>
        <v>100</v>
      </c>
      <c r="X43" s="1265"/>
      <c r="Y43" s="345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50"/>
      <c r="Q44" s="530">
        <f t="shared" si="11"/>
        <v>111</v>
      </c>
      <c r="R44" s="664" t="s">
        <v>18</v>
      </c>
      <c r="S44" s="665">
        <f t="shared" si="12"/>
        <v>100</v>
      </c>
      <c r="T44" s="664" t="s">
        <v>18</v>
      </c>
      <c r="U44" s="665">
        <f t="shared" si="13"/>
        <v>100</v>
      </c>
      <c r="V44" s="664" t="s">
        <v>18</v>
      </c>
      <c r="W44" s="665">
        <f t="shared" si="14"/>
        <v>100</v>
      </c>
      <c r="X44" s="666"/>
      <c r="Y44" s="345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50"/>
      <c r="Q45" s="1263">
        <f t="shared" si="11"/>
        <v>111</v>
      </c>
      <c r="R45" s="667" t="s">
        <v>18</v>
      </c>
      <c r="S45" s="668">
        <f t="shared" si="12"/>
        <v>100</v>
      </c>
      <c r="T45" s="667" t="s">
        <v>18</v>
      </c>
      <c r="U45" s="668">
        <f t="shared" si="13"/>
        <v>100</v>
      </c>
      <c r="V45" s="667" t="s">
        <v>18</v>
      </c>
      <c r="W45" s="668">
        <f t="shared" si="14"/>
        <v>100</v>
      </c>
      <c r="X45" s="1265"/>
      <c r="Y45" s="345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51"/>
      <c r="Q46" s="1263">
        <f t="shared" si="11"/>
        <v>111</v>
      </c>
      <c r="R46" s="667" t="s">
        <v>17</v>
      </c>
      <c r="S46" s="668">
        <f t="shared" si="12"/>
        <v>100</v>
      </c>
      <c r="T46" s="667" t="s">
        <v>17</v>
      </c>
      <c r="U46" s="668">
        <f t="shared" si="13"/>
        <v>100</v>
      </c>
      <c r="V46" s="667" t="s">
        <v>17</v>
      </c>
      <c r="W46" s="668">
        <f t="shared" si="14"/>
        <v>100</v>
      </c>
      <c r="X46" s="1265"/>
      <c r="Y46" s="345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445" t="str">
        <f>A47</f>
        <v>成交单价（元/平方米）</v>
      </c>
      <c r="Q47" s="3445"/>
      <c r="R47" s="3446">
        <f>E47</f>
        <v>0</v>
      </c>
      <c r="S47" s="3446"/>
      <c r="T47" s="3446">
        <f>G47</f>
        <v>0</v>
      </c>
      <c r="U47" s="3446"/>
      <c r="V47" s="3446">
        <f>I47</f>
        <v>0</v>
      </c>
      <c r="W47" s="3446"/>
      <c r="X47" s="385"/>
      <c r="Y47" s="673"/>
      <c r="Z47" s="385"/>
      <c r="AA47" s="385"/>
      <c r="AB47" s="385"/>
      <c r="AC47" s="385"/>
    </row>
    <row r="48" spans="1:29" ht="14.5" thickBot="1">
      <c r="A48" s="423" t="s">
        <v>1709</v>
      </c>
      <c r="B48" s="424"/>
      <c r="C48" s="1082" t="e">
        <f>R49</f>
        <v>#DIV/0!</v>
      </c>
      <c r="D48" s="2141" t="s">
        <v>2136</v>
      </c>
      <c r="E48" s="1083" t="e">
        <f>R48</f>
        <v>#DIV/0!</v>
      </c>
      <c r="F48" s="2142"/>
      <c r="G48" s="1082" t="e">
        <f>T48</f>
        <v>#DIV/0!</v>
      </c>
      <c r="H48" s="2142"/>
      <c r="I48" s="1083" t="e">
        <f>V48</f>
        <v>#DIV/0!</v>
      </c>
      <c r="J48" s="2142"/>
      <c r="K48" s="2143">
        <f>F48+H48+J48</f>
        <v>0</v>
      </c>
      <c r="L48" s="2494"/>
      <c r="M48" s="2487"/>
      <c r="N48" s="2487"/>
      <c r="O48" s="2487"/>
      <c r="P48" s="3445" t="str">
        <f>A48</f>
        <v>比较价值（元/平方米）</v>
      </c>
      <c r="Q48" s="3445"/>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2026-1</v>
      </c>
      <c r="D58" s="1104">
        <f>EDATE(C58,-1)</f>
        <v>45992</v>
      </c>
      <c r="E58" s="1104">
        <f>EDATE(D58,-1)</f>
        <v>45962</v>
      </c>
      <c r="F58" s="1104">
        <f t="shared" ref="F58:O58" si="19">EDATE(E58,-1)</f>
        <v>45931</v>
      </c>
      <c r="G58" s="1104">
        <f t="shared" si="19"/>
        <v>45901</v>
      </c>
      <c r="H58" s="1104">
        <f t="shared" si="19"/>
        <v>45870</v>
      </c>
      <c r="I58" s="1104">
        <f t="shared" si="19"/>
        <v>45839</v>
      </c>
      <c r="J58" s="1104">
        <f t="shared" si="19"/>
        <v>45809</v>
      </c>
      <c r="K58" s="1104">
        <f t="shared" si="19"/>
        <v>45778</v>
      </c>
      <c r="L58" s="1104">
        <f t="shared" si="19"/>
        <v>45748</v>
      </c>
      <c r="M58" s="1104">
        <f t="shared" si="19"/>
        <v>45717</v>
      </c>
      <c r="N58" s="1104">
        <f t="shared" si="19"/>
        <v>45689</v>
      </c>
      <c r="O58" s="1104">
        <f t="shared" si="19"/>
        <v>45658</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0" zoomScale="60" zoomScaleNormal="70" workbookViewId="0">
      <selection activeCell="Q57" sqref="Q57"/>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24" t="s">
        <v>3461</v>
      </c>
      <c r="F1" s="1735" t="s">
        <v>3462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0.46760000000000002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8.9</v>
      </c>
      <c r="C3" s="344" t="s">
        <v>1768</v>
      </c>
      <c r="D3" s="343">
        <f>IF(D1="",'数据-汇总表'!E3,SUMIF('数据-汇总表'!$C19:$C33,D1,'数据-汇总表'!$E19:$E33))</f>
        <v>525.41000000000008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60" t="s">
        <v>1770</v>
      </c>
      <c r="D4" s="3461"/>
      <c r="E4" s="3462" t="s">
        <v>1771</v>
      </c>
      <c r="F4" s="3463"/>
      <c r="G4" s="3460" t="s">
        <v>1772</v>
      </c>
      <c r="H4" s="3461"/>
      <c r="I4" s="3460" t="s">
        <v>1773</v>
      </c>
      <c r="J4" s="3461"/>
      <c r="K4" s="537" t="s">
        <v>1774</v>
      </c>
      <c r="L4" s="2486"/>
      <c r="M4" s="2487"/>
      <c r="N4" s="2487"/>
      <c r="O4" s="2487"/>
      <c r="P4" s="3464" t="s">
        <v>1775</v>
      </c>
      <c r="Q4" s="3465"/>
      <c r="R4" s="3470" t="s">
        <v>1771</v>
      </c>
      <c r="S4" s="3471"/>
      <c r="T4" s="3470" t="s">
        <v>1772</v>
      </c>
      <c r="U4" s="3471"/>
      <c r="V4" s="3446" t="s">
        <v>1773</v>
      </c>
      <c r="W4" s="3446"/>
      <c r="X4" s="1265"/>
      <c r="Y4" s="3470" t="s">
        <v>1775</v>
      </c>
      <c r="Z4" s="3471"/>
      <c r="AA4" s="3457" t="s">
        <v>1771</v>
      </c>
      <c r="AB4" s="3446" t="s">
        <v>1772</v>
      </c>
      <c r="AC4" s="3457" t="s">
        <v>1773</v>
      </c>
    </row>
    <row r="5" spans="1:29">
      <c r="A5" s="348"/>
      <c r="B5" s="349"/>
      <c r="C5" s="3487" t="s">
        <v>3463</v>
      </c>
      <c r="D5" s="3479"/>
      <c r="E5" s="3485" t="str">
        <f>租金案例!P21</f>
        <v>华业玫瑰东方</v>
      </c>
      <c r="F5" s="3486"/>
      <c r="G5" s="3478" t="str">
        <f>租金案例!P54</f>
        <v>天鹅湾南区</v>
      </c>
      <c r="H5" s="3479"/>
      <c r="I5" s="3478" t="str">
        <f>租金案例!P91</f>
        <v>爱这城三期</v>
      </c>
      <c r="J5" s="3479"/>
      <c r="K5" s="537"/>
      <c r="L5" s="2486"/>
      <c r="M5" s="2487"/>
      <c r="N5" s="2487"/>
      <c r="O5" s="2487"/>
      <c r="P5" s="3466"/>
      <c r="Q5" s="3467"/>
      <c r="R5" s="3472"/>
      <c r="S5" s="3473"/>
      <c r="T5" s="3472"/>
      <c r="U5" s="3473"/>
      <c r="V5" s="3446"/>
      <c r="W5" s="3446"/>
      <c r="X5" s="1265"/>
      <c r="Y5" s="3472"/>
      <c r="Z5" s="3473"/>
      <c r="AA5" s="3458"/>
      <c r="AB5" s="3446"/>
      <c r="AC5" s="3458"/>
    </row>
    <row r="6" spans="1:29" ht="15" thickBot="1">
      <c r="A6" s="350"/>
      <c r="B6" s="351"/>
      <c r="C6" s="3476" t="s">
        <v>1677</v>
      </c>
      <c r="D6" s="3477"/>
      <c r="E6" s="3488" t="s">
        <v>3464</v>
      </c>
      <c r="F6" s="3484"/>
      <c r="G6" s="3476" t="s">
        <v>1677</v>
      </c>
      <c r="H6" s="3477"/>
      <c r="I6" s="3476" t="s">
        <v>1677</v>
      </c>
      <c r="J6" s="3477"/>
      <c r="K6" s="537" t="s">
        <v>1678</v>
      </c>
      <c r="L6" s="2486"/>
      <c r="M6" s="2487"/>
      <c r="N6" s="2487"/>
      <c r="O6" s="2487"/>
      <c r="P6" s="3468"/>
      <c r="Q6" s="3469"/>
      <c r="R6" s="3472"/>
      <c r="S6" s="3473"/>
      <c r="T6" s="3474"/>
      <c r="U6" s="3475"/>
      <c r="V6" s="3446"/>
      <c r="W6" s="3446"/>
      <c r="X6" s="1265"/>
      <c r="Y6" s="3474"/>
      <c r="Z6" s="3475"/>
      <c r="AA6" s="3459"/>
      <c r="AB6" s="3446"/>
      <c r="AC6" s="3459"/>
    </row>
    <row r="7" spans="1:29" s="102" customFormat="1" ht="14.5" thickBot="1">
      <c r="A7" s="352" t="s">
        <v>1679</v>
      </c>
      <c r="B7" s="353"/>
      <c r="C7" s="354">
        <f>'数据-取费表'!B2</f>
        <v>46026</v>
      </c>
      <c r="D7" s="355">
        <v>100</v>
      </c>
      <c r="E7" s="356">
        <f>C7</f>
        <v>46026</v>
      </c>
      <c r="F7" s="357">
        <f>SUMIF(58:58,YEAR(E7)&amp;"-"&amp;MONTH(E7),59:59)</f>
        <v>100</v>
      </c>
      <c r="G7" s="356">
        <f>C7</f>
        <v>46026</v>
      </c>
      <c r="H7" s="355">
        <f>SUMIF(58:58,YEAR(G7)&amp;"-"&amp;MONTH(G7),59:59)</f>
        <v>100</v>
      </c>
      <c r="I7" s="356">
        <f>C7</f>
        <v>46026</v>
      </c>
      <c r="J7" s="355">
        <f>SUMIF(58:58,YEAR(I7)&amp;"-"&amp;MONTH(I7),59:59)</f>
        <v>100</v>
      </c>
      <c r="K7" s="38"/>
      <c r="L7" s="2488"/>
      <c r="M7" s="2440"/>
      <c r="N7" s="2440"/>
      <c r="O7" s="2440"/>
      <c r="P7" s="3480" t="s">
        <v>1680</v>
      </c>
      <c r="Q7" s="3482"/>
      <c r="R7" s="664" t="s">
        <v>14</v>
      </c>
      <c r="S7" s="665">
        <f t="shared" ref="S7:S15" si="0">F7</f>
        <v>100</v>
      </c>
      <c r="T7" s="664" t="s">
        <v>14</v>
      </c>
      <c r="U7" s="665">
        <f t="shared" ref="U7:U15" si="1">H7</f>
        <v>100</v>
      </c>
      <c r="V7" s="664" t="s">
        <v>14</v>
      </c>
      <c r="W7" s="665">
        <f t="shared" ref="W7:W15" si="2">J7</f>
        <v>100</v>
      </c>
      <c r="X7" s="666"/>
      <c r="Y7" s="3480" t="s">
        <v>1680</v>
      </c>
      <c r="Z7" s="3481"/>
      <c r="AA7" s="50">
        <f>D7/F7</f>
        <v>1</v>
      </c>
      <c r="AB7" s="50">
        <f>D7/H7</f>
        <v>1</v>
      </c>
      <c r="AC7" s="50">
        <f>D7/J7</f>
        <v>1</v>
      </c>
    </row>
    <row r="8" spans="1:29" s="102" customFormat="1" ht="14.5" thickBot="1">
      <c r="A8" s="352" t="s">
        <v>1681</v>
      </c>
      <c r="B8" s="353"/>
      <c r="C8" s="358" t="s">
        <v>3465</v>
      </c>
      <c r="D8" s="355">
        <v>100</v>
      </c>
      <c r="E8" s="358" t="s">
        <v>3467</v>
      </c>
      <c r="F8" s="357">
        <f>SUMIF(61:61,E8,62:62)-SUMIF(61:61,C8,62:62)+100</f>
        <v>110</v>
      </c>
      <c r="G8" s="358" t="s">
        <v>3467</v>
      </c>
      <c r="H8" s="355">
        <f>SUMIF(61:61,G8,62:62)-SUMIF(61:61,C8,62:62)+100</f>
        <v>110</v>
      </c>
      <c r="I8" s="358" t="s">
        <v>3467</v>
      </c>
      <c r="J8" s="355">
        <f>SUMIF(61:61,I8,62:62)-SUMIF(61:61,C8,62:62)+100</f>
        <v>110</v>
      </c>
      <c r="K8" s="38"/>
      <c r="L8" s="2488"/>
      <c r="M8" s="2440"/>
      <c r="N8" s="2440"/>
      <c r="O8" s="2440"/>
      <c r="P8" s="3480" t="s">
        <v>1683</v>
      </c>
      <c r="Q8" s="3481"/>
      <c r="R8" s="664" t="s">
        <v>14</v>
      </c>
      <c r="S8" s="665">
        <f t="shared" si="0"/>
        <v>110</v>
      </c>
      <c r="T8" s="664" t="s">
        <v>14</v>
      </c>
      <c r="U8" s="665">
        <f t="shared" si="1"/>
        <v>110</v>
      </c>
      <c r="V8" s="664" t="s">
        <v>14</v>
      </c>
      <c r="W8" s="665">
        <f t="shared" si="2"/>
        <v>110</v>
      </c>
      <c r="X8" s="666"/>
      <c r="Y8" s="3480" t="s">
        <v>1683</v>
      </c>
      <c r="Z8" s="3481"/>
      <c r="AA8" s="50">
        <f t="shared" ref="AA8:AA46" si="3">D8/F8</f>
        <v>0.90909090909090906</v>
      </c>
      <c r="AB8" s="50">
        <f t="shared" ref="AB8:AB46" si="4">D8/H8</f>
        <v>0.90909090909090906</v>
      </c>
      <c r="AC8" s="50">
        <f t="shared" ref="AC8:AC46" si="5">D8/J8</f>
        <v>0.90909090909090906</v>
      </c>
    </row>
    <row r="9" spans="1:29" s="102" customFormat="1">
      <c r="A9" s="359" t="s">
        <v>1684</v>
      </c>
      <c r="B9" s="60" t="s">
        <v>1685</v>
      </c>
      <c r="C9" s="3172" t="s">
        <v>3466</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456"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56"/>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56"/>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5">
      <c r="A12" s="370"/>
      <c r="B12" s="447">
        <v>111</v>
      </c>
      <c r="C12" s="371"/>
      <c r="D12" s="372">
        <v>100</v>
      </c>
      <c r="E12" s="411">
        <f>ROUND(1-(1-0)*(2025-E14)/60,2)</f>
        <v>0.68</v>
      </c>
      <c r="F12" s="364">
        <f>SUMIF(70:70,E12,71:71)-SUMIF(70:70,C12,71:71)+100</f>
        <v>100</v>
      </c>
      <c r="G12" s="411">
        <f>ROUND(1-(1-0)*(2025-G14)/60,2)</f>
        <v>0.7</v>
      </c>
      <c r="H12" s="119">
        <f>SUMIF(70:70,G12,71:71)-SUMIF(70:70,C12,71:71)+100</f>
        <v>100</v>
      </c>
      <c r="I12" s="411">
        <f>ROUND(1-(1-0)*(2025-I14)/60,2)</f>
        <v>0.73</v>
      </c>
      <c r="J12" s="119">
        <f>SUMIF(70:70,I12,71:71)-SUMIF(70:70,C12,71:71)+100</f>
        <v>100</v>
      </c>
      <c r="K12" s="539"/>
      <c r="L12" s="2488"/>
      <c r="M12" s="2440"/>
      <c r="N12" s="2440"/>
      <c r="O12" s="2440"/>
      <c r="P12" s="3456"/>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5">
      <c r="A13" s="367"/>
      <c r="B13" s="447">
        <v>111</v>
      </c>
      <c r="C13" s="373"/>
      <c r="D13" s="374">
        <v>100</v>
      </c>
      <c r="E13" s="3185" t="s">
        <v>3508</v>
      </c>
      <c r="F13" s="364">
        <f>SUMIF(72:72,E13,73:73)-SUMIF(72:72,C13,73:73)+100</f>
        <v>100</v>
      </c>
      <c r="G13" s="3185" t="s">
        <v>3507</v>
      </c>
      <c r="H13" s="374">
        <f>SUMIF(72:72,G13,73:73)-SUMIF(72:72,C13,73:73)+100</f>
        <v>100</v>
      </c>
      <c r="I13" s="3185" t="s">
        <v>3508</v>
      </c>
      <c r="J13" s="374">
        <f>SUMIF(72:72,I13,73:73)-SUMIF(72:72,C13,73:73)+100</f>
        <v>100</v>
      </c>
      <c r="K13" s="539"/>
      <c r="L13" s="2492"/>
      <c r="M13" s="2487"/>
      <c r="N13" s="2487"/>
      <c r="O13" s="2487"/>
      <c r="P13" s="3456"/>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6" thickBot="1">
      <c r="A14" s="375"/>
      <c r="B14" s="1749">
        <v>111</v>
      </c>
      <c r="C14" s="376"/>
      <c r="D14" s="377">
        <v>100</v>
      </c>
      <c r="E14" s="373">
        <v>2006</v>
      </c>
      <c r="F14" s="378">
        <f>SUMIF(74:74,E14,75:75)-SUMIF(74:74,C14,75:75)+100</f>
        <v>100</v>
      </c>
      <c r="G14" s="373">
        <v>2007</v>
      </c>
      <c r="H14" s="377">
        <f>SUMIF(74:74,G14,75:75)-SUMIF(74:74,C14,75:75)+100</f>
        <v>100</v>
      </c>
      <c r="I14" s="373">
        <v>2009</v>
      </c>
      <c r="J14" s="377">
        <f>SUMIF(74:74,I14,75:75)-SUMIF(74:74,C14,75:75)+100</f>
        <v>100</v>
      </c>
      <c r="K14" s="539"/>
      <c r="L14" s="2492"/>
      <c r="M14" s="2487"/>
      <c r="N14" s="2487"/>
      <c r="O14" s="2487"/>
      <c r="P14" s="3456"/>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2"/>
      <c r="M15" s="2487"/>
      <c r="N15" s="2487"/>
      <c r="O15" s="2487"/>
      <c r="P15" s="3454" t="s">
        <v>1691</v>
      </c>
      <c r="Q15" s="1263" t="str">
        <f t="shared" si="6"/>
        <v>商业繁华度</v>
      </c>
      <c r="R15" s="667" t="s">
        <v>14</v>
      </c>
      <c r="S15" s="668">
        <f t="shared" si="0"/>
        <v>100</v>
      </c>
      <c r="T15" s="667" t="s">
        <v>14</v>
      </c>
      <c r="U15" s="668">
        <f t="shared" si="1"/>
        <v>100</v>
      </c>
      <c r="V15" s="667" t="s">
        <v>14</v>
      </c>
      <c r="W15" s="668">
        <f t="shared" si="2"/>
        <v>100</v>
      </c>
      <c r="X15" s="1265"/>
      <c r="Y15" s="3447" t="s">
        <v>1691</v>
      </c>
      <c r="Z15" s="1264" t="str">
        <f t="shared" si="7"/>
        <v>商业繁华度</v>
      </c>
      <c r="AA15" s="1264">
        <f t="shared" si="3"/>
        <v>1</v>
      </c>
      <c r="AB15" s="1264">
        <f t="shared" si="4"/>
        <v>1</v>
      </c>
      <c r="AC15" s="1264">
        <f t="shared" si="5"/>
        <v>1</v>
      </c>
    </row>
    <row r="16" spans="1:29" ht="15.5">
      <c r="A16" s="367"/>
      <c r="B16" s="385"/>
      <c r="C16" s="386" t="s">
        <v>3470</v>
      </c>
      <c r="D16" s="387"/>
      <c r="E16" s="386" t="s">
        <v>3470</v>
      </c>
      <c r="F16" s="388"/>
      <c r="G16" s="386" t="s">
        <v>3470</v>
      </c>
      <c r="H16" s="389"/>
      <c r="I16" s="386" t="s">
        <v>3470</v>
      </c>
      <c r="J16" s="387"/>
      <c r="K16" s="541"/>
      <c r="L16" s="2492"/>
      <c r="M16" s="2487"/>
      <c r="N16" s="2487"/>
      <c r="O16" s="2487"/>
      <c r="P16" s="3455"/>
      <c r="Q16" s="1263"/>
      <c r="R16" s="667"/>
      <c r="S16" s="668"/>
      <c r="T16" s="667"/>
      <c r="U16" s="668"/>
      <c r="V16" s="667"/>
      <c r="W16" s="668"/>
      <c r="X16" s="1265"/>
      <c r="Y16" s="344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55"/>
      <c r="Q17" s="1263" t="str">
        <f>B17</f>
        <v>交通便捷度</v>
      </c>
      <c r="R17" s="667" t="s">
        <v>14</v>
      </c>
      <c r="S17" s="668">
        <f>F17</f>
        <v>100</v>
      </c>
      <c r="T17" s="667" t="s">
        <v>14</v>
      </c>
      <c r="U17" s="668">
        <f>H17</f>
        <v>100</v>
      </c>
      <c r="V17" s="667" t="s">
        <v>14</v>
      </c>
      <c r="W17" s="668">
        <f>J17</f>
        <v>100</v>
      </c>
      <c r="X17" s="1265"/>
      <c r="Y17" s="3448"/>
      <c r="Z17" s="1264" t="str">
        <f>Q17</f>
        <v>交通便捷度</v>
      </c>
      <c r="AA17" s="1264">
        <f t="shared" si="3"/>
        <v>1</v>
      </c>
      <c r="AB17" s="1264">
        <f t="shared" si="4"/>
        <v>1</v>
      </c>
      <c r="AC17" s="1264">
        <f t="shared" si="5"/>
        <v>1</v>
      </c>
    </row>
    <row r="18" spans="1:29" ht="15.5">
      <c r="A18" s="367"/>
      <c r="B18" s="395"/>
      <c r="C18" s="386" t="s">
        <v>3470</v>
      </c>
      <c r="D18" s="389"/>
      <c r="E18" s="386" t="s">
        <v>3470</v>
      </c>
      <c r="F18" s="392"/>
      <c r="G18" s="386" t="s">
        <v>3470</v>
      </c>
      <c r="H18" s="387"/>
      <c r="I18" s="386" t="s">
        <v>3470</v>
      </c>
      <c r="J18" s="387"/>
      <c r="K18" s="541"/>
      <c r="L18" s="2492"/>
      <c r="M18" s="2487"/>
      <c r="N18" s="2487"/>
      <c r="O18" s="2487"/>
      <c r="P18" s="3455"/>
      <c r="Q18" s="1263"/>
      <c r="R18" s="667"/>
      <c r="S18" s="668"/>
      <c r="T18" s="667"/>
      <c r="U18" s="668"/>
      <c r="V18" s="667"/>
      <c r="W18" s="668"/>
      <c r="X18" s="1265"/>
      <c r="Y18" s="344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55"/>
      <c r="Q19" s="1263" t="str">
        <f>B19</f>
        <v>公共配套设施</v>
      </c>
      <c r="R19" s="667" t="s">
        <v>14</v>
      </c>
      <c r="S19" s="668">
        <f>F19</f>
        <v>100</v>
      </c>
      <c r="T19" s="667" t="s">
        <v>14</v>
      </c>
      <c r="U19" s="668">
        <f>H19</f>
        <v>100</v>
      </c>
      <c r="V19" s="667" t="s">
        <v>14</v>
      </c>
      <c r="W19" s="668">
        <f>J19</f>
        <v>100</v>
      </c>
      <c r="X19" s="1265"/>
      <c r="Y19" s="3448"/>
      <c r="Z19" s="1264" t="str">
        <f>Q19</f>
        <v>公共配套设施</v>
      </c>
      <c r="AA19" s="1264">
        <f t="shared" si="3"/>
        <v>1</v>
      </c>
      <c r="AB19" s="1264">
        <f t="shared" si="4"/>
        <v>1</v>
      </c>
      <c r="AC19" s="1264">
        <f t="shared" si="5"/>
        <v>1</v>
      </c>
    </row>
    <row r="20" spans="1:29" ht="15.5">
      <c r="A20" s="367"/>
      <c r="B20" s="395"/>
      <c r="C20" s="386" t="s">
        <v>3470</v>
      </c>
      <c r="D20" s="387"/>
      <c r="E20" s="386" t="s">
        <v>3470</v>
      </c>
      <c r="F20" s="388"/>
      <c r="G20" s="386" t="s">
        <v>3470</v>
      </c>
      <c r="H20" s="387"/>
      <c r="I20" s="386" t="s">
        <v>3470</v>
      </c>
      <c r="J20" s="387"/>
      <c r="K20" s="541"/>
      <c r="L20" s="2492"/>
      <c r="M20" s="2487"/>
      <c r="N20" s="2487"/>
      <c r="O20" s="2487"/>
      <c r="P20" s="3455"/>
      <c r="Q20" s="1263"/>
      <c r="R20" s="667"/>
      <c r="S20" s="668"/>
      <c r="T20" s="667"/>
      <c r="U20" s="668"/>
      <c r="V20" s="667"/>
      <c r="W20" s="668"/>
      <c r="X20" s="1265"/>
      <c r="Y20" s="344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455"/>
      <c r="Q21" s="1263" t="str">
        <f>B21</f>
        <v>基础设施水平</v>
      </c>
      <c r="R21" s="667" t="s">
        <v>14</v>
      </c>
      <c r="S21" s="668">
        <f>F21</f>
        <v>100</v>
      </c>
      <c r="T21" s="667" t="s">
        <v>14</v>
      </c>
      <c r="U21" s="668">
        <f>H21</f>
        <v>100</v>
      </c>
      <c r="V21" s="667" t="s">
        <v>14</v>
      </c>
      <c r="W21" s="668">
        <f>J21</f>
        <v>100</v>
      </c>
      <c r="X21" s="1265"/>
      <c r="Y21" s="3448"/>
      <c r="Z21" s="1264" t="str">
        <f>Q21</f>
        <v>基础设施水平</v>
      </c>
      <c r="AA21" s="1264">
        <f t="shared" ref="AA21" si="8">D21/F21</f>
        <v>1</v>
      </c>
      <c r="AB21" s="1264">
        <f t="shared" ref="AB21" si="9">D21/H21</f>
        <v>1</v>
      </c>
      <c r="AC21" s="1264">
        <f t="shared" ref="AC21" si="10">D21/J21</f>
        <v>1</v>
      </c>
    </row>
    <row r="22" spans="1:29" ht="15.5">
      <c r="A22" s="367"/>
      <c r="B22" s="586"/>
      <c r="C22" s="1755" t="s">
        <v>3501</v>
      </c>
      <c r="D22" s="387"/>
      <c r="E22" s="1755" t="s">
        <v>3501</v>
      </c>
      <c r="F22" s="388"/>
      <c r="G22" s="1755" t="s">
        <v>3501</v>
      </c>
      <c r="H22" s="387"/>
      <c r="I22" s="1755" t="s">
        <v>3501</v>
      </c>
      <c r="J22" s="387"/>
      <c r="K22" s="1064"/>
      <c r="L22" s="2492"/>
      <c r="M22" s="2487"/>
      <c r="N22" s="2487"/>
      <c r="O22" s="2487"/>
      <c r="P22" s="3455"/>
      <c r="Q22" s="1263"/>
      <c r="R22" s="667"/>
      <c r="S22" s="668"/>
      <c r="T22" s="667"/>
      <c r="U22" s="668"/>
      <c r="V22" s="667"/>
      <c r="W22" s="668"/>
      <c r="X22" s="1265"/>
      <c r="Y22" s="344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55"/>
      <c r="Q23" s="1263" t="str">
        <f>B23</f>
        <v>自然及人文环境</v>
      </c>
      <c r="R23" s="667" t="s">
        <v>14</v>
      </c>
      <c r="S23" s="668">
        <f>F23</f>
        <v>100</v>
      </c>
      <c r="T23" s="667" t="s">
        <v>14</v>
      </c>
      <c r="U23" s="668">
        <f>H23</f>
        <v>100</v>
      </c>
      <c r="V23" s="667" t="s">
        <v>14</v>
      </c>
      <c r="W23" s="668">
        <f>J23</f>
        <v>100</v>
      </c>
      <c r="X23" s="1265"/>
      <c r="Y23" s="3448"/>
      <c r="Z23" s="1264" t="str">
        <f>Q23</f>
        <v>自然及人文环境</v>
      </c>
      <c r="AA23" s="1264">
        <f t="shared" si="3"/>
        <v>1</v>
      </c>
      <c r="AB23" s="1264">
        <f t="shared" si="4"/>
        <v>1</v>
      </c>
      <c r="AC23" s="1264">
        <f t="shared" si="5"/>
        <v>1</v>
      </c>
    </row>
    <row r="24" spans="1:29" ht="15.5">
      <c r="A24" s="367"/>
      <c r="B24" s="395"/>
      <c r="C24" s="386" t="s">
        <v>3470</v>
      </c>
      <c r="D24" s="387"/>
      <c r="E24" s="386" t="s">
        <v>3470</v>
      </c>
      <c r="F24" s="388"/>
      <c r="G24" s="386" t="s">
        <v>3470</v>
      </c>
      <c r="H24" s="387"/>
      <c r="I24" s="386" t="s">
        <v>3470</v>
      </c>
      <c r="J24" s="387"/>
      <c r="K24" s="541"/>
      <c r="L24" s="2492"/>
      <c r="M24" s="2487"/>
      <c r="N24" s="2487"/>
      <c r="O24" s="2487"/>
      <c r="P24" s="3455"/>
      <c r="Q24" s="1263"/>
      <c r="R24" s="667"/>
      <c r="S24" s="668"/>
      <c r="T24" s="667"/>
      <c r="U24" s="668"/>
      <c r="V24" s="667"/>
      <c r="W24" s="668"/>
      <c r="X24" s="1265"/>
      <c r="Y24" s="3448"/>
      <c r="Z24" s="1264"/>
      <c r="AA24" s="1264">
        <v>1</v>
      </c>
      <c r="AB24" s="1264">
        <v>1</v>
      </c>
      <c r="AC24" s="1264">
        <v>1</v>
      </c>
    </row>
    <row r="25" spans="1:29" ht="15.5">
      <c r="A25" s="367"/>
      <c r="B25" s="364" t="s">
        <v>1780</v>
      </c>
      <c r="C25" s="542" t="s">
        <v>3469</v>
      </c>
      <c r="D25" s="374">
        <v>100</v>
      </c>
      <c r="E25" s="542" t="s">
        <v>3469</v>
      </c>
      <c r="F25" s="400">
        <f>SUMIF(86:86,E25,87:87)-SUMIF(86:86,C25,87:87)+100</f>
        <v>100</v>
      </c>
      <c r="G25" s="542" t="s">
        <v>3469</v>
      </c>
      <c r="H25" s="374">
        <f>SUMIF(86:86,G25,87:87)-SUMIF(86:86,C25,87:87)+100</f>
        <v>100</v>
      </c>
      <c r="I25" s="542" t="s">
        <v>3469</v>
      </c>
      <c r="J25" s="374">
        <f>SUMIF(86:86,I25,87:87)-SUMIF(86:86,C25,87:87)+100</f>
        <v>100</v>
      </c>
      <c r="K25" s="538">
        <v>2</v>
      </c>
      <c r="L25" s="2492"/>
      <c r="M25" s="2487"/>
      <c r="N25" s="2487"/>
      <c r="O25" s="2487"/>
      <c r="P25" s="3455"/>
      <c r="Q25" s="1263" t="str">
        <f t="shared" ref="Q25:Q46" si="11">B25</f>
        <v>临街状况</v>
      </c>
      <c r="R25" s="667" t="s">
        <v>14</v>
      </c>
      <c r="S25" s="668">
        <f>F25</f>
        <v>100</v>
      </c>
      <c r="T25" s="667" t="s">
        <v>14</v>
      </c>
      <c r="U25" s="668">
        <f>H25</f>
        <v>100</v>
      </c>
      <c r="V25" s="667" t="s">
        <v>14</v>
      </c>
      <c r="W25" s="668">
        <f>J25</f>
        <v>100</v>
      </c>
      <c r="X25" s="1265"/>
      <c r="Y25" s="3448"/>
      <c r="Z25" s="1264" t="str">
        <f>Q25</f>
        <v>临街状况</v>
      </c>
      <c r="AA25" s="1264">
        <f t="shared" si="3"/>
        <v>1</v>
      </c>
      <c r="AB25" s="1264">
        <f t="shared" si="4"/>
        <v>1</v>
      </c>
      <c r="AC25" s="1264">
        <f t="shared" si="5"/>
        <v>1</v>
      </c>
    </row>
    <row r="26" spans="1:29" ht="15.5">
      <c r="A26" s="367"/>
      <c r="B26" s="1066" t="s">
        <v>1781</v>
      </c>
      <c r="C26" s="3185" t="s">
        <v>3502</v>
      </c>
      <c r="D26" s="374">
        <v>100</v>
      </c>
      <c r="E26" s="3185" t="s">
        <v>3502</v>
      </c>
      <c r="F26" s="400">
        <f>SUMIF(88:88,E26,89:89)-SUMIF(88:88,C26,89:89)+100</f>
        <v>100</v>
      </c>
      <c r="G26" s="3185" t="s">
        <v>3502</v>
      </c>
      <c r="H26" s="374">
        <f>SUMIF(88:88,G26,89:89)-SUMIF(88:88,C26,89:89)+100</f>
        <v>100</v>
      </c>
      <c r="I26" s="3185" t="s">
        <v>3502</v>
      </c>
      <c r="J26" s="374">
        <f>SUMIF(88:88,I26,89:89)-SUMIF(88:88,C26,89:89)+100</f>
        <v>100</v>
      </c>
      <c r="K26" s="539"/>
      <c r="L26" s="2492"/>
      <c r="M26" s="2487"/>
      <c r="N26" s="2487"/>
      <c r="O26" s="2487"/>
      <c r="P26" s="3455"/>
      <c r="Q26" s="1263" t="str">
        <f t="shared" si="11"/>
        <v>平面位置/可视性</v>
      </c>
      <c r="R26" s="667" t="s">
        <v>14</v>
      </c>
      <c r="S26" s="668">
        <f>F26</f>
        <v>100</v>
      </c>
      <c r="T26" s="667" t="s">
        <v>14</v>
      </c>
      <c r="U26" s="668">
        <f>H26</f>
        <v>100</v>
      </c>
      <c r="V26" s="667" t="s">
        <v>14</v>
      </c>
      <c r="W26" s="668">
        <f>J26</f>
        <v>100</v>
      </c>
      <c r="X26" s="1265"/>
      <c r="Y26" s="3448"/>
      <c r="Z26" s="1264" t="str">
        <f>Q26</f>
        <v>平面位置/可视性</v>
      </c>
      <c r="AA26" s="1264">
        <f t="shared" si="3"/>
        <v>1</v>
      </c>
      <c r="AB26" s="1264">
        <f t="shared" si="4"/>
        <v>1</v>
      </c>
      <c r="AC26" s="1264">
        <f t="shared" si="5"/>
        <v>1</v>
      </c>
    </row>
    <row r="27" spans="1:29" s="102" customFormat="1" ht="15.5">
      <c r="A27" s="370"/>
      <c r="B27" s="390" t="s">
        <v>1782</v>
      </c>
      <c r="C27" s="1807" t="s">
        <v>3471</v>
      </c>
      <c r="D27" s="401">
        <v>100</v>
      </c>
      <c r="E27" s="3184" t="s">
        <v>3471</v>
      </c>
      <c r="F27" s="395">
        <f>SUMIF(90:90,E27,91:91)-SUMIF(90:90,C27,91:91)+100</f>
        <v>100</v>
      </c>
      <c r="G27" s="1807" t="s">
        <v>3474</v>
      </c>
      <c r="H27" s="401">
        <f>SUMIF(90:90,G27,91:91)-SUMIF(90:90,C27,91:91)+100</f>
        <v>95</v>
      </c>
      <c r="I27" s="1807" t="s">
        <v>3474</v>
      </c>
      <c r="J27" s="401">
        <f>SUMIF(90:90,I27,91:91)-SUMIF(90:90,C27,91:91)+100</f>
        <v>95</v>
      </c>
      <c r="K27" s="538">
        <v>5</v>
      </c>
      <c r="L27" s="2488"/>
      <c r="M27" s="2440"/>
      <c r="N27" s="2440"/>
      <c r="O27" s="2440"/>
      <c r="P27" s="3455"/>
      <c r="Q27" s="530" t="str">
        <f t="shared" si="11"/>
        <v>人流量</v>
      </c>
      <c r="R27" s="664" t="s">
        <v>14</v>
      </c>
      <c r="S27" s="665">
        <f>F27</f>
        <v>100</v>
      </c>
      <c r="T27" s="664" t="s">
        <v>14</v>
      </c>
      <c r="U27" s="665">
        <f>H27</f>
        <v>95</v>
      </c>
      <c r="V27" s="664" t="s">
        <v>14</v>
      </c>
      <c r="W27" s="665">
        <f>J27</f>
        <v>95</v>
      </c>
      <c r="X27" s="666"/>
      <c r="Y27" s="3448"/>
      <c r="Z27" s="50" t="str">
        <f>Q27</f>
        <v>人流量</v>
      </c>
      <c r="AA27" s="1264">
        <f>D27/F27</f>
        <v>1</v>
      </c>
      <c r="AB27" s="1264">
        <f>D27/H27</f>
        <v>1.0526315789473684</v>
      </c>
      <c r="AC27" s="1264">
        <f>D27/J27</f>
        <v>1.0526315789473684</v>
      </c>
    </row>
    <row r="28" spans="1:29" ht="15.5">
      <c r="A28" s="367"/>
      <c r="B28" s="364" t="s">
        <v>1783</v>
      </c>
      <c r="C28" s="542" t="s">
        <v>3490</v>
      </c>
      <c r="D28" s="374">
        <v>100</v>
      </c>
      <c r="E28" s="542" t="s">
        <v>3490</v>
      </c>
      <c r="F28" s="400">
        <f>SUMIF(92:92,E28,93:93)-SUMIF(92:92,C28,93:93)+100</f>
        <v>100</v>
      </c>
      <c r="G28" s="542" t="s">
        <v>3490</v>
      </c>
      <c r="H28" s="374">
        <f>SUMIF(92:92,G28,93:93)-SUMIF(92:92,C28,93:93)+100</f>
        <v>100</v>
      </c>
      <c r="I28" s="542" t="s">
        <v>3490</v>
      </c>
      <c r="J28" s="374">
        <f>SUMIF(92:92,I28,93:93)-SUMIF(92:92,C28,93:93)+100</f>
        <v>100</v>
      </c>
      <c r="K28" s="539"/>
      <c r="L28" s="2492"/>
      <c r="M28" s="2487"/>
      <c r="N28" s="2487"/>
      <c r="O28" s="2487"/>
      <c r="P28" s="345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8"/>
      <c r="Z28" s="1264" t="str">
        <f t="shared" ref="Z28:Z46" si="15">Q28</f>
        <v>楼层</v>
      </c>
      <c r="AA28" s="1264">
        <f t="shared" si="3"/>
        <v>1</v>
      </c>
      <c r="AB28" s="1264">
        <f t="shared" si="4"/>
        <v>1</v>
      </c>
      <c r="AC28" s="1264">
        <f t="shared" si="5"/>
        <v>1</v>
      </c>
    </row>
    <row r="29" spans="1:29" ht="15.5">
      <c r="A29" s="367"/>
      <c r="B29" s="3186" t="s">
        <v>3503</v>
      </c>
      <c r="C29" s="3185" t="s">
        <v>3504</v>
      </c>
      <c r="D29" s="374">
        <v>100</v>
      </c>
      <c r="E29" s="3185" t="s">
        <v>3505</v>
      </c>
      <c r="F29" s="400">
        <f>SUMIF(94:94,E29,95:95)-SUMIF(94:94,C29,95:95)+100</f>
        <v>98</v>
      </c>
      <c r="G29" s="3185" t="s">
        <v>3505</v>
      </c>
      <c r="H29" s="374">
        <f>SUMIF(94:94,G29,95:95)-SUMIF(94:94,C29,95:95)+100</f>
        <v>98</v>
      </c>
      <c r="I29" s="3185" t="s">
        <v>3505</v>
      </c>
      <c r="J29" s="374">
        <f>SUMIF(94:94,I29,95:95)-SUMIF(94:94,C29,95:95)+100</f>
        <v>98</v>
      </c>
      <c r="K29" s="539"/>
      <c r="L29" s="2492"/>
      <c r="M29" s="2487"/>
      <c r="N29" s="2487"/>
      <c r="O29" s="2487"/>
      <c r="P29" s="3455"/>
      <c r="Q29" s="1263" t="str">
        <f t="shared" si="11"/>
        <v>临路状况</v>
      </c>
      <c r="R29" s="667" t="s">
        <v>14</v>
      </c>
      <c r="S29" s="668">
        <f t="shared" si="12"/>
        <v>98</v>
      </c>
      <c r="T29" s="667" t="s">
        <v>14</v>
      </c>
      <c r="U29" s="668">
        <f t="shared" si="13"/>
        <v>98</v>
      </c>
      <c r="V29" s="667" t="s">
        <v>14</v>
      </c>
      <c r="W29" s="668">
        <f t="shared" si="14"/>
        <v>98</v>
      </c>
      <c r="X29" s="1265"/>
      <c r="Y29" s="3448"/>
      <c r="Z29" s="1264" t="str">
        <f t="shared" si="15"/>
        <v>临路状况</v>
      </c>
      <c r="AA29" s="1264">
        <f t="shared" si="3"/>
        <v>1.0204081632653061</v>
      </c>
      <c r="AB29" s="1264">
        <f t="shared" si="4"/>
        <v>1.0204081632653061</v>
      </c>
      <c r="AC29" s="1264">
        <f t="shared" si="5"/>
        <v>1.0204081632653061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55"/>
      <c r="Q30" s="1263">
        <f t="shared" si="11"/>
        <v>111</v>
      </c>
      <c r="R30" s="667" t="s">
        <v>14</v>
      </c>
      <c r="S30" s="668">
        <f t="shared" si="12"/>
        <v>100</v>
      </c>
      <c r="T30" s="667" t="s">
        <v>14</v>
      </c>
      <c r="U30" s="668">
        <f t="shared" si="13"/>
        <v>100</v>
      </c>
      <c r="V30" s="667" t="s">
        <v>14</v>
      </c>
      <c r="W30" s="668">
        <f t="shared" si="14"/>
        <v>100</v>
      </c>
      <c r="X30" s="1265"/>
      <c r="Y30" s="344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55"/>
      <c r="Q31" s="1263">
        <f t="shared" si="11"/>
        <v>111</v>
      </c>
      <c r="R31" s="667" t="s">
        <v>14</v>
      </c>
      <c r="S31" s="668">
        <f t="shared" si="12"/>
        <v>100</v>
      </c>
      <c r="T31" s="667" t="s">
        <v>14</v>
      </c>
      <c r="U31" s="668">
        <f t="shared" si="13"/>
        <v>100</v>
      </c>
      <c r="V31" s="667" t="s">
        <v>14</v>
      </c>
      <c r="W31" s="668">
        <f t="shared" si="14"/>
        <v>100</v>
      </c>
      <c r="X31" s="1265"/>
      <c r="Y31" s="3448"/>
      <c r="Z31" s="1264">
        <f t="shared" si="15"/>
        <v>111</v>
      </c>
      <c r="AA31" s="1264">
        <f t="shared" si="3"/>
        <v>1</v>
      </c>
      <c r="AB31" s="1264">
        <f t="shared" si="4"/>
        <v>1</v>
      </c>
      <c r="AC31" s="1264">
        <f t="shared" si="5"/>
        <v>1</v>
      </c>
    </row>
    <row r="32" spans="1:29" ht="15.5">
      <c r="A32" s="379" t="s">
        <v>1694</v>
      </c>
      <c r="B32" s="60" t="s">
        <v>1784</v>
      </c>
      <c r="C32" s="1764" t="s">
        <v>3480</v>
      </c>
      <c r="D32" s="405">
        <v>100</v>
      </c>
      <c r="E32" s="1764" t="s">
        <v>3480</v>
      </c>
      <c r="F32" s="400">
        <f>SUMIF(100:100,E32,101:101)-SUMIF(100:100,C32,101:101)+100</f>
        <v>100</v>
      </c>
      <c r="G32" s="1764" t="s">
        <v>3480</v>
      </c>
      <c r="H32" s="374">
        <f>SUMIF(100:100,G32,101:101)-SUMIF(100:100,C32,101:101)+100</f>
        <v>100</v>
      </c>
      <c r="I32" s="1764" t="s">
        <v>3480</v>
      </c>
      <c r="J32" s="405">
        <f>SUMIF(100:100,I32,101:101)-SUMIF(100:100,C32,101:101)+100</f>
        <v>100</v>
      </c>
      <c r="K32" s="538">
        <v>2</v>
      </c>
      <c r="L32" s="2492"/>
      <c r="M32" s="2487"/>
      <c r="N32" s="2487"/>
      <c r="O32" s="2487"/>
      <c r="P32" s="3449" t="s">
        <v>1696</v>
      </c>
      <c r="Q32" s="1263" t="str">
        <f t="shared" si="11"/>
        <v>商业类型</v>
      </c>
      <c r="R32" s="667" t="s">
        <v>14</v>
      </c>
      <c r="S32" s="668">
        <f t="shared" si="12"/>
        <v>100</v>
      </c>
      <c r="T32" s="667" t="s">
        <v>14</v>
      </c>
      <c r="U32" s="668">
        <f t="shared" si="13"/>
        <v>100</v>
      </c>
      <c r="V32" s="667" t="s">
        <v>14</v>
      </c>
      <c r="W32" s="668">
        <f t="shared" si="14"/>
        <v>100</v>
      </c>
      <c r="X32" s="1265"/>
      <c r="Y32" s="3452" t="s">
        <v>1696</v>
      </c>
      <c r="Z32" s="1264" t="str">
        <f t="shared" si="15"/>
        <v>商业类型</v>
      </c>
      <c r="AA32" s="1264">
        <f t="shared" si="3"/>
        <v>1</v>
      </c>
      <c r="AB32" s="1264">
        <f t="shared" si="4"/>
        <v>1</v>
      </c>
      <c r="AC32" s="1264">
        <f t="shared" si="5"/>
        <v>1</v>
      </c>
    </row>
    <row r="33" spans="1:29" s="408" customFormat="1" ht="15.5">
      <c r="A33" s="406"/>
      <c r="B33" s="364" t="s">
        <v>1697</v>
      </c>
      <c r="C33" s="407">
        <f>'数据-基础表'!G5</f>
        <v>525.41000000000008</v>
      </c>
      <c r="D33" s="119">
        <v>100</v>
      </c>
      <c r="E33" s="369">
        <f>租金案例!P22</f>
        <v>57.79</v>
      </c>
      <c r="F33" s="364">
        <f>LOOKUP(E33,103:103,104:104)-LOOKUP(C33,103:103,104:104)+100</f>
        <v>106</v>
      </c>
      <c r="G33" s="368">
        <f>租金案例!P55</f>
        <v>137.19</v>
      </c>
      <c r="H33" s="119">
        <f>LOOKUP(G33,103:103,104:104)-LOOKUP(C33,103:103,104:104)+100</f>
        <v>105</v>
      </c>
      <c r="I33" s="368">
        <f>租金案例!P92</f>
        <v>56.01</v>
      </c>
      <c r="J33" s="119">
        <f>LOOKUP(I33,103:103,104:104)-LOOKUP(C33,103:103,104:104)+100</f>
        <v>106</v>
      </c>
      <c r="K33" s="539"/>
      <c r="L33" s="2491"/>
      <c r="M33" s="2493"/>
      <c r="N33" s="2493"/>
      <c r="O33" s="2493"/>
      <c r="P33" s="3450"/>
      <c r="Q33" s="531" t="str">
        <f t="shared" si="11"/>
        <v>项目建筑规模</v>
      </c>
      <c r="R33" s="669" t="s">
        <v>14</v>
      </c>
      <c r="S33" s="670">
        <f t="shared" si="12"/>
        <v>106</v>
      </c>
      <c r="T33" s="669" t="s">
        <v>14</v>
      </c>
      <c r="U33" s="670">
        <f t="shared" si="13"/>
        <v>105</v>
      </c>
      <c r="V33" s="669" t="s">
        <v>14</v>
      </c>
      <c r="W33" s="670">
        <f t="shared" si="14"/>
        <v>106</v>
      </c>
      <c r="X33" s="671"/>
      <c r="Y33" s="3452"/>
      <c r="Z33" s="672" t="str">
        <f t="shared" si="15"/>
        <v>项目建筑规模</v>
      </c>
      <c r="AA33" s="1264">
        <f t="shared" si="3"/>
        <v>0.94339622641509435</v>
      </c>
      <c r="AB33" s="1264">
        <f t="shared" si="4"/>
        <v>0.95238095238095233</v>
      </c>
      <c r="AC33" s="1264">
        <f t="shared" si="5"/>
        <v>0.94339622641509435</v>
      </c>
    </row>
    <row r="34" spans="1:29" ht="15.5">
      <c r="A34" s="409"/>
      <c r="B34" s="364" t="s">
        <v>1698</v>
      </c>
      <c r="C34" s="399" t="s">
        <v>3481</v>
      </c>
      <c r="D34" s="374">
        <v>100</v>
      </c>
      <c r="E34" s="399" t="s">
        <v>3481</v>
      </c>
      <c r="F34" s="400">
        <f>SUMIF(105:105,E34,106:106)-SUMIF(105:105,C34,106:106)+100</f>
        <v>100</v>
      </c>
      <c r="G34" s="399" t="s">
        <v>3481</v>
      </c>
      <c r="H34" s="374">
        <f>SUMIF(105:105,G34,106:106)-SUMIF(105:105,C34,106:106)+100</f>
        <v>100</v>
      </c>
      <c r="I34" s="399" t="s">
        <v>3481</v>
      </c>
      <c r="J34" s="374">
        <f>SUMIF(105:105,I34,106:106)-SUMIF(105:105,C34,106:106)+100</f>
        <v>100</v>
      </c>
      <c r="K34" s="538">
        <v>2</v>
      </c>
      <c r="L34" s="2492"/>
      <c r="M34" s="2487"/>
      <c r="N34" s="2487"/>
      <c r="O34" s="2487"/>
      <c r="P34" s="3450"/>
      <c r="Q34" s="1263" t="str">
        <f t="shared" si="11"/>
        <v>建筑结构</v>
      </c>
      <c r="R34" s="667" t="s">
        <v>14</v>
      </c>
      <c r="S34" s="668">
        <f t="shared" si="12"/>
        <v>100</v>
      </c>
      <c r="T34" s="667" t="s">
        <v>14</v>
      </c>
      <c r="U34" s="668">
        <f t="shared" si="13"/>
        <v>100</v>
      </c>
      <c r="V34" s="667" t="s">
        <v>14</v>
      </c>
      <c r="W34" s="668">
        <f t="shared" si="14"/>
        <v>100</v>
      </c>
      <c r="X34" s="1265"/>
      <c r="Y34" s="345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50"/>
      <c r="Q35" s="1263" t="str">
        <f t="shared" si="11"/>
        <v>公共部分装修</v>
      </c>
      <c r="R35" s="667" t="s">
        <v>14</v>
      </c>
      <c r="S35" s="668">
        <f t="shared" si="12"/>
        <v>100</v>
      </c>
      <c r="T35" s="667" t="s">
        <v>14</v>
      </c>
      <c r="U35" s="668">
        <f t="shared" si="13"/>
        <v>100</v>
      </c>
      <c r="V35" s="667" t="s">
        <v>14</v>
      </c>
      <c r="W35" s="668">
        <f t="shared" si="14"/>
        <v>100</v>
      </c>
      <c r="X35" s="1265"/>
      <c r="Y35" s="3452"/>
      <c r="Z35" s="1264" t="str">
        <f t="shared" si="15"/>
        <v>公共部分装修</v>
      </c>
      <c r="AA35" s="1264">
        <f t="shared" si="3"/>
        <v>1</v>
      </c>
      <c r="AB35" s="1264">
        <f t="shared" si="4"/>
        <v>1</v>
      </c>
      <c r="AC35" s="1264">
        <f t="shared" si="5"/>
        <v>1</v>
      </c>
    </row>
    <row r="36" spans="1:29" ht="15.5">
      <c r="A36" s="409"/>
      <c r="B36" s="364" t="s">
        <v>1786</v>
      </c>
      <c r="C36" s="411">
        <f>'数据-取费表'!N6</f>
        <v>0.67</v>
      </c>
      <c r="D36" s="374">
        <v>100</v>
      </c>
      <c r="E36" s="411">
        <f>E12</f>
        <v>0.68</v>
      </c>
      <c r="F36" s="400">
        <f>LOOKUP(E36,110:110,111:111)-LOOKUP(C36,110:110,111:111)+100</f>
        <v>100</v>
      </c>
      <c r="G36" s="411">
        <f>G12</f>
        <v>0.7</v>
      </c>
      <c r="H36" s="400">
        <f>LOOKUP(G36,110:110,111:111)-LOOKUP(C36,110:110,111:111)+100</f>
        <v>101</v>
      </c>
      <c r="I36" s="411">
        <f>I12</f>
        <v>0.73</v>
      </c>
      <c r="J36" s="374">
        <f>LOOKUP(I36,110:110,111:111)-LOOKUP(C36,110:110,111:111)+100</f>
        <v>101</v>
      </c>
      <c r="K36" s="538">
        <v>1</v>
      </c>
      <c r="L36" s="2492"/>
      <c r="M36" s="2487"/>
      <c r="N36" s="2487"/>
      <c r="O36" s="2487"/>
      <c r="P36" s="3450"/>
      <c r="Q36" s="1263" t="str">
        <f t="shared" si="11"/>
        <v>成新度</v>
      </c>
      <c r="R36" s="667" t="s">
        <v>14</v>
      </c>
      <c r="S36" s="668">
        <f t="shared" si="12"/>
        <v>100</v>
      </c>
      <c r="T36" s="667" t="s">
        <v>14</v>
      </c>
      <c r="U36" s="668">
        <f t="shared" si="13"/>
        <v>101</v>
      </c>
      <c r="V36" s="667" t="s">
        <v>14</v>
      </c>
      <c r="W36" s="668">
        <f t="shared" si="14"/>
        <v>101</v>
      </c>
      <c r="X36" s="1265"/>
      <c r="Y36" s="3452"/>
      <c r="Z36" s="1264" t="str">
        <f t="shared" si="15"/>
        <v>成新度</v>
      </c>
      <c r="AA36" s="1264">
        <f t="shared" si="3"/>
        <v>1</v>
      </c>
      <c r="AB36" s="1264">
        <f t="shared" si="4"/>
        <v>0.99009900990099009</v>
      </c>
      <c r="AC36" s="1264">
        <f t="shared" si="5"/>
        <v>0.99009900990099009</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450"/>
      <c r="Q37" s="530" t="str">
        <f t="shared" si="11"/>
        <v>市政基础设施</v>
      </c>
      <c r="R37" s="664" t="s">
        <v>14</v>
      </c>
      <c r="S37" s="665">
        <f t="shared" si="12"/>
        <v>100</v>
      </c>
      <c r="T37" s="664" t="s">
        <v>14</v>
      </c>
      <c r="U37" s="665">
        <f t="shared" si="13"/>
        <v>100</v>
      </c>
      <c r="V37" s="664" t="s">
        <v>14</v>
      </c>
      <c r="W37" s="665">
        <f t="shared" si="14"/>
        <v>100</v>
      </c>
      <c r="X37" s="666"/>
      <c r="Y37" s="3452"/>
      <c r="Z37" s="50" t="str">
        <f t="shared" si="15"/>
        <v>市政基础设施</v>
      </c>
      <c r="AA37" s="50">
        <f t="shared" si="3"/>
        <v>1</v>
      </c>
      <c r="AB37" s="50">
        <f t="shared" si="4"/>
        <v>1</v>
      </c>
      <c r="AC37" s="50">
        <f t="shared" si="5"/>
        <v>1</v>
      </c>
    </row>
    <row r="38" spans="1:29" ht="15.5">
      <c r="A38" s="409"/>
      <c r="B38" s="364" t="s">
        <v>1788</v>
      </c>
      <c r="C38" s="1760" t="s">
        <v>3482</v>
      </c>
      <c r="D38" s="374">
        <v>100</v>
      </c>
      <c r="E38" s="1760" t="s">
        <v>3483</v>
      </c>
      <c r="F38" s="400">
        <f>SUMIF(114:114,E38,115:115)-SUMIF(114:114,C38,115:115)+100</f>
        <v>95</v>
      </c>
      <c r="G38" s="1760" t="s">
        <v>3483</v>
      </c>
      <c r="H38" s="374">
        <f>SUMIF(114:114,G38,115:115)-SUMIF(114:114,C38,115:115)+100</f>
        <v>95</v>
      </c>
      <c r="I38" s="1760" t="s">
        <v>3483</v>
      </c>
      <c r="J38" s="374">
        <f>SUMIF(114:114,I38,115:115)-SUMIF(114:114,C38,115:115)+100</f>
        <v>95</v>
      </c>
      <c r="K38" s="538">
        <v>5</v>
      </c>
      <c r="L38" s="2492"/>
      <c r="M38" s="2487"/>
      <c r="N38" s="2487"/>
      <c r="O38" s="2487"/>
      <c r="P38" s="3450" t="s">
        <v>1696</v>
      </c>
      <c r="Q38" s="1263" t="str">
        <f t="shared" si="11"/>
        <v>业态</v>
      </c>
      <c r="R38" s="667" t="s">
        <v>14</v>
      </c>
      <c r="S38" s="668">
        <f t="shared" si="12"/>
        <v>95</v>
      </c>
      <c r="T38" s="667" t="s">
        <v>14</v>
      </c>
      <c r="U38" s="668">
        <f t="shared" si="13"/>
        <v>95</v>
      </c>
      <c r="V38" s="667" t="s">
        <v>14</v>
      </c>
      <c r="W38" s="668">
        <f t="shared" si="14"/>
        <v>95</v>
      </c>
      <c r="X38" s="1265"/>
      <c r="Y38" s="3452" t="s">
        <v>1696</v>
      </c>
      <c r="Z38" s="1264" t="str">
        <f t="shared" si="15"/>
        <v>业态</v>
      </c>
      <c r="AA38" s="1264">
        <f t="shared" si="3"/>
        <v>1.0526315789473684</v>
      </c>
      <c r="AB38" s="1264">
        <f t="shared" si="4"/>
        <v>1.0526315789473684</v>
      </c>
      <c r="AC38" s="1264">
        <f t="shared" si="5"/>
        <v>1.0526315789473684</v>
      </c>
    </row>
    <row r="39" spans="1:29" ht="15.5">
      <c r="A39" s="409"/>
      <c r="B39" s="364" t="s">
        <v>1789</v>
      </c>
      <c r="C39" s="1760" t="s">
        <v>3485</v>
      </c>
      <c r="D39" s="374">
        <v>100</v>
      </c>
      <c r="E39" s="1760" t="s">
        <v>3484</v>
      </c>
      <c r="F39" s="400">
        <f>SUMIF(116:116,E39,117:117)-SUMIF(116:116,C39,117:117)+100</f>
        <v>110</v>
      </c>
      <c r="G39" s="1760" t="s">
        <v>3484</v>
      </c>
      <c r="H39" s="374">
        <f>SUMIF(116:116,G39,117:117)-SUMIF(116:116,C39,117:117)+100</f>
        <v>110</v>
      </c>
      <c r="I39" s="1760" t="s">
        <v>3484</v>
      </c>
      <c r="J39" s="374">
        <f>SUMIF(116:116,I39,117:117)-SUMIF(116:116,C39,117:117)+100</f>
        <v>110</v>
      </c>
      <c r="K39" s="538">
        <v>10</v>
      </c>
      <c r="L39" s="2492"/>
      <c r="M39" s="2487"/>
      <c r="N39" s="2487"/>
      <c r="O39" s="2487"/>
      <c r="P39" s="3450"/>
      <c r="Q39" s="1263" t="str">
        <f t="shared" si="11"/>
        <v>层高</v>
      </c>
      <c r="R39" s="667" t="s">
        <v>14</v>
      </c>
      <c r="S39" s="668">
        <f t="shared" si="12"/>
        <v>110</v>
      </c>
      <c r="T39" s="667" t="s">
        <v>14</v>
      </c>
      <c r="U39" s="668">
        <f t="shared" si="13"/>
        <v>110</v>
      </c>
      <c r="V39" s="667" t="s">
        <v>14</v>
      </c>
      <c r="W39" s="668">
        <f t="shared" si="14"/>
        <v>110</v>
      </c>
      <c r="X39" s="1265"/>
      <c r="Y39" s="3452"/>
      <c r="Z39" s="1264" t="str">
        <f t="shared" si="15"/>
        <v>层高</v>
      </c>
      <c r="AA39" s="1264">
        <f t="shared" si="3"/>
        <v>0.90909090909090906</v>
      </c>
      <c r="AB39" s="1264">
        <f t="shared" si="4"/>
        <v>0.90909090909090906</v>
      </c>
      <c r="AC39" s="1264">
        <f t="shared" si="5"/>
        <v>0.90909090909090906</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50"/>
      <c r="Q40" s="1263" t="str">
        <f t="shared" si="11"/>
        <v>单套建筑面积</v>
      </c>
      <c r="R40" s="667" t="s">
        <v>14</v>
      </c>
      <c r="S40" s="668">
        <f t="shared" si="12"/>
        <v>100</v>
      </c>
      <c r="T40" s="667" t="s">
        <v>14</v>
      </c>
      <c r="U40" s="668">
        <f t="shared" si="13"/>
        <v>100</v>
      </c>
      <c r="V40" s="667" t="s">
        <v>14</v>
      </c>
      <c r="W40" s="668">
        <f t="shared" si="14"/>
        <v>100</v>
      </c>
      <c r="X40" s="1265"/>
      <c r="Y40" s="345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50"/>
      <c r="Q41" s="531" t="str">
        <f t="shared" si="11"/>
        <v>进深比</v>
      </c>
      <c r="R41" s="669" t="s">
        <v>14</v>
      </c>
      <c r="S41" s="670">
        <f t="shared" si="12"/>
        <v>100</v>
      </c>
      <c r="T41" s="669" t="s">
        <v>14</v>
      </c>
      <c r="U41" s="670">
        <f t="shared" si="13"/>
        <v>100</v>
      </c>
      <c r="V41" s="669" t="s">
        <v>14</v>
      </c>
      <c r="W41" s="670">
        <f t="shared" si="14"/>
        <v>100</v>
      </c>
      <c r="X41" s="671"/>
      <c r="Y41" s="3452"/>
      <c r="Z41" s="672" t="str">
        <f t="shared" si="15"/>
        <v>进深比</v>
      </c>
      <c r="AA41" s="1264">
        <f t="shared" si="3"/>
        <v>1</v>
      </c>
      <c r="AB41" s="1264">
        <f t="shared" si="4"/>
        <v>1</v>
      </c>
      <c r="AC41" s="1264">
        <f t="shared" si="5"/>
        <v>1</v>
      </c>
    </row>
    <row r="42" spans="1:29" ht="15.5">
      <c r="A42" s="409"/>
      <c r="B42" s="364" t="s">
        <v>1792</v>
      </c>
      <c r="C42" s="1760" t="s">
        <v>3487</v>
      </c>
      <c r="D42" s="374">
        <v>100</v>
      </c>
      <c r="E42" s="1760" t="s">
        <v>3486</v>
      </c>
      <c r="F42" s="400">
        <f>SUMIF(122:122,E42,123:123)-SUMIF(122:122,C42,123:123)+100</f>
        <v>102</v>
      </c>
      <c r="G42" s="1760" t="s">
        <v>3486</v>
      </c>
      <c r="H42" s="374">
        <f>SUMIF(122:122,G42,123:123)-SUMIF(122:122,C42,123:123)+100</f>
        <v>102</v>
      </c>
      <c r="I42" s="1760" t="s">
        <v>3486</v>
      </c>
      <c r="J42" s="374">
        <f>SUMIF(122:122,I42,123:123)-SUMIF(122:122,C42,123:123)+100</f>
        <v>102</v>
      </c>
      <c r="K42" s="538">
        <v>2</v>
      </c>
      <c r="L42" s="2492"/>
      <c r="M42" s="2487"/>
      <c r="N42" s="2487"/>
      <c r="O42" s="2487"/>
      <c r="P42" s="3450"/>
      <c r="Q42" s="1263" t="str">
        <f t="shared" si="11"/>
        <v>内部装修</v>
      </c>
      <c r="R42" s="667" t="s">
        <v>14</v>
      </c>
      <c r="S42" s="668">
        <f t="shared" si="12"/>
        <v>102</v>
      </c>
      <c r="T42" s="667" t="s">
        <v>14</v>
      </c>
      <c r="U42" s="668">
        <f t="shared" si="13"/>
        <v>102</v>
      </c>
      <c r="V42" s="667" t="s">
        <v>14</v>
      </c>
      <c r="W42" s="668">
        <f t="shared" si="14"/>
        <v>102</v>
      </c>
      <c r="X42" s="1265"/>
      <c r="Y42" s="3452"/>
      <c r="Z42" s="1264" t="str">
        <f t="shared" si="15"/>
        <v>内部装修</v>
      </c>
      <c r="AA42" s="1264">
        <f t="shared" si="3"/>
        <v>0.98039215686274506</v>
      </c>
      <c r="AB42" s="1264">
        <f t="shared" si="4"/>
        <v>0.98039215686274506</v>
      </c>
      <c r="AC42" s="1264">
        <f t="shared" si="5"/>
        <v>0.98039215686274506</v>
      </c>
    </row>
    <row r="43" spans="1:29" ht="28">
      <c r="A43" s="409"/>
      <c r="B43" s="364" t="s">
        <v>1707</v>
      </c>
      <c r="C43" s="1760" t="s">
        <v>3470</v>
      </c>
      <c r="D43" s="374">
        <v>100</v>
      </c>
      <c r="E43" s="1760" t="s">
        <v>3470</v>
      </c>
      <c r="F43" s="400">
        <f>SUMIF(124:124,E43,125:125)-SUMIF(124:124,C43,125:125)+100</f>
        <v>100</v>
      </c>
      <c r="G43" s="1760" t="s">
        <v>3470</v>
      </c>
      <c r="H43" s="374">
        <f>SUMIF(124:124,G43,125:125)-SUMIF(124:124,C43,125:125)+100</f>
        <v>100</v>
      </c>
      <c r="I43" s="1760" t="s">
        <v>3470</v>
      </c>
      <c r="J43" s="374">
        <f>SUMIF(124:124,I43,125:125)-SUMIF(124:124,C43,125:125)+100</f>
        <v>100</v>
      </c>
      <c r="K43" s="538">
        <v>2</v>
      </c>
      <c r="L43" s="2492"/>
      <c r="M43" s="2487"/>
      <c r="N43" s="2487"/>
      <c r="O43" s="2487"/>
      <c r="P43" s="3450"/>
      <c r="Q43" s="1263" t="str">
        <f t="shared" si="11"/>
        <v>内部装修维护情况</v>
      </c>
      <c r="R43" s="667" t="s">
        <v>14</v>
      </c>
      <c r="S43" s="668">
        <f t="shared" si="12"/>
        <v>100</v>
      </c>
      <c r="T43" s="667" t="s">
        <v>14</v>
      </c>
      <c r="U43" s="668">
        <f t="shared" si="13"/>
        <v>100</v>
      </c>
      <c r="V43" s="667" t="s">
        <v>14</v>
      </c>
      <c r="W43" s="668">
        <f t="shared" si="14"/>
        <v>100</v>
      </c>
      <c r="X43" s="1265"/>
      <c r="Y43" s="345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50"/>
      <c r="Q44" s="530">
        <f t="shared" si="11"/>
        <v>111</v>
      </c>
      <c r="R44" s="664" t="s">
        <v>14</v>
      </c>
      <c r="S44" s="665">
        <f t="shared" si="12"/>
        <v>100</v>
      </c>
      <c r="T44" s="664" t="s">
        <v>14</v>
      </c>
      <c r="U44" s="665">
        <f t="shared" si="13"/>
        <v>100</v>
      </c>
      <c r="V44" s="664" t="s">
        <v>14</v>
      </c>
      <c r="W44" s="665">
        <f t="shared" si="14"/>
        <v>100</v>
      </c>
      <c r="X44" s="666"/>
      <c r="Y44" s="345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50"/>
      <c r="Q45" s="1263">
        <f t="shared" si="11"/>
        <v>111</v>
      </c>
      <c r="R45" s="667" t="s">
        <v>14</v>
      </c>
      <c r="S45" s="668">
        <f t="shared" si="12"/>
        <v>100</v>
      </c>
      <c r="T45" s="667" t="s">
        <v>14</v>
      </c>
      <c r="U45" s="668">
        <f t="shared" si="13"/>
        <v>100</v>
      </c>
      <c r="V45" s="667" t="s">
        <v>14</v>
      </c>
      <c r="W45" s="668">
        <f t="shared" si="14"/>
        <v>100</v>
      </c>
      <c r="X45" s="1265"/>
      <c r="Y45" s="345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51"/>
      <c r="Q46" s="1263">
        <f t="shared" si="11"/>
        <v>111</v>
      </c>
      <c r="R46" s="667" t="s">
        <v>14</v>
      </c>
      <c r="S46" s="668">
        <f t="shared" si="12"/>
        <v>100</v>
      </c>
      <c r="T46" s="667" t="s">
        <v>14</v>
      </c>
      <c r="U46" s="668">
        <f t="shared" si="13"/>
        <v>100</v>
      </c>
      <c r="V46" s="667" t="s">
        <v>14</v>
      </c>
      <c r="W46" s="668">
        <f t="shared" si="14"/>
        <v>100</v>
      </c>
      <c r="X46" s="1265"/>
      <c r="Y46" s="3453"/>
      <c r="Z46" s="1264">
        <f t="shared" si="15"/>
        <v>111</v>
      </c>
      <c r="AA46" s="1264">
        <f t="shared" si="3"/>
        <v>1</v>
      </c>
      <c r="AB46" s="1264">
        <f t="shared" si="4"/>
        <v>1</v>
      </c>
      <c r="AC46" s="1264">
        <f t="shared" si="5"/>
        <v>1</v>
      </c>
    </row>
    <row r="47" spans="1:29">
      <c r="A47" s="416" t="s">
        <v>1708</v>
      </c>
      <c r="B47" s="417"/>
      <c r="C47" s="1081" t="s">
        <v>0</v>
      </c>
      <c r="D47" s="418"/>
      <c r="E47" s="419">
        <f>租金案例!P25</f>
        <v>11.38</v>
      </c>
      <c r="F47" s="420"/>
      <c r="G47" s="421">
        <f>租金案例!P58</f>
        <v>10.78</v>
      </c>
      <c r="H47" s="422"/>
      <c r="I47" s="419">
        <f>租金案例!P95</f>
        <v>9.39</v>
      </c>
      <c r="J47" s="422"/>
      <c r="K47" s="674"/>
      <c r="L47" s="2494"/>
      <c r="M47" s="2487"/>
      <c r="N47" s="2487"/>
      <c r="O47" s="2487"/>
      <c r="P47" s="3445" t="str">
        <f>A47</f>
        <v>成交单价（元/平方米）</v>
      </c>
      <c r="Q47" s="3445"/>
      <c r="R47" s="3446">
        <f>E47</f>
        <v>11.38</v>
      </c>
      <c r="S47" s="3446"/>
      <c r="T47" s="3446">
        <f>G47</f>
        <v>10.78</v>
      </c>
      <c r="U47" s="3446"/>
      <c r="V47" s="3446">
        <f>I47</f>
        <v>9.39</v>
      </c>
      <c r="W47" s="3446"/>
      <c r="X47" s="385"/>
      <c r="Y47" s="673"/>
      <c r="Z47" s="385"/>
      <c r="AA47" s="385"/>
      <c r="AB47" s="385"/>
      <c r="AC47" s="385"/>
    </row>
    <row r="48" spans="1:29" ht="14.5" thickBot="1">
      <c r="A48" s="423" t="s">
        <v>1793</v>
      </c>
      <c r="B48" s="424"/>
      <c r="C48" s="1082">
        <f>R49</f>
        <v>8.9</v>
      </c>
      <c r="D48" s="2141" t="s">
        <v>2136</v>
      </c>
      <c r="E48" s="1083">
        <f>R48</f>
        <v>9.3000000000000007</v>
      </c>
      <c r="F48" s="2142"/>
      <c r="G48" s="1082">
        <f>T48</f>
        <v>9.3000000000000007</v>
      </c>
      <c r="H48" s="2142"/>
      <c r="I48" s="1083">
        <f>V48</f>
        <v>8</v>
      </c>
      <c r="J48" s="2142"/>
      <c r="K48" s="2144">
        <f>F48+H48+J48</f>
        <v>0</v>
      </c>
      <c r="L48" s="2494"/>
      <c r="M48" s="2487"/>
      <c r="N48" s="2487"/>
      <c r="O48" s="2487"/>
      <c r="P48" s="3445" t="str">
        <f>A48</f>
        <v>比较价值（元/平方米）</v>
      </c>
      <c r="Q48" s="3445"/>
      <c r="R48" s="3446">
        <f>IF(F1="售价",ROUND(PRODUCT(R47,AA7:AA46),0),ROUND(PRODUCT(R47,AA7:AA46),1))</f>
        <v>9.3000000000000007</v>
      </c>
      <c r="S48" s="3446"/>
      <c r="T48" s="3446">
        <f>IF(F1="售价",ROUND(PRODUCT(T47,AB7:AB46),0),ROUND(PRODUCT(T47,AB7:AB46),1))</f>
        <v>9.3000000000000007</v>
      </c>
      <c r="U48" s="3446"/>
      <c r="V48" s="3446">
        <f>IF(F1="售价",ROUND(PRODUCT(V47,AC7:AC46),0),ROUND(PRODUCT(V47,AC7:AC46),1))</f>
        <v>8</v>
      </c>
      <c r="W48" s="3446"/>
      <c r="X48" s="385"/>
      <c r="Y48" s="385"/>
      <c r="Z48" s="385"/>
      <c r="AA48" s="385"/>
      <c r="AB48" s="385"/>
      <c r="AC48" s="385"/>
    </row>
    <row r="49" spans="1:29" ht="14.5" thickBot="1">
      <c r="A49" s="427" t="s">
        <v>1794</v>
      </c>
      <c r="B49" s="428"/>
      <c r="C49" s="351">
        <f>R49</f>
        <v>8.9</v>
      </c>
      <c r="D49" s="351"/>
      <c r="E49" s="351"/>
      <c r="F49" s="351"/>
      <c r="G49" s="351"/>
      <c r="H49" s="351"/>
      <c r="I49" s="351"/>
      <c r="J49" s="351"/>
      <c r="K49" s="675"/>
      <c r="L49" s="2494"/>
      <c r="M49" s="2487"/>
      <c r="N49" s="2487"/>
      <c r="O49" s="2487"/>
      <c r="P49" s="3442" t="str">
        <f>A49</f>
        <v>估价对象XX用房的比较价值（楼面单价，元/平方米）</v>
      </c>
      <c r="Q49" s="3443"/>
      <c r="R49" s="3444">
        <f>IF(F1="售价",ROUND(IF(D48="简单平均",AVERAGE(R48:V48),R48*F48+T48*H48+V48*J48),0),ROUND(IF(D48="简单平均",AVERAGE(R48:V48),R48*F48+T48*H48+V48*J48),1))</f>
        <v>8.9</v>
      </c>
      <c r="S49" s="3444"/>
      <c r="T49" s="3444"/>
      <c r="U49" s="3444"/>
      <c r="V49" s="3444"/>
      <c r="W49" s="3444"/>
      <c r="X49" s="385"/>
      <c r="Y49" s="385"/>
      <c r="Z49" s="385"/>
      <c r="AA49" s="385"/>
      <c r="AB49" s="385"/>
      <c r="AC49" s="385"/>
    </row>
    <row r="50" spans="1:29">
      <c r="A50" s="2487"/>
      <c r="B50" s="3618" t="s">
        <v>3645</v>
      </c>
      <c r="C50" s="3619">
        <v>0.9</v>
      </c>
      <c r="D50" s="3619"/>
      <c r="E50" s="3619">
        <v>1.1000000000000001</v>
      </c>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3619"/>
      <c r="C51" s="3619">
        <f>ROUND(C49*C50,2)</f>
        <v>8.01</v>
      </c>
      <c r="D51" s="3619"/>
      <c r="E51" s="3619">
        <f>ROUND(C49*E50,2)</f>
        <v>9.7899999999999991</v>
      </c>
      <c r="F51" s="2487"/>
      <c r="G51" s="3617" t="s">
        <v>3646</v>
      </c>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0.2236559139784946</v>
      </c>
      <c r="F52" s="435" t="str">
        <f>IF(OR(E52&gt;=0.3,E52&lt;=-0.3),"超过30%","")</f>
        <v/>
      </c>
      <c r="G52" s="434">
        <f>IF(G47&lt;G48,G48/G47-1,G47/G48-1)</f>
        <v>0.15913978494623637</v>
      </c>
      <c r="H52" s="435" t="str">
        <f>IF(OR(G52&gt;=0.3,G52&lt;=-0.3),"超过30%","")</f>
        <v/>
      </c>
      <c r="I52" s="434">
        <f>IF(I47&lt;I48,I48/I47-1,I47/I48-1)</f>
        <v>0.17375000000000007</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v>
      </c>
      <c r="F53" s="435" t="str">
        <f>IF(OR(E53&gt;=0.2,E53&lt;=-0.2),"超过20%","")</f>
        <v/>
      </c>
      <c r="G53" s="434">
        <f>IF(G48&lt;I48,I48/G48-1,G48/I48-1)</f>
        <v>0.16250000000000009</v>
      </c>
      <c r="H53" s="435" t="str">
        <f>IF(OR(G53&gt;=0.2,G53&lt;=-0.2),"超过20%","")</f>
        <v/>
      </c>
      <c r="I53" s="434">
        <f>IF(I48&lt;E48,E48/I48-1,I48/E48-1)</f>
        <v>0.16250000000000009</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5.5658627087198598E-2</v>
      </c>
      <c r="F54" s="435" t="str">
        <f>IF(OR(E54&gt;=0.3,E54&lt;=-0.3),"超过30%","")</f>
        <v/>
      </c>
      <c r="G54" s="434">
        <f>IF(G47&lt;I47,I47/G47-1,G47/I47-1)</f>
        <v>0.14802981895633649</v>
      </c>
      <c r="H54" s="435" t="str">
        <f>IF(OR(G54&gt;=0.3,G54&lt;=-0.3),"超过30%","")</f>
        <v/>
      </c>
      <c r="I54" s="434">
        <f>IF(I47&lt;E47,E47/I47-1,I47/E47-1)</f>
        <v>0.21192758253461119</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2026-1</v>
      </c>
      <c r="D58" s="1104">
        <f>EDATE(C58,-1)</f>
        <v>45992</v>
      </c>
      <c r="E58" s="1104">
        <f t="shared" ref="E58:N58" si="16">EDATE(D58,-1)</f>
        <v>45962</v>
      </c>
      <c r="F58" s="1104">
        <f t="shared" si="16"/>
        <v>45931</v>
      </c>
      <c r="G58" s="1104">
        <f t="shared" si="16"/>
        <v>45901</v>
      </c>
      <c r="H58" s="1104">
        <f t="shared" si="16"/>
        <v>45870</v>
      </c>
      <c r="I58" s="1104">
        <f t="shared" si="16"/>
        <v>45839</v>
      </c>
      <c r="J58" s="1104">
        <f t="shared" si="16"/>
        <v>45809</v>
      </c>
      <c r="K58" s="1104">
        <f t="shared" si="16"/>
        <v>45778</v>
      </c>
      <c r="L58" s="1104">
        <f t="shared" si="16"/>
        <v>45748</v>
      </c>
      <c r="M58" s="1104">
        <f t="shared" si="16"/>
        <v>45717</v>
      </c>
      <c r="N58" s="1104">
        <f t="shared" si="16"/>
        <v>45689</v>
      </c>
      <c r="O58" s="1104">
        <f>EDATE(N58,-1)</f>
        <v>45658</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78" t="s">
        <v>3467</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3177">
        <v>110</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3188" t="s">
        <v>3468</v>
      </c>
      <c r="D86" s="3188" t="s">
        <v>3469</v>
      </c>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3188" t="s">
        <v>3470</v>
      </c>
      <c r="D88" s="3188" t="s">
        <v>3471</v>
      </c>
      <c r="E88" s="3188" t="s">
        <v>3472</v>
      </c>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3189">
        <v>100</v>
      </c>
      <c r="D89" s="3190">
        <v>95</v>
      </c>
      <c r="E89" s="3190">
        <v>90</v>
      </c>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3188" t="s">
        <v>3473</v>
      </c>
      <c r="D90" s="3188" t="s">
        <v>3471</v>
      </c>
      <c r="E90" s="3188" t="s">
        <v>3474</v>
      </c>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3191" t="s">
        <v>3475</v>
      </c>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3190">
        <v>100</v>
      </c>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 thickTop="1">
      <c r="A94" s="367"/>
      <c r="B94" s="469" t="str">
        <f>B29</f>
        <v>临路状况</v>
      </c>
      <c r="C94" s="3191" t="s">
        <v>3476</v>
      </c>
      <c r="D94" s="3188" t="s">
        <v>3477</v>
      </c>
      <c r="E94" s="3188" t="s">
        <v>3478</v>
      </c>
      <c r="F94" s="3188" t="s">
        <v>3479</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3189">
        <v>100</v>
      </c>
      <c r="D95" s="3190">
        <v>99</v>
      </c>
      <c r="E95" s="3190">
        <v>98</v>
      </c>
      <c r="F95" s="3190">
        <v>97</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92" t="s">
        <v>3480</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0(含)-50</v>
      </c>
      <c r="D102" s="509" t="str">
        <f t="shared" ref="D102:L102" si="23">D103&amp;"(含)"&amp;"-"&amp;E103</f>
        <v>50(含)-100</v>
      </c>
      <c r="E102" s="509" t="str">
        <f t="shared" si="23"/>
        <v>100(含)-150</v>
      </c>
      <c r="F102" s="509" t="str">
        <f t="shared" si="23"/>
        <v>150(含)-200</v>
      </c>
      <c r="G102" s="509" t="str">
        <f t="shared" si="23"/>
        <v>200(含)-300</v>
      </c>
      <c r="H102" s="509" t="str">
        <f t="shared" si="23"/>
        <v>300(含)-400</v>
      </c>
      <c r="I102" s="509" t="str">
        <f t="shared" si="23"/>
        <v>400(含)-500</v>
      </c>
      <c r="J102" s="509" t="str">
        <f t="shared" si="23"/>
        <v>500(含)-600</v>
      </c>
      <c r="K102" s="509" t="str">
        <f t="shared" si="23"/>
        <v>600(含)-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93">
        <v>0</v>
      </c>
      <c r="D103" s="3193">
        <v>50</v>
      </c>
      <c r="E103" s="3193">
        <v>100</v>
      </c>
      <c r="F103" s="3193">
        <v>150</v>
      </c>
      <c r="G103" s="3193">
        <v>200</v>
      </c>
      <c r="H103" s="6">
        <v>300</v>
      </c>
      <c r="I103" s="6">
        <v>400</v>
      </c>
      <c r="J103" s="524">
        <v>500</v>
      </c>
      <c r="K103" s="524">
        <v>600</v>
      </c>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3189">
        <v>100</v>
      </c>
      <c r="D104" s="3190">
        <f>C104-1</f>
        <v>99</v>
      </c>
      <c r="E104" s="3190">
        <f t="shared" ref="E104:K104" si="24">D104-1</f>
        <v>98</v>
      </c>
      <c r="F104" s="3190">
        <f t="shared" si="24"/>
        <v>97</v>
      </c>
      <c r="G104" s="3190">
        <f t="shared" si="24"/>
        <v>96</v>
      </c>
      <c r="H104" s="3190">
        <f t="shared" si="24"/>
        <v>95</v>
      </c>
      <c r="I104" s="3190">
        <f t="shared" si="24"/>
        <v>94</v>
      </c>
      <c r="J104" s="3190">
        <f t="shared" si="24"/>
        <v>93</v>
      </c>
      <c r="K104" s="3190">
        <f t="shared" si="24"/>
        <v>92</v>
      </c>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3188" t="s">
        <v>3481</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3188" t="s">
        <v>3482</v>
      </c>
      <c r="D114" s="3188" t="s">
        <v>3483</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3188" t="s">
        <v>3484</v>
      </c>
      <c r="D116" s="3188" t="s">
        <v>3485</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90</v>
      </c>
      <c r="E117" s="475">
        <f>D117-$K39</f>
        <v>80</v>
      </c>
      <c r="F117" s="475">
        <f>E117-$K39</f>
        <v>70</v>
      </c>
      <c r="G117" s="475">
        <f>F117-$K39</f>
        <v>60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3188" t="s">
        <v>3486</v>
      </c>
      <c r="D122" s="3188" t="s">
        <v>3487</v>
      </c>
      <c r="E122" s="3188" t="s">
        <v>3488</v>
      </c>
      <c r="F122" s="3227" t="s">
        <v>3489</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T32" sqref="T32"/>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60" t="s">
        <v>2084</v>
      </c>
      <c r="D1" s="3561"/>
      <c r="E1" s="3561"/>
      <c r="F1" s="3561"/>
      <c r="G1" s="3561"/>
      <c r="H1" s="3561"/>
      <c r="I1" s="3561"/>
      <c r="J1" s="3561"/>
      <c r="K1" s="3561"/>
      <c r="L1" s="3561"/>
      <c r="M1" s="3561"/>
      <c r="N1" s="3561"/>
      <c r="O1" s="3561"/>
      <c r="P1" s="3561"/>
      <c r="Q1" s="3561"/>
      <c r="R1" s="3561"/>
      <c r="S1" s="3562"/>
      <c r="T1" s="929" t="s">
        <v>2085</v>
      </c>
    </row>
    <row r="2" spans="1:45" s="625" customFormat="1" ht="13">
      <c r="A2" s="930"/>
      <c r="B2" s="622" t="s">
        <v>2086</v>
      </c>
      <c r="C2" s="14" t="str">
        <f t="shared" ref="C2:L2" si="0">C3&amp;"(含)"&amp;"-"&amp;D3</f>
        <v>0(含)-50</v>
      </c>
      <c r="D2" s="623" t="str">
        <f t="shared" si="0"/>
        <v>50(含)-100</v>
      </c>
      <c r="E2" s="623" t="str">
        <f t="shared" si="0"/>
        <v>100(含)-150</v>
      </c>
      <c r="F2" s="623" t="str">
        <f t="shared" si="0"/>
        <v>150(含)-200</v>
      </c>
      <c r="G2" s="623" t="str">
        <f t="shared" si="0"/>
        <v>200(含)-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'比较法-商业租金'!C103</f>
        <v>0</v>
      </c>
      <c r="D3" s="627">
        <f>'比较法-商业租金'!D103</f>
        <v>50</v>
      </c>
      <c r="E3" s="627">
        <f>'比较法-商业租金'!E103</f>
        <v>100</v>
      </c>
      <c r="F3" s="627">
        <f>'比较法-商业租金'!F103</f>
        <v>150</v>
      </c>
      <c r="G3" s="627">
        <f>'比较法-商业租金'!G103</f>
        <v>200</v>
      </c>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'比较法-商业租金'!C104</f>
        <v>100</v>
      </c>
      <c r="D4" s="627">
        <f>'比较法-商业租金'!D104</f>
        <v>99</v>
      </c>
      <c r="E4" s="627">
        <f>'比较法-商业租金'!E104</f>
        <v>98</v>
      </c>
      <c r="F4" s="627">
        <f>'比较法-商业租金'!F104</f>
        <v>97</v>
      </c>
      <c r="G4" s="627">
        <f>'比较法-商业租金'!G104</f>
        <v>96</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5">
      <c r="A5" s="925"/>
      <c r="B5" s="3615" t="s">
        <v>3644</v>
      </c>
      <c r="C5" s="940" t="str">
        <f>'比较法-商业租金'!C122</f>
        <v>精装修</v>
      </c>
      <c r="D5" s="940" t="str">
        <f>'比较法-商业租金'!D122</f>
        <v>普通装修</v>
      </c>
      <c r="E5" s="940" t="str">
        <f>'比较法-商业租金'!E122</f>
        <v>简单装修</v>
      </c>
      <c r="F5" s="940" t="str">
        <f>'比较法-商业租金'!F122</f>
        <v>毛坯</v>
      </c>
      <c r="G5" s="940"/>
      <c r="H5" s="940"/>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2094</v>
      </c>
      <c r="E19" s="1253"/>
      <c r="F19" s="1253"/>
      <c r="G19" s="1253"/>
      <c r="H19" s="996"/>
      <c r="I19" s="151"/>
      <c r="J19" s="151"/>
      <c r="K19" s="151"/>
      <c r="L19" s="151"/>
      <c r="M19" s="151"/>
      <c r="N19" s="151"/>
      <c r="O19" s="151"/>
      <c r="P19" s="151"/>
      <c r="Q19" s="151"/>
      <c r="R19" s="151"/>
      <c r="S19" s="121"/>
    </row>
    <row r="20" spans="1:45" ht="16" thickBot="1">
      <c r="A20" s="632" t="s">
        <v>2095</v>
      </c>
      <c r="B20" s="286">
        <f>IF(D20="——",S22,S22-F20)</f>
        <v>0</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5">
      <c r="A21" s="632" t="s">
        <v>2097</v>
      </c>
      <c r="B21" s="286">
        <f>ROUND(B20*10000/B22,0)</f>
        <v>0</v>
      </c>
      <c r="C21" s="151"/>
      <c r="D21" s="151"/>
      <c r="E21" s="151"/>
      <c r="F21" s="151"/>
      <c r="G21" s="151"/>
      <c r="H21" s="151"/>
      <c r="I21" s="151"/>
      <c r="J21" s="151"/>
      <c r="K21" s="151"/>
      <c r="L21" s="151"/>
      <c r="M21" s="151"/>
      <c r="N21" s="151"/>
      <c r="O21" s="151"/>
      <c r="P21" s="151"/>
      <c r="Q21" s="151"/>
      <c r="R21" s="151"/>
      <c r="S21" s="121"/>
    </row>
    <row r="22" spans="1:45" ht="13">
      <c r="A22" s="308" t="s">
        <v>2098</v>
      </c>
      <c r="B22" s="21">
        <f>SUM(B24:B10000)</f>
        <v>525.41000000000008</v>
      </c>
      <c r="C22" s="3557" t="s">
        <v>27</v>
      </c>
      <c r="D22" s="3558"/>
      <c r="E22" s="3558"/>
      <c r="F22" s="3558"/>
      <c r="G22" s="3558"/>
      <c r="H22" s="3558"/>
      <c r="I22" s="3558"/>
      <c r="J22" s="3558"/>
      <c r="K22" s="3558"/>
      <c r="L22" s="3558"/>
      <c r="M22" s="3558"/>
      <c r="N22" s="3558"/>
      <c r="O22" s="3558"/>
      <c r="P22" s="3558"/>
      <c r="Q22" s="3559"/>
      <c r="R22" s="21">
        <f>ROUND(S22*10000/B22,0)</f>
        <v>0</v>
      </c>
      <c r="S22" s="21">
        <f>SUM(S24:S10000)</f>
        <v>0</v>
      </c>
    </row>
    <row r="23" spans="1:45" s="9" customFormat="1" ht="26">
      <c r="A23" s="8" t="s">
        <v>2099</v>
      </c>
      <c r="B23" s="8" t="s">
        <v>2100</v>
      </c>
      <c r="C23" s="8" t="s">
        <v>2101</v>
      </c>
      <c r="D23" s="8" t="str">
        <f>B5</f>
        <v>装修状况</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v>0.9</v>
      </c>
      <c r="V23" s="688">
        <v>1.1000000000000001</v>
      </c>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3614" t="s">
        <v>3640</v>
      </c>
      <c r="B24" s="633">
        <f>'数据-基础表'!G13</f>
        <v>137.74</v>
      </c>
      <c r="C24" s="2570">
        <v>1</v>
      </c>
      <c r="D24" s="2571" t="s">
        <v>3487</v>
      </c>
      <c r="E24" s="2570">
        <v>1</v>
      </c>
      <c r="F24" s="2571"/>
      <c r="G24" s="2570">
        <v>1</v>
      </c>
      <c r="H24" s="2571"/>
      <c r="I24" s="2570">
        <v>1</v>
      </c>
      <c r="J24" s="2571"/>
      <c r="K24" s="2570">
        <v>1</v>
      </c>
      <c r="L24" s="2571"/>
      <c r="M24" s="2570">
        <v>1</v>
      </c>
      <c r="N24" s="2571"/>
      <c r="O24" s="2570">
        <v>1</v>
      </c>
      <c r="P24" s="2571"/>
      <c r="Q24" s="2570">
        <v>1</v>
      </c>
      <c r="R24" s="633">
        <f>'比较法-商业租金'!C49</f>
        <v>8.9</v>
      </c>
      <c r="S24" s="634">
        <f t="shared" ref="S24:S54" si="11">ROUND(R24*B24/10000,0)</f>
        <v>0</v>
      </c>
      <c r="T24" s="689"/>
      <c r="U24" s="689">
        <f>R24*U23</f>
        <v>8.01</v>
      </c>
      <c r="V24" s="689">
        <f>R24*V23</f>
        <v>9.7900000000000009</v>
      </c>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t="s">
        <v>3641</v>
      </c>
      <c r="B25" s="633">
        <f>'数据-基础表'!G14</f>
        <v>138.06</v>
      </c>
      <c r="C25" s="21">
        <f>IF(B25="",1,(LOOKUP(B25,$3:$3,$4:$4)-LOOKUP($B$24,$3:$3,$4:$4)+100)/100)</f>
        <v>1</v>
      </c>
      <c r="D25" s="2571" t="s">
        <v>3487</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3616">
        <f>IF(B25="",0,ROUND($R$24*C25*E25*G25*I25*K25*M25*O25*Q25,1))</f>
        <v>8.9</v>
      </c>
      <c r="S25" s="308">
        <f t="shared" si="11"/>
        <v>0</v>
      </c>
    </row>
    <row r="26" spans="1:45" ht="13">
      <c r="A26" s="142" t="s">
        <v>3642</v>
      </c>
      <c r="B26" s="633">
        <f>'数据-基础表'!G15</f>
        <v>141.4</v>
      </c>
      <c r="C26" s="21">
        <f t="shared" ref="C26:C89" si="12">IF(B26="",1,(LOOKUP(B26,$3:$3,$4:$4)-LOOKUP($B$24,$3:$3,$4:$4)+100)/100)</f>
        <v>1</v>
      </c>
      <c r="D26" s="2571" t="s">
        <v>3487</v>
      </c>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3616">
        <f>IF(B26="",0,ROUND($R$24*C26*E26*G26*I26*K26*M26*O26*Q26,1))</f>
        <v>8.9</v>
      </c>
      <c r="S26" s="308">
        <f t="shared" si="11"/>
        <v>0</v>
      </c>
    </row>
    <row r="27" spans="1:45" ht="13">
      <c r="A27" s="142" t="s">
        <v>3643</v>
      </c>
      <c r="B27" s="633">
        <f>'数据-基础表'!G16</f>
        <v>108.21</v>
      </c>
      <c r="C27" s="21">
        <f t="shared" si="12"/>
        <v>1</v>
      </c>
      <c r="D27" s="2571" t="s">
        <v>3487</v>
      </c>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3616">
        <f>IF(B27="",0,ROUND($R$24*C27*E27*G27*I27*K27*M27*O27*Q27,1))</f>
        <v>8.9</v>
      </c>
      <c r="S27" s="308">
        <f t="shared" si="11"/>
        <v>0</v>
      </c>
    </row>
    <row r="28" spans="1:45" ht="13">
      <c r="A28" s="142"/>
      <c r="B28" s="52"/>
      <c r="C28" s="21">
        <f t="shared" si="12"/>
        <v>1</v>
      </c>
      <c r="D28" s="635"/>
      <c r="E28" s="21">
        <f t="shared" si="13"/>
        <v>0</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ref="R26:R89" si="20">IF(B28="",0,ROUND($R$24*C28*E28*G28*I28*K28*M28*O28*Q28,0))</f>
        <v>0</v>
      </c>
      <c r="S28" s="308">
        <f t="shared" si="11"/>
        <v>0</v>
      </c>
    </row>
    <row r="29" spans="1:45" ht="13">
      <c r="A29" s="142"/>
      <c r="B29" s="52"/>
      <c r="C29" s="21">
        <f t="shared" si="12"/>
        <v>1</v>
      </c>
      <c r="D29" s="635"/>
      <c r="E29" s="21">
        <f t="shared" si="13"/>
        <v>0</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0</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0</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0</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0</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0</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0</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0</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0</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0</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0</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0</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0</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0</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0</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0</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0</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0</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0</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0</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0</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0</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0</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0</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0</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0</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0</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0</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0</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0</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0</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0</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0</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0</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0</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0</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0</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0</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0</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0</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0</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0</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0</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0</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0</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0</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0</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0</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0</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0</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0</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0</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0</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0</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0</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0</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0</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0</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0</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0</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0</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0</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0</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0</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0</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0</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0</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0</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0</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0</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0</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0</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0</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0</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0</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0</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0</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0</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0</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0</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0</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0</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0</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0</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0</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0</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0</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0</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0</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0</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0</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0</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0</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0</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0</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0</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0</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0</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0</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0</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0</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0</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0</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0</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0</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0</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0</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0</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0</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0</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0</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0</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0</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0</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0</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0</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0</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0</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0</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0</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0</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0</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0</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0</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0</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0</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0</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0</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0</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0</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0</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0</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0</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0</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0</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0</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0</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0</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0</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0</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0</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0</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0</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0</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0</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0</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0</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0</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0</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0</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0</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0</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0</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0</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0</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0</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0</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0</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0</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0</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0</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0</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0</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0</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0</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0</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0</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0</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0</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0</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0</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0</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0</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0</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0</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0</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0</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0</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0</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0</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0</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0</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0</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0</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0</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0</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0</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0</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0</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0</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0</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0</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0</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0</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0</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0</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0</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0</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0</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0</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0</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0</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0</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0</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0</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0</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0</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0</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0</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0</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0</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0</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0</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0</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0</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0</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0</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0</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0</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0</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0</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0</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0</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0</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0</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0</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0</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0</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0</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0</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0</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0</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0</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0</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0</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0</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0</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0</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0</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0</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0</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0</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0</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0</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0</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0</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0</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0</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0</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0</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0</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0</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0</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0</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0</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0</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0</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0</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0</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0</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0</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0</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0</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0</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0</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0</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0</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0</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0</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0</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0</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0</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0</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0</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0</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0</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0</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0</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0</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0</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0</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0</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0</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0</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0</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0</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0</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0</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0</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0</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0</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0</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0</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0</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0</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0</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0</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0</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0</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0</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0</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0</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0</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0</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0</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0</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0</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0</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0</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0</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0</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0</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0</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0</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0</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0</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0</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0</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0</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0</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0</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0</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0</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0</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0</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0</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0</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0</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0</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0</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0</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0</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0</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0</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0</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0</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0</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0</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0</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0</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0</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0</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0</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0</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0</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0</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0</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0</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0</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0</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0</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0</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0</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0</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0</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0</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0</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0</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0</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0</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0</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0</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0</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0</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0</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0</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0</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0</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0</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0</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0</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0</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0</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0</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0</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0</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0</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0</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0</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0</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0</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0</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0</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0</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0</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0</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0</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0</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0</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0</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0</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0</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0</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0</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0</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0</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0</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0</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0</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0</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0</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0</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0</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0</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0</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0</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0</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0</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628">
        <f>面积信息!D426</f>
        <v>0</v>
      </c>
      <c r="B437" s="52"/>
      <c r="C437" s="21">
        <f t="shared" si="74"/>
        <v>1</v>
      </c>
      <c r="D437" s="635"/>
      <c r="E437" s="21">
        <f t="shared" si="75"/>
        <v>0</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628">
        <f>面积信息!D427</f>
        <v>0</v>
      </c>
      <c r="B438" s="52"/>
      <c r="C438" s="21">
        <f t="shared" si="74"/>
        <v>1</v>
      </c>
      <c r="D438" s="635"/>
      <c r="E438" s="21">
        <f t="shared" si="75"/>
        <v>0</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628">
        <f>面积信息!D428</f>
        <v>0</v>
      </c>
      <c r="B439" s="52"/>
      <c r="C439" s="21">
        <f t="shared" si="74"/>
        <v>1</v>
      </c>
      <c r="D439" s="635"/>
      <c r="E439" s="21">
        <f t="shared" si="75"/>
        <v>0</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0</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0</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0</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0</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0</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0</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0</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0</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0</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0</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0</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0</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0</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0</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0</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0</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0</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0</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0</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0</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0</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0</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0</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0</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0</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0</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0</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0</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0</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0</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0</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0</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0</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0</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0</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0</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0</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0</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0</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0</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0</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0</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0</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0</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0</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0</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0</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0</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0</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0</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0</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0</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0</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0</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0</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0</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0</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0</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0</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0</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0</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0</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0</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0</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0</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0</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0</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0</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0</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0</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0</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0</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0</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0</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0</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0</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0</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0</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0</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0</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0</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0</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0</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0</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0</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a0w3bInhXbjWlZgY98E0S5yFCrF4kvdhVHnJWMj3DW1E7hUL1qIXwn41n2b2IBJKxlrKinMoazOwRUGpr5a/Iw==" saltValue="dNU7Hhq1sgYE32TKR/HuWg==" spinCount="100000"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C1AB2-F2C3-43DD-B6C9-C4D865FF9CFF}">
  <sheetPr>
    <tabColor rgb="FF7030A0"/>
  </sheetPr>
  <dimension ref="K2:AC95"/>
  <sheetViews>
    <sheetView workbookViewId="0">
      <selection activeCell="K11" sqref="K11"/>
    </sheetView>
  </sheetViews>
  <sheetFormatPr defaultRowHeight="14"/>
  <sheetData>
    <row r="2" spans="11:18">
      <c r="K2" s="1405" t="s">
        <v>3622</v>
      </c>
      <c r="M2" s="1405" t="s">
        <v>3493</v>
      </c>
      <c r="N2" s="1405" t="s">
        <v>3462</v>
      </c>
      <c r="O2" s="1405" t="s">
        <v>3623</v>
      </c>
      <c r="P2" s="3230">
        <v>0.05</v>
      </c>
    </row>
    <row r="3" spans="11:18">
      <c r="K3" s="1405" t="s">
        <v>3624</v>
      </c>
      <c r="L3" s="1405" t="str">
        <f>P21</f>
        <v>华业玫瑰东方</v>
      </c>
      <c r="M3">
        <f>P22</f>
        <v>57.79</v>
      </c>
      <c r="N3">
        <f>P25</f>
        <v>11.38</v>
      </c>
      <c r="O3">
        <f>ROUND(N3*(1+$O$17),2)</f>
        <v>11.38</v>
      </c>
      <c r="P3" s="1405" t="s">
        <v>3486</v>
      </c>
      <c r="Q3" s="1405" t="str">
        <f>P24</f>
        <v>层高较高，已隔成两层使用</v>
      </c>
      <c r="R3" s="1405"/>
    </row>
    <row r="4" spans="11:18">
      <c r="K4" s="1405" t="s">
        <v>3625</v>
      </c>
      <c r="L4" s="1405" t="str">
        <f>P54</f>
        <v>天鹅湾南区</v>
      </c>
      <c r="M4">
        <f>P55</f>
        <v>137.19</v>
      </c>
      <c r="N4">
        <f>P58</f>
        <v>10.78</v>
      </c>
      <c r="O4">
        <f>ROUND(N4*(1+$O$17),2)</f>
        <v>10.78</v>
      </c>
      <c r="P4" s="1405" t="s">
        <v>3486</v>
      </c>
      <c r="Q4" s="1405" t="str">
        <f>P57</f>
        <v>层高较高，已隔成两层使用</v>
      </c>
    </row>
    <row r="5" spans="11:18">
      <c r="K5" s="1405" t="s">
        <v>3626</v>
      </c>
      <c r="L5" s="1405" t="str">
        <f>P91</f>
        <v>爱这城三期</v>
      </c>
      <c r="M5">
        <f>P55</f>
        <v>137.19</v>
      </c>
      <c r="N5">
        <f>P95</f>
        <v>9.39</v>
      </c>
      <c r="O5">
        <f>ROUND(N5*(1+$O$17),2)</f>
        <v>9.39</v>
      </c>
      <c r="P5" s="1405" t="s">
        <v>3486</v>
      </c>
      <c r="Q5" t="str">
        <f>P94</f>
        <v>层高较高，已隔成两层使用</v>
      </c>
    </row>
    <row r="8" spans="11:18">
      <c r="L8" s="1405"/>
    </row>
    <row r="18" spans="15:29">
      <c r="V18" s="1405"/>
      <c r="X18" s="1405"/>
      <c r="Y18" s="1405"/>
      <c r="Z18" s="1405"/>
      <c r="AA18" s="3230"/>
    </row>
    <row r="19" spans="15:29">
      <c r="V19" s="1405"/>
      <c r="W19" s="1405"/>
      <c r="AA19" s="1405"/>
      <c r="AB19" s="1405"/>
      <c r="AC19" s="1405"/>
    </row>
    <row r="20" spans="15:29">
      <c r="V20" s="1405"/>
      <c r="W20" s="1405"/>
      <c r="AA20" s="1405"/>
      <c r="AB20" s="1405"/>
    </row>
    <row r="21" spans="15:29">
      <c r="P21" s="1405" t="s">
        <v>3494</v>
      </c>
      <c r="V21" s="1405"/>
      <c r="W21" s="1405"/>
      <c r="AA21" s="1405"/>
    </row>
    <row r="22" spans="15:29">
      <c r="O22" s="1405" t="s">
        <v>3385</v>
      </c>
      <c r="P22">
        <v>57.79</v>
      </c>
    </row>
    <row r="23" spans="15:29">
      <c r="O23" s="1405" t="s">
        <v>3495</v>
      </c>
      <c r="P23" s="1405" t="s">
        <v>3491</v>
      </c>
    </row>
    <row r="24" spans="15:29">
      <c r="P24" s="1405" t="s">
        <v>3492</v>
      </c>
      <c r="W24" s="1405"/>
    </row>
    <row r="25" spans="15:29">
      <c r="O25" s="1405" t="s">
        <v>3496</v>
      </c>
      <c r="P25">
        <v>11.38</v>
      </c>
    </row>
    <row r="52" spans="15:27">
      <c r="AA52" s="1405" t="s">
        <v>3497</v>
      </c>
    </row>
    <row r="53" spans="15:27">
      <c r="Z53" s="1405" t="s">
        <v>3385</v>
      </c>
      <c r="AA53">
        <v>92.26</v>
      </c>
    </row>
    <row r="54" spans="15:27">
      <c r="P54" s="1405" t="s">
        <v>3500</v>
      </c>
      <c r="Z54" s="1405" t="s">
        <v>3495</v>
      </c>
      <c r="AA54" s="1405" t="s">
        <v>3491</v>
      </c>
    </row>
    <row r="55" spans="15:27">
      <c r="O55" s="1405" t="s">
        <v>3385</v>
      </c>
      <c r="P55">
        <v>137.19</v>
      </c>
      <c r="AA55" s="1405" t="s">
        <v>3498</v>
      </c>
    </row>
    <row r="56" spans="15:27">
      <c r="O56" s="1405" t="s">
        <v>3495</v>
      </c>
      <c r="P56" s="1405" t="s">
        <v>3491</v>
      </c>
      <c r="Z56" s="1405" t="s">
        <v>3496</v>
      </c>
      <c r="AA56">
        <v>13.18</v>
      </c>
    </row>
    <row r="57" spans="15:27">
      <c r="P57" s="1405" t="s">
        <v>3492</v>
      </c>
    </row>
    <row r="58" spans="15:27">
      <c r="O58" s="1405" t="s">
        <v>3496</v>
      </c>
      <c r="P58">
        <v>10.78</v>
      </c>
    </row>
    <row r="91" spans="15:16">
      <c r="P91" s="1405" t="s">
        <v>3499</v>
      </c>
    </row>
    <row r="92" spans="15:16">
      <c r="O92" s="1405" t="s">
        <v>3385</v>
      </c>
      <c r="P92">
        <v>56.01</v>
      </c>
    </row>
    <row r="93" spans="15:16">
      <c r="O93" s="1405" t="s">
        <v>3495</v>
      </c>
      <c r="P93" s="1405" t="s">
        <v>3491</v>
      </c>
    </row>
    <row r="94" spans="15:16">
      <c r="P94" s="1405" t="s">
        <v>3492</v>
      </c>
    </row>
    <row r="95" spans="15:16">
      <c r="O95" s="1405" t="s">
        <v>3496</v>
      </c>
      <c r="P95">
        <v>9.39</v>
      </c>
    </row>
  </sheetData>
  <phoneticPr fontId="13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受贵公司委托，我公司对北京市朝阳区朝阳路69号1号楼1-3（1-1）号等4套房地产市场价值进行了预评估。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估价对象为北京市朝阳区朝阳路69号1号楼1-3（1-1）号等4套房地产，为李胜利所有。根据《国有土地使用证》[]，估价对象（分摊）出让国有建设用地使用权面积为0平方米，建筑面积为525.41平方米。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路69号1号楼1-3（1-1）号等4套房地产,属李胜利开发建设的商业项目，该项目尚在开发建设中。根据《国有土地使用证》[]，估价对象（分摊）出让国有建设用地使用权面积为0平方米，规划建筑面积为525.41平方米。</v>
      </c>
    </row>
    <row r="11" spans="1:1" ht="71">
      <c r="A11" s="1385" t="s">
        <v>903</v>
      </c>
    </row>
    <row r="12" spans="1:1" ht="18">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905</v>
      </c>
    </row>
    <row r="15" spans="1:1" ht="17.5">
      <c r="A15" s="1386" t="str">
        <f>TEXT(项目基本情况!D3,"yyyy年m月d日;;")&amp;IF(项目基本情况!D3=项目基本情况!B3,"（评估专业人员实地查勘之日）","")</f>
        <v>2026年1月4日（评估专业人员实地查勘之日）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4日，估价对象规划用途为配套，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382" t="str">
        <f>IF(项目基本情况!B9="房地产市场价值","——",IF(项目基本情况!E8="房地产抵押价值",定义!C54,IF(项目基本情况!E8="已注销",定义!C55,定义!C56)))</f>
        <v>——</v>
      </c>
    </row>
    <row r="21" spans="1:1" ht="17.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382" t="str">
        <f>IF(项目基本情况!B9="房地产市场价值","——",IF(项目基本情况!E9="——","",定义!C57))</f>
        <v>——</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34F7B-03EE-48DF-9ACE-720CC1765E5C}">
  <sheetPr>
    <tabColor rgb="FF7030A0"/>
  </sheetPr>
  <dimension ref="A1:L6"/>
  <sheetViews>
    <sheetView topLeftCell="E1" workbookViewId="0">
      <selection activeCell="F2" sqref="F2"/>
    </sheetView>
  </sheetViews>
  <sheetFormatPr defaultRowHeight="14"/>
  <cols>
    <col min="1" max="1" width="27.08984375" customWidth="1"/>
    <col min="3" max="3" width="52.90625" customWidth="1"/>
  </cols>
  <sheetData>
    <row r="1" spans="1:12">
      <c r="A1" s="1405" t="s">
        <v>3415</v>
      </c>
      <c r="B1" s="1405" t="s">
        <v>3417</v>
      </c>
      <c r="C1" s="1405" t="s">
        <v>3418</v>
      </c>
      <c r="D1" s="1405" t="s">
        <v>3421</v>
      </c>
      <c r="E1" s="1405" t="s">
        <v>3423</v>
      </c>
      <c r="F1" s="1405" t="s">
        <v>3424</v>
      </c>
      <c r="G1" s="1405" t="s">
        <v>3425</v>
      </c>
      <c r="H1" s="1405" t="s">
        <v>3426</v>
      </c>
      <c r="I1" s="1405" t="s">
        <v>3427</v>
      </c>
      <c r="J1" s="1405" t="s">
        <v>3428</v>
      </c>
      <c r="K1" s="1405" t="s">
        <v>3429</v>
      </c>
      <c r="L1" s="1405" t="s">
        <v>3435</v>
      </c>
    </row>
    <row r="2" spans="1:12">
      <c r="A2" s="1405" t="s">
        <v>3648</v>
      </c>
      <c r="B2" s="1405" t="s">
        <v>3419</v>
      </c>
      <c r="C2" s="1405" t="s">
        <v>3439</v>
      </c>
      <c r="D2" s="1405" t="s">
        <v>3422</v>
      </c>
      <c r="E2">
        <v>1</v>
      </c>
      <c r="F2" s="1405" t="s">
        <v>3440</v>
      </c>
      <c r="G2" s="1405" t="s">
        <v>3430</v>
      </c>
      <c r="H2" s="1405" t="s">
        <v>3431</v>
      </c>
      <c r="I2">
        <v>1</v>
      </c>
      <c r="J2">
        <v>137.74</v>
      </c>
      <c r="K2" s="1405" t="s">
        <v>3432</v>
      </c>
    </row>
    <row r="3" spans="1:12">
      <c r="A3" s="1405" t="s">
        <v>3649</v>
      </c>
      <c r="B3" s="1405" t="s">
        <v>3419</v>
      </c>
      <c r="C3" s="1405" t="s">
        <v>3437</v>
      </c>
      <c r="D3" s="1405" t="s">
        <v>3422</v>
      </c>
      <c r="E3">
        <v>1</v>
      </c>
      <c r="F3" s="1405" t="s">
        <v>3438</v>
      </c>
      <c r="G3" s="1405" t="s">
        <v>3430</v>
      </c>
      <c r="H3" s="1405" t="s">
        <v>3431</v>
      </c>
      <c r="I3">
        <v>1</v>
      </c>
      <c r="J3">
        <v>138.06</v>
      </c>
      <c r="K3" s="1405" t="s">
        <v>3432</v>
      </c>
    </row>
    <row r="4" spans="1:12">
      <c r="A4" s="1405" t="s">
        <v>3416</v>
      </c>
      <c r="B4" s="1405" t="s">
        <v>3419</v>
      </c>
      <c r="C4" s="1405" t="s">
        <v>3420</v>
      </c>
      <c r="D4" s="1405" t="s">
        <v>3422</v>
      </c>
      <c r="E4">
        <v>1</v>
      </c>
      <c r="F4" s="1405" t="s">
        <v>3433</v>
      </c>
      <c r="G4" s="1405" t="s">
        <v>3430</v>
      </c>
      <c r="H4" s="1405" t="s">
        <v>3431</v>
      </c>
      <c r="I4">
        <v>1</v>
      </c>
      <c r="J4">
        <v>141.4</v>
      </c>
      <c r="K4" s="1405" t="s">
        <v>3432</v>
      </c>
    </row>
    <row r="5" spans="1:12">
      <c r="A5" s="1405" t="s">
        <v>3650</v>
      </c>
      <c r="B5" s="1405" t="s">
        <v>3419</v>
      </c>
      <c r="C5" s="1405" t="s">
        <v>3434</v>
      </c>
      <c r="D5" s="1405" t="s">
        <v>3422</v>
      </c>
      <c r="E5">
        <v>1</v>
      </c>
      <c r="F5" t="s">
        <v>3436</v>
      </c>
      <c r="G5" s="1405" t="s">
        <v>3430</v>
      </c>
      <c r="H5" s="1405" t="s">
        <v>3431</v>
      </c>
      <c r="I5">
        <v>1</v>
      </c>
      <c r="J5">
        <v>108.21</v>
      </c>
      <c r="K5" s="1405" t="s">
        <v>3432</v>
      </c>
      <c r="L5">
        <v>2005</v>
      </c>
    </row>
    <row r="6" spans="1:12">
      <c r="I6" s="1405" t="s">
        <v>3441</v>
      </c>
      <c r="J6">
        <f>SUM(J2:J5)</f>
        <v>525.41000000000008</v>
      </c>
    </row>
  </sheetData>
  <phoneticPr fontId="135"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F966-4457-453B-9B74-A23CC36764A1}">
  <sheetPr>
    <tabColor rgb="FF7030A0"/>
  </sheetPr>
  <dimension ref="A1"/>
  <sheetViews>
    <sheetView workbookViewId="0"/>
  </sheetViews>
  <sheetFormatPr defaultRowHeight="14"/>
  <sheetData/>
  <phoneticPr fontId="135"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A3BA5-295B-4DF1-9C2A-74B451C78BA3}">
  <sheetPr>
    <tabColor rgb="FF92D050"/>
    <pageSetUpPr fitToPage="1"/>
  </sheetPr>
  <dimension ref="A1:AC131"/>
  <sheetViews>
    <sheetView view="pageBreakPreview" topLeftCell="A28" zoomScale="60" zoomScaleNormal="70" workbookViewId="0">
      <selection activeCell="Q104" sqref="Q104"/>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3453</v>
      </c>
      <c r="E1" s="3124" t="s">
        <v>3461</v>
      </c>
      <c r="F1" s="1735" t="s">
        <v>3639</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46686</v>
      </c>
      <c r="C3" s="344" t="s">
        <v>1665</v>
      </c>
      <c r="D3" s="343">
        <f>IF(D1="",'数据-汇总表'!E3,SUMIF('数据-汇总表'!$C19:$C33,D1,'数据-汇总表'!$E19:$E33))</f>
        <v>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1666</v>
      </c>
      <c r="B4" s="346"/>
      <c r="C4" s="3460" t="s">
        <v>1667</v>
      </c>
      <c r="D4" s="3461"/>
      <c r="E4" s="3462" t="s">
        <v>1668</v>
      </c>
      <c r="F4" s="3463"/>
      <c r="G4" s="3460" t="s">
        <v>1669</v>
      </c>
      <c r="H4" s="3461"/>
      <c r="I4" s="3460" t="s">
        <v>1670</v>
      </c>
      <c r="J4" s="3461"/>
      <c r="K4" s="537" t="s">
        <v>1671</v>
      </c>
      <c r="L4" s="2486"/>
      <c r="M4" s="2487"/>
      <c r="N4" s="2487"/>
      <c r="O4" s="2487"/>
      <c r="P4" s="3464" t="s">
        <v>1672</v>
      </c>
      <c r="Q4" s="3465"/>
      <c r="R4" s="3470" t="s">
        <v>1668</v>
      </c>
      <c r="S4" s="3471"/>
      <c r="T4" s="3470" t="s">
        <v>1669</v>
      </c>
      <c r="U4" s="3471"/>
      <c r="V4" s="3446" t="s">
        <v>1670</v>
      </c>
      <c r="W4" s="3446"/>
      <c r="X4" s="1265"/>
      <c r="Y4" s="3470" t="s">
        <v>1672</v>
      </c>
      <c r="Z4" s="3471"/>
      <c r="AA4" s="3457" t="s">
        <v>1668</v>
      </c>
      <c r="AB4" s="3446" t="s">
        <v>1669</v>
      </c>
      <c r="AC4" s="3457" t="s">
        <v>1670</v>
      </c>
    </row>
    <row r="5" spans="1:29">
      <c r="A5" s="348"/>
      <c r="B5" s="349"/>
      <c r="C5" s="3487" t="s">
        <v>3463</v>
      </c>
      <c r="D5" s="3479"/>
      <c r="E5" s="3485" t="str">
        <f>售价案例!P14</f>
        <v>天鹅湾北区</v>
      </c>
      <c r="F5" s="3486"/>
      <c r="G5" s="3478" t="str">
        <f>售价案例!P15</f>
        <v>沿海赛洛城五期</v>
      </c>
      <c r="H5" s="3479"/>
      <c r="I5" s="3478" t="str">
        <f>售价案例!P16</f>
        <v>世纪东方城南区</v>
      </c>
      <c r="J5" s="3479"/>
      <c r="K5" s="537"/>
      <c r="L5" s="2486"/>
      <c r="M5" s="2487"/>
      <c r="N5" s="2487"/>
      <c r="O5" s="2487"/>
      <c r="P5" s="3466"/>
      <c r="Q5" s="3467"/>
      <c r="R5" s="3472"/>
      <c r="S5" s="3473"/>
      <c r="T5" s="3472"/>
      <c r="U5" s="3473"/>
      <c r="V5" s="3446"/>
      <c r="W5" s="3446"/>
      <c r="X5" s="1265"/>
      <c r="Y5" s="3472"/>
      <c r="Z5" s="3473"/>
      <c r="AA5" s="3458"/>
      <c r="AB5" s="3446"/>
      <c r="AC5" s="3458"/>
    </row>
    <row r="6" spans="1:29" ht="15" thickBot="1">
      <c r="A6" s="350"/>
      <c r="B6" s="351"/>
      <c r="C6" s="3476" t="s">
        <v>1677</v>
      </c>
      <c r="D6" s="3477"/>
      <c r="E6" s="3488" t="s">
        <v>3464</v>
      </c>
      <c r="F6" s="3484"/>
      <c r="G6" s="3476" t="s">
        <v>1677</v>
      </c>
      <c r="H6" s="3477"/>
      <c r="I6" s="3476" t="s">
        <v>1677</v>
      </c>
      <c r="J6" s="3477"/>
      <c r="K6" s="537" t="s">
        <v>1678</v>
      </c>
      <c r="L6" s="2486"/>
      <c r="M6" s="2487"/>
      <c r="N6" s="2487"/>
      <c r="O6" s="2487"/>
      <c r="P6" s="3468"/>
      <c r="Q6" s="3469"/>
      <c r="R6" s="3472"/>
      <c r="S6" s="3473"/>
      <c r="T6" s="3474"/>
      <c r="U6" s="3475"/>
      <c r="V6" s="3446"/>
      <c r="W6" s="3446"/>
      <c r="X6" s="1265"/>
      <c r="Y6" s="3474"/>
      <c r="Z6" s="3475"/>
      <c r="AA6" s="3459"/>
      <c r="AB6" s="3446"/>
      <c r="AC6" s="3459"/>
    </row>
    <row r="7" spans="1:29" s="102" customFormat="1" ht="14.5" thickBot="1">
      <c r="A7" s="352" t="s">
        <v>1679</v>
      </c>
      <c r="B7" s="353"/>
      <c r="C7" s="354">
        <f>'数据-取费表'!B2</f>
        <v>46026</v>
      </c>
      <c r="D7" s="355">
        <v>100</v>
      </c>
      <c r="E7" s="356">
        <f>C7</f>
        <v>46026</v>
      </c>
      <c r="F7" s="357">
        <f>SUMIF(58:58,YEAR(E7)&amp;"-"&amp;MONTH(E7),59:59)</f>
        <v>100</v>
      </c>
      <c r="G7" s="356">
        <f>C7</f>
        <v>46026</v>
      </c>
      <c r="H7" s="355">
        <f>SUMIF(58:58,YEAR(G7)&amp;"-"&amp;MONTH(G7),59:59)</f>
        <v>100</v>
      </c>
      <c r="I7" s="356">
        <f>C7</f>
        <v>46026</v>
      </c>
      <c r="J7" s="355">
        <f>SUMIF(58:58,YEAR(I7)&amp;"-"&amp;MONTH(I7),59:59)</f>
        <v>100</v>
      </c>
      <c r="K7" s="38"/>
      <c r="L7" s="2488"/>
      <c r="M7" s="2440"/>
      <c r="N7" s="2440"/>
      <c r="O7" s="2440"/>
      <c r="P7" s="3480" t="s">
        <v>1680</v>
      </c>
      <c r="Q7" s="3482"/>
      <c r="R7" s="664" t="s">
        <v>14</v>
      </c>
      <c r="S7" s="665">
        <f t="shared" ref="S7:S15" si="0">F7</f>
        <v>100</v>
      </c>
      <c r="T7" s="664" t="s">
        <v>14</v>
      </c>
      <c r="U7" s="665">
        <f t="shared" ref="U7:U15" si="1">H7</f>
        <v>100</v>
      </c>
      <c r="V7" s="664" t="s">
        <v>14</v>
      </c>
      <c r="W7" s="665">
        <f t="shared" ref="W7:W15" si="2">J7</f>
        <v>100</v>
      </c>
      <c r="X7" s="666"/>
      <c r="Y7" s="3480" t="s">
        <v>1680</v>
      </c>
      <c r="Z7" s="3481"/>
      <c r="AA7" s="50">
        <f>D7/F7</f>
        <v>1</v>
      </c>
      <c r="AB7" s="50">
        <f>D7/H7</f>
        <v>1</v>
      </c>
      <c r="AC7" s="50">
        <f>D7/J7</f>
        <v>1</v>
      </c>
    </row>
    <row r="8" spans="1:29" s="102" customFormat="1" ht="14.5" thickBot="1">
      <c r="A8" s="352" t="s">
        <v>1681</v>
      </c>
      <c r="B8" s="353"/>
      <c r="C8" s="358" t="s">
        <v>3465</v>
      </c>
      <c r="D8" s="355">
        <v>100</v>
      </c>
      <c r="E8" s="358" t="s">
        <v>3467</v>
      </c>
      <c r="F8" s="357">
        <f>SUMIF(61:61,E8,62:62)-SUMIF(61:61,C8,62:62)+100</f>
        <v>110</v>
      </c>
      <c r="G8" s="358" t="s">
        <v>3467</v>
      </c>
      <c r="H8" s="355">
        <f>SUMIF(61:61,G8,62:62)-SUMIF(61:61,C8,62:62)+100</f>
        <v>110</v>
      </c>
      <c r="I8" s="358" t="s">
        <v>3467</v>
      </c>
      <c r="J8" s="355">
        <f>SUMIF(61:61,I8,62:62)-SUMIF(61:61,C8,62:62)+100</f>
        <v>110</v>
      </c>
      <c r="K8" s="38"/>
      <c r="L8" s="2488"/>
      <c r="M8" s="2440"/>
      <c r="N8" s="2440"/>
      <c r="O8" s="2440"/>
      <c r="P8" s="3480" t="s">
        <v>1683</v>
      </c>
      <c r="Q8" s="3481"/>
      <c r="R8" s="664" t="s">
        <v>14</v>
      </c>
      <c r="S8" s="665">
        <f t="shared" si="0"/>
        <v>110</v>
      </c>
      <c r="T8" s="664" t="s">
        <v>14</v>
      </c>
      <c r="U8" s="665">
        <f t="shared" si="1"/>
        <v>110</v>
      </c>
      <c r="V8" s="664" t="s">
        <v>14</v>
      </c>
      <c r="W8" s="665">
        <f t="shared" si="2"/>
        <v>110</v>
      </c>
      <c r="X8" s="666"/>
      <c r="Y8" s="3480" t="s">
        <v>1683</v>
      </c>
      <c r="Z8" s="3481"/>
      <c r="AA8" s="50">
        <f t="shared" ref="AA8:AA46" si="3">D8/F8</f>
        <v>0.90909090909090906</v>
      </c>
      <c r="AB8" s="50">
        <f t="shared" ref="AB8:AB46" si="4">D8/H8</f>
        <v>0.90909090909090906</v>
      </c>
      <c r="AC8" s="50">
        <f t="shared" ref="AC8:AC46" si="5">D8/J8</f>
        <v>0.90909090909090906</v>
      </c>
    </row>
    <row r="9" spans="1:29" s="102" customFormat="1">
      <c r="A9" s="359" t="s">
        <v>1684</v>
      </c>
      <c r="B9" s="60" t="s">
        <v>1685</v>
      </c>
      <c r="C9" s="3172" t="s">
        <v>3466</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456"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
      <c r="A10" s="363"/>
      <c r="B10" s="364" t="s">
        <v>1688</v>
      </c>
      <c r="C10" s="3132" t="s">
        <v>3638</v>
      </c>
      <c r="D10" s="119">
        <v>100</v>
      </c>
      <c r="E10" s="3132" t="s">
        <v>3638</v>
      </c>
      <c r="F10" s="364">
        <f>SUMIF(65:65,E10,66:66)-SUMIF(65:65,C10,66:66)+100</f>
        <v>100</v>
      </c>
      <c r="G10" s="3132" t="s">
        <v>3638</v>
      </c>
      <c r="H10" s="119">
        <f>SUMIF(65:65,G10,66:66)-SUMIF(65:65,C10,66:66)+100</f>
        <v>100</v>
      </c>
      <c r="I10" s="3132" t="s">
        <v>3638</v>
      </c>
      <c r="J10" s="119">
        <f>SUMIF(65:65,I10,66:66)-SUMIF(65:65,C10,66:66)+100</f>
        <v>100</v>
      </c>
      <c r="K10" s="38"/>
      <c r="L10" s="2489"/>
      <c r="M10" s="2490"/>
      <c r="N10" s="2490"/>
      <c r="O10" s="2490"/>
      <c r="P10" s="3456"/>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5">
      <c r="A11" s="367"/>
      <c r="B11" s="364" t="s">
        <v>1689</v>
      </c>
      <c r="C11" s="368"/>
      <c r="D11" s="119">
        <v>100</v>
      </c>
      <c r="E11" s="369">
        <f>E14-2+40-2025</f>
        <v>20</v>
      </c>
      <c r="F11" s="364">
        <f>LOOKUP(E11,68:68,69:69)-LOOKUP(C11,68:68,69:69)+100</f>
        <v>100</v>
      </c>
      <c r="G11" s="369">
        <f>G14-2+40-2025</f>
        <v>20</v>
      </c>
      <c r="H11" s="119">
        <f>LOOKUP(G11,68:68,69:69)-LOOKUP(C11,68:68,69:69)+100</f>
        <v>100</v>
      </c>
      <c r="I11" s="369">
        <f>I14-2+40-2025</f>
        <v>17</v>
      </c>
      <c r="J11" s="119">
        <f>LOOKUP(I11,68:68,69:69)-LOOKUP(C11,68:68,69:69)+100</f>
        <v>100</v>
      </c>
      <c r="K11" s="538"/>
      <c r="L11" s="2491"/>
      <c r="M11" s="2487"/>
      <c r="N11" s="2487"/>
      <c r="O11" s="2487"/>
      <c r="P11" s="3456"/>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5">
      <c r="A12" s="370"/>
      <c r="B12" s="447">
        <v>111</v>
      </c>
      <c r="C12" s="371"/>
      <c r="D12" s="372">
        <v>100</v>
      </c>
      <c r="E12" s="411">
        <f>ROUND(1-(1-0)*(2025-E14)/60,2)</f>
        <v>0.7</v>
      </c>
      <c r="F12" s="364">
        <f>SUMIF(70:70,E12,71:71)-SUMIF(70:70,C12,71:71)+100</f>
        <v>100</v>
      </c>
      <c r="G12" s="411">
        <f>ROUND(1-(1-0)*(2025-G14)/60,2)</f>
        <v>0.7</v>
      </c>
      <c r="H12" s="119">
        <f>SUMIF(70:70,G12,71:71)-SUMIF(70:70,C12,71:71)+100</f>
        <v>100</v>
      </c>
      <c r="I12" s="411">
        <f>ROUND(1-(1-0)*(2025-I14)/60,2)</f>
        <v>0.65</v>
      </c>
      <c r="J12" s="119">
        <f>SUMIF(70:70,I12,71:71)-SUMIF(70:70,C12,71:71)+100</f>
        <v>100</v>
      </c>
      <c r="K12" s="539"/>
      <c r="L12" s="2488"/>
      <c r="M12" s="2440"/>
      <c r="N12" s="2440"/>
      <c r="O12" s="2440"/>
      <c r="P12" s="3456"/>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5">
      <c r="A13" s="367"/>
      <c r="B13" s="447">
        <v>111</v>
      </c>
      <c r="C13" s="373"/>
      <c r="D13" s="374">
        <v>100</v>
      </c>
      <c r="E13" s="3185" t="s">
        <v>3632</v>
      </c>
      <c r="F13" s="364">
        <f>SUMIF(72:72,E13,73:73)-SUMIF(72:72,C13,73:73)+100</f>
        <v>100</v>
      </c>
      <c r="G13" s="3185" t="s">
        <v>3632</v>
      </c>
      <c r="H13" s="374">
        <f>SUMIF(72:72,G13,73:73)-SUMIF(72:72,C13,73:73)+100</f>
        <v>100</v>
      </c>
      <c r="I13" s="3185" t="s">
        <v>3632</v>
      </c>
      <c r="J13" s="374">
        <f>SUMIF(72:72,I13,73:73)-SUMIF(72:72,C13,73:73)+100</f>
        <v>100</v>
      </c>
      <c r="K13" s="539"/>
      <c r="L13" s="2492"/>
      <c r="M13" s="2487"/>
      <c r="N13" s="2487"/>
      <c r="O13" s="2487"/>
      <c r="P13" s="3456"/>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6" thickBot="1">
      <c r="A14" s="375"/>
      <c r="B14" s="1749">
        <v>111</v>
      </c>
      <c r="C14" s="376"/>
      <c r="D14" s="377">
        <v>100</v>
      </c>
      <c r="E14" s="373">
        <v>2007</v>
      </c>
      <c r="F14" s="378">
        <f>SUMIF(74:74,E14,75:75)-SUMIF(74:74,C14,75:75)+100</f>
        <v>100</v>
      </c>
      <c r="G14" s="373">
        <v>2007</v>
      </c>
      <c r="H14" s="377">
        <f>SUMIF(74:74,G14,75:75)-SUMIF(74:74,C14,75:75)+100</f>
        <v>100</v>
      </c>
      <c r="I14" s="373">
        <v>2004</v>
      </c>
      <c r="J14" s="377">
        <f>SUMIF(74:74,I14,75:75)-SUMIF(74:74,C14,75:75)+100</f>
        <v>100</v>
      </c>
      <c r="K14" s="539"/>
      <c r="L14" s="2492"/>
      <c r="M14" s="2487"/>
      <c r="N14" s="2487"/>
      <c r="O14" s="2487"/>
      <c r="P14" s="3456"/>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2"/>
      <c r="M15" s="2487"/>
      <c r="N15" s="2487"/>
      <c r="O15" s="2487"/>
      <c r="P15" s="3454" t="s">
        <v>1691</v>
      </c>
      <c r="Q15" s="1263" t="str">
        <f t="shared" si="6"/>
        <v>商业繁华度</v>
      </c>
      <c r="R15" s="667" t="s">
        <v>14</v>
      </c>
      <c r="S15" s="668">
        <f t="shared" si="0"/>
        <v>100</v>
      </c>
      <c r="T15" s="667" t="s">
        <v>14</v>
      </c>
      <c r="U15" s="668">
        <f t="shared" si="1"/>
        <v>100</v>
      </c>
      <c r="V15" s="667" t="s">
        <v>14</v>
      </c>
      <c r="W15" s="668">
        <f t="shared" si="2"/>
        <v>100</v>
      </c>
      <c r="X15" s="1265"/>
      <c r="Y15" s="3447" t="s">
        <v>1691</v>
      </c>
      <c r="Z15" s="1264" t="str">
        <f t="shared" si="7"/>
        <v>商业繁华度</v>
      </c>
      <c r="AA15" s="1264">
        <f t="shared" si="3"/>
        <v>1</v>
      </c>
      <c r="AB15" s="1264">
        <f t="shared" si="4"/>
        <v>1</v>
      </c>
      <c r="AC15" s="1264">
        <f t="shared" si="5"/>
        <v>1</v>
      </c>
    </row>
    <row r="16" spans="1:29" ht="15.5">
      <c r="A16" s="367"/>
      <c r="B16" s="385"/>
      <c r="C16" s="386" t="s">
        <v>3470</v>
      </c>
      <c r="D16" s="387"/>
      <c r="E16" s="386" t="s">
        <v>3470</v>
      </c>
      <c r="F16" s="388"/>
      <c r="G16" s="386" t="s">
        <v>3470</v>
      </c>
      <c r="H16" s="389"/>
      <c r="I16" s="386" t="s">
        <v>3470</v>
      </c>
      <c r="J16" s="387"/>
      <c r="K16" s="541"/>
      <c r="L16" s="2492"/>
      <c r="M16" s="2487"/>
      <c r="N16" s="2487"/>
      <c r="O16" s="2487"/>
      <c r="P16" s="3455"/>
      <c r="Q16" s="1263"/>
      <c r="R16" s="667"/>
      <c r="S16" s="668"/>
      <c r="T16" s="667"/>
      <c r="U16" s="668"/>
      <c r="V16" s="667"/>
      <c r="W16" s="668"/>
      <c r="X16" s="1265"/>
      <c r="Y16" s="344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55"/>
      <c r="Q17" s="1263" t="str">
        <f>B17</f>
        <v>交通便捷度</v>
      </c>
      <c r="R17" s="667" t="s">
        <v>14</v>
      </c>
      <c r="S17" s="668">
        <f>F17</f>
        <v>100</v>
      </c>
      <c r="T17" s="667" t="s">
        <v>14</v>
      </c>
      <c r="U17" s="668">
        <f>H17</f>
        <v>100</v>
      </c>
      <c r="V17" s="667" t="s">
        <v>14</v>
      </c>
      <c r="W17" s="668">
        <f>J17</f>
        <v>100</v>
      </c>
      <c r="X17" s="1265"/>
      <c r="Y17" s="3448"/>
      <c r="Z17" s="1264" t="str">
        <f>Q17</f>
        <v>交通便捷度</v>
      </c>
      <c r="AA17" s="1264">
        <f t="shared" si="3"/>
        <v>1</v>
      </c>
      <c r="AB17" s="1264">
        <f t="shared" si="4"/>
        <v>1</v>
      </c>
      <c r="AC17" s="1264">
        <f t="shared" si="5"/>
        <v>1</v>
      </c>
    </row>
    <row r="18" spans="1:29" ht="15.5">
      <c r="A18" s="367"/>
      <c r="B18" s="395"/>
      <c r="C18" s="386" t="s">
        <v>3470</v>
      </c>
      <c r="D18" s="389"/>
      <c r="E18" s="386" t="s">
        <v>3470</v>
      </c>
      <c r="F18" s="392"/>
      <c r="G18" s="386" t="s">
        <v>3470</v>
      </c>
      <c r="H18" s="387"/>
      <c r="I18" s="386" t="s">
        <v>3470</v>
      </c>
      <c r="J18" s="387"/>
      <c r="K18" s="541"/>
      <c r="L18" s="2492"/>
      <c r="M18" s="2487"/>
      <c r="N18" s="2487"/>
      <c r="O18" s="2487"/>
      <c r="P18" s="3455"/>
      <c r="Q18" s="1263"/>
      <c r="R18" s="667"/>
      <c r="S18" s="668"/>
      <c r="T18" s="667"/>
      <c r="U18" s="668"/>
      <c r="V18" s="667"/>
      <c r="W18" s="668"/>
      <c r="X18" s="1265"/>
      <c r="Y18" s="344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55"/>
      <c r="Q19" s="1263" t="str">
        <f>B19</f>
        <v>公共配套设施</v>
      </c>
      <c r="R19" s="667" t="s">
        <v>14</v>
      </c>
      <c r="S19" s="668">
        <f>F19</f>
        <v>100</v>
      </c>
      <c r="T19" s="667" t="s">
        <v>14</v>
      </c>
      <c r="U19" s="668">
        <f>H19</f>
        <v>100</v>
      </c>
      <c r="V19" s="667" t="s">
        <v>14</v>
      </c>
      <c r="W19" s="668">
        <f>J19</f>
        <v>100</v>
      </c>
      <c r="X19" s="1265"/>
      <c r="Y19" s="3448"/>
      <c r="Z19" s="1264" t="str">
        <f>Q19</f>
        <v>公共配套设施</v>
      </c>
      <c r="AA19" s="1264">
        <f t="shared" si="3"/>
        <v>1</v>
      </c>
      <c r="AB19" s="1264">
        <f t="shared" si="4"/>
        <v>1</v>
      </c>
      <c r="AC19" s="1264">
        <f t="shared" si="5"/>
        <v>1</v>
      </c>
    </row>
    <row r="20" spans="1:29" ht="15.5">
      <c r="A20" s="367"/>
      <c r="B20" s="395"/>
      <c r="C20" s="386" t="s">
        <v>3470</v>
      </c>
      <c r="D20" s="387"/>
      <c r="E20" s="386" t="s">
        <v>3470</v>
      </c>
      <c r="F20" s="388"/>
      <c r="G20" s="386" t="s">
        <v>3470</v>
      </c>
      <c r="H20" s="387"/>
      <c r="I20" s="386" t="s">
        <v>3470</v>
      </c>
      <c r="J20" s="387"/>
      <c r="K20" s="541"/>
      <c r="L20" s="2492"/>
      <c r="M20" s="2487"/>
      <c r="N20" s="2487"/>
      <c r="O20" s="2487"/>
      <c r="P20" s="3455"/>
      <c r="Q20" s="1263"/>
      <c r="R20" s="667"/>
      <c r="S20" s="668"/>
      <c r="T20" s="667"/>
      <c r="U20" s="668"/>
      <c r="V20" s="667"/>
      <c r="W20" s="668"/>
      <c r="X20" s="1265"/>
      <c r="Y20" s="344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455"/>
      <c r="Q21" s="1263" t="str">
        <f>B21</f>
        <v>基础设施水平</v>
      </c>
      <c r="R21" s="667" t="s">
        <v>14</v>
      </c>
      <c r="S21" s="668">
        <f>F21</f>
        <v>100</v>
      </c>
      <c r="T21" s="667" t="s">
        <v>14</v>
      </c>
      <c r="U21" s="668">
        <f>H21</f>
        <v>100</v>
      </c>
      <c r="V21" s="667" t="s">
        <v>14</v>
      </c>
      <c r="W21" s="668">
        <f>J21</f>
        <v>100</v>
      </c>
      <c r="X21" s="1265"/>
      <c r="Y21" s="3448"/>
      <c r="Z21" s="1264" t="str">
        <f>Q21</f>
        <v>基础设施水平</v>
      </c>
      <c r="AA21" s="1264">
        <f t="shared" ref="AA21" si="8">D21/F21</f>
        <v>1</v>
      </c>
      <c r="AB21" s="1264">
        <f t="shared" ref="AB21" si="9">D21/H21</f>
        <v>1</v>
      </c>
      <c r="AC21" s="1264">
        <f t="shared" ref="AC21" si="10">D21/J21</f>
        <v>1</v>
      </c>
    </row>
    <row r="22" spans="1:29" ht="15.5">
      <c r="A22" s="367"/>
      <c r="B22" s="586"/>
      <c r="C22" s="1755" t="s">
        <v>3501</v>
      </c>
      <c r="D22" s="387"/>
      <c r="E22" s="1755" t="s">
        <v>3501</v>
      </c>
      <c r="F22" s="388"/>
      <c r="G22" s="1755" t="s">
        <v>3501</v>
      </c>
      <c r="H22" s="387"/>
      <c r="I22" s="1755" t="s">
        <v>3501</v>
      </c>
      <c r="J22" s="387"/>
      <c r="K22" s="1064"/>
      <c r="L22" s="2492"/>
      <c r="M22" s="2487"/>
      <c r="N22" s="2487"/>
      <c r="O22" s="2487"/>
      <c r="P22" s="3455"/>
      <c r="Q22" s="1263"/>
      <c r="R22" s="667"/>
      <c r="S22" s="668"/>
      <c r="T22" s="667"/>
      <c r="U22" s="668"/>
      <c r="V22" s="667"/>
      <c r="W22" s="668"/>
      <c r="X22" s="1265"/>
      <c r="Y22" s="344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55"/>
      <c r="Q23" s="1263" t="str">
        <f>B23</f>
        <v>自然及人文环境</v>
      </c>
      <c r="R23" s="667" t="s">
        <v>14</v>
      </c>
      <c r="S23" s="668">
        <f>F23</f>
        <v>100</v>
      </c>
      <c r="T23" s="667" t="s">
        <v>14</v>
      </c>
      <c r="U23" s="668">
        <f>H23</f>
        <v>100</v>
      </c>
      <c r="V23" s="667" t="s">
        <v>14</v>
      </c>
      <c r="W23" s="668">
        <f>J23</f>
        <v>100</v>
      </c>
      <c r="X23" s="1265"/>
      <c r="Y23" s="3448"/>
      <c r="Z23" s="1264" t="str">
        <f>Q23</f>
        <v>自然及人文环境</v>
      </c>
      <c r="AA23" s="1264">
        <f t="shared" si="3"/>
        <v>1</v>
      </c>
      <c r="AB23" s="1264">
        <f t="shared" si="4"/>
        <v>1</v>
      </c>
      <c r="AC23" s="1264">
        <f t="shared" si="5"/>
        <v>1</v>
      </c>
    </row>
    <row r="24" spans="1:29" ht="15.5">
      <c r="A24" s="367"/>
      <c r="B24" s="395"/>
      <c r="C24" s="386" t="s">
        <v>3470</v>
      </c>
      <c r="D24" s="387"/>
      <c r="E24" s="386" t="s">
        <v>3470</v>
      </c>
      <c r="F24" s="388"/>
      <c r="G24" s="386" t="s">
        <v>3470</v>
      </c>
      <c r="H24" s="387"/>
      <c r="I24" s="386" t="s">
        <v>3470</v>
      </c>
      <c r="J24" s="387"/>
      <c r="K24" s="541"/>
      <c r="L24" s="2492"/>
      <c r="M24" s="2487"/>
      <c r="N24" s="2487"/>
      <c r="O24" s="2487"/>
      <c r="P24" s="3455"/>
      <c r="Q24" s="1263"/>
      <c r="R24" s="667"/>
      <c r="S24" s="668"/>
      <c r="T24" s="667"/>
      <c r="U24" s="668"/>
      <c r="V24" s="667"/>
      <c r="W24" s="668"/>
      <c r="X24" s="1265"/>
      <c r="Y24" s="3448"/>
      <c r="Z24" s="1264"/>
      <c r="AA24" s="1264">
        <v>1</v>
      </c>
      <c r="AB24" s="1264">
        <v>1</v>
      </c>
      <c r="AC24" s="1264">
        <v>1</v>
      </c>
    </row>
    <row r="25" spans="1:29" ht="15.5">
      <c r="A25" s="367"/>
      <c r="B25" s="364" t="s">
        <v>1780</v>
      </c>
      <c r="C25" s="542" t="s">
        <v>3469</v>
      </c>
      <c r="D25" s="374">
        <v>100</v>
      </c>
      <c r="E25" s="542" t="s">
        <v>3469</v>
      </c>
      <c r="F25" s="400">
        <f>SUMIF(86:86,E25,87:87)-SUMIF(86:86,C25,87:87)+100</f>
        <v>100</v>
      </c>
      <c r="G25" s="542" t="s">
        <v>3469</v>
      </c>
      <c r="H25" s="374">
        <f>SUMIF(86:86,G25,87:87)-SUMIF(86:86,C25,87:87)+100</f>
        <v>100</v>
      </c>
      <c r="I25" s="542" t="s">
        <v>3469</v>
      </c>
      <c r="J25" s="374">
        <f>SUMIF(86:86,I25,87:87)-SUMIF(86:86,C25,87:87)+100</f>
        <v>100</v>
      </c>
      <c r="K25" s="538">
        <v>2</v>
      </c>
      <c r="L25" s="2492"/>
      <c r="M25" s="2487"/>
      <c r="N25" s="2487"/>
      <c r="O25" s="2487"/>
      <c r="P25" s="3455"/>
      <c r="Q25" s="1263" t="str">
        <f t="shared" ref="Q25:Q46" si="11">B25</f>
        <v>临街状况</v>
      </c>
      <c r="R25" s="667" t="s">
        <v>14</v>
      </c>
      <c r="S25" s="668">
        <f>F25</f>
        <v>100</v>
      </c>
      <c r="T25" s="667" t="s">
        <v>14</v>
      </c>
      <c r="U25" s="668">
        <f>H25</f>
        <v>100</v>
      </c>
      <c r="V25" s="667" t="s">
        <v>14</v>
      </c>
      <c r="W25" s="668">
        <f>J25</f>
        <v>100</v>
      </c>
      <c r="X25" s="1265"/>
      <c r="Y25" s="3448"/>
      <c r="Z25" s="1264" t="str">
        <f>Q25</f>
        <v>临街状况</v>
      </c>
      <c r="AA25" s="1264">
        <f t="shared" si="3"/>
        <v>1</v>
      </c>
      <c r="AB25" s="1264">
        <f t="shared" si="4"/>
        <v>1</v>
      </c>
      <c r="AC25" s="1264">
        <f t="shared" si="5"/>
        <v>1</v>
      </c>
    </row>
    <row r="26" spans="1:29" ht="15.5">
      <c r="A26" s="367"/>
      <c r="B26" s="1066" t="s">
        <v>1781</v>
      </c>
      <c r="C26" s="3185" t="s">
        <v>3502</v>
      </c>
      <c r="D26" s="374">
        <v>100</v>
      </c>
      <c r="E26" s="3185" t="s">
        <v>3502</v>
      </c>
      <c r="F26" s="400">
        <f>SUMIF(88:88,E26,89:89)-SUMIF(88:88,C26,89:89)+100</f>
        <v>100</v>
      </c>
      <c r="G26" s="3185" t="s">
        <v>3502</v>
      </c>
      <c r="H26" s="374">
        <f>SUMIF(88:88,G26,89:89)-SUMIF(88:88,C26,89:89)+100</f>
        <v>100</v>
      </c>
      <c r="I26" s="3185" t="s">
        <v>3502</v>
      </c>
      <c r="J26" s="374">
        <f>SUMIF(88:88,I26,89:89)-SUMIF(88:88,C26,89:89)+100</f>
        <v>100</v>
      </c>
      <c r="K26" s="539"/>
      <c r="L26" s="2492"/>
      <c r="M26" s="2487"/>
      <c r="N26" s="2487"/>
      <c r="O26" s="2487"/>
      <c r="P26" s="3455"/>
      <c r="Q26" s="1263" t="str">
        <f t="shared" si="11"/>
        <v>平面位置/可视性</v>
      </c>
      <c r="R26" s="667" t="s">
        <v>14</v>
      </c>
      <c r="S26" s="668">
        <f>F26</f>
        <v>100</v>
      </c>
      <c r="T26" s="667" t="s">
        <v>14</v>
      </c>
      <c r="U26" s="668">
        <f>H26</f>
        <v>100</v>
      </c>
      <c r="V26" s="667" t="s">
        <v>14</v>
      </c>
      <c r="W26" s="668">
        <f>J26</f>
        <v>100</v>
      </c>
      <c r="X26" s="1265"/>
      <c r="Y26" s="3448"/>
      <c r="Z26" s="1264" t="str">
        <f>Q26</f>
        <v>平面位置/可视性</v>
      </c>
      <c r="AA26" s="1264">
        <f t="shared" si="3"/>
        <v>1</v>
      </c>
      <c r="AB26" s="1264">
        <f t="shared" si="4"/>
        <v>1</v>
      </c>
      <c r="AC26" s="1264">
        <f t="shared" si="5"/>
        <v>1</v>
      </c>
    </row>
    <row r="27" spans="1:29" s="102" customFormat="1" ht="15.5">
      <c r="A27" s="370"/>
      <c r="B27" s="390" t="s">
        <v>1782</v>
      </c>
      <c r="C27" s="1807" t="s">
        <v>3471</v>
      </c>
      <c r="D27" s="401">
        <v>100</v>
      </c>
      <c r="E27" s="3184" t="s">
        <v>3474</v>
      </c>
      <c r="F27" s="395">
        <f>SUMIF(90:90,E27,91:91)-SUMIF(90:90,C27,91:91)+100</f>
        <v>95</v>
      </c>
      <c r="G27" s="1807" t="s">
        <v>3474</v>
      </c>
      <c r="H27" s="401">
        <f>SUMIF(90:90,G27,91:91)-SUMIF(90:90,C27,91:91)+100</f>
        <v>95</v>
      </c>
      <c r="I27" s="1807" t="s">
        <v>3474</v>
      </c>
      <c r="J27" s="401">
        <f>SUMIF(90:90,I27,91:91)-SUMIF(90:90,C27,91:91)+100</f>
        <v>95</v>
      </c>
      <c r="K27" s="538">
        <v>5</v>
      </c>
      <c r="L27" s="2488"/>
      <c r="M27" s="2440"/>
      <c r="N27" s="2440"/>
      <c r="O27" s="2440"/>
      <c r="P27" s="3455"/>
      <c r="Q27" s="530" t="str">
        <f t="shared" si="11"/>
        <v>人流量</v>
      </c>
      <c r="R27" s="664" t="s">
        <v>14</v>
      </c>
      <c r="S27" s="665">
        <f>F27</f>
        <v>95</v>
      </c>
      <c r="T27" s="664" t="s">
        <v>14</v>
      </c>
      <c r="U27" s="665">
        <f>H27</f>
        <v>95</v>
      </c>
      <c r="V27" s="664" t="s">
        <v>14</v>
      </c>
      <c r="W27" s="665">
        <f>J27</f>
        <v>95</v>
      </c>
      <c r="X27" s="666"/>
      <c r="Y27" s="3448"/>
      <c r="Z27" s="50" t="str">
        <f>Q27</f>
        <v>人流量</v>
      </c>
      <c r="AA27" s="1264">
        <f>D27/F27</f>
        <v>1.0526315789473684</v>
      </c>
      <c r="AB27" s="1264">
        <f>D27/H27</f>
        <v>1.0526315789473684</v>
      </c>
      <c r="AC27" s="1264">
        <f>D27/J27</f>
        <v>1.0526315789473684</v>
      </c>
    </row>
    <row r="28" spans="1:29" ht="15.5">
      <c r="A28" s="367"/>
      <c r="B28" s="364" t="s">
        <v>1783</v>
      </c>
      <c r="C28" s="542" t="s">
        <v>3490</v>
      </c>
      <c r="D28" s="374">
        <v>100</v>
      </c>
      <c r="E28" s="542" t="s">
        <v>3490</v>
      </c>
      <c r="F28" s="400">
        <f>SUMIF(92:92,E28,93:93)-SUMIF(92:92,C28,93:93)+100</f>
        <v>100</v>
      </c>
      <c r="G28" s="542" t="s">
        <v>3490</v>
      </c>
      <c r="H28" s="374">
        <f>SUMIF(92:92,G28,93:93)-SUMIF(92:92,C28,93:93)+100</f>
        <v>100</v>
      </c>
      <c r="I28" s="542" t="s">
        <v>3490</v>
      </c>
      <c r="J28" s="374">
        <f>SUMIF(92:92,I28,93:93)-SUMIF(92:92,C28,93:93)+100</f>
        <v>100</v>
      </c>
      <c r="K28" s="539"/>
      <c r="L28" s="2492"/>
      <c r="M28" s="2487"/>
      <c r="N28" s="2487"/>
      <c r="O28" s="2487"/>
      <c r="P28" s="345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8"/>
      <c r="Z28" s="1264" t="str">
        <f t="shared" ref="Z28:Z46" si="15">Q28</f>
        <v>楼层</v>
      </c>
      <c r="AA28" s="1264">
        <f t="shared" si="3"/>
        <v>1</v>
      </c>
      <c r="AB28" s="1264">
        <f t="shared" si="4"/>
        <v>1</v>
      </c>
      <c r="AC28" s="1264">
        <f t="shared" si="5"/>
        <v>1</v>
      </c>
    </row>
    <row r="29" spans="1:29" ht="15.5">
      <c r="A29" s="367"/>
      <c r="B29" s="3186" t="s">
        <v>3503</v>
      </c>
      <c r="C29" s="3185" t="s">
        <v>3504</v>
      </c>
      <c r="D29" s="374">
        <v>100</v>
      </c>
      <c r="E29" s="3185" t="s">
        <v>3633</v>
      </c>
      <c r="F29" s="400">
        <f>SUMIF(94:94,E29,95:95)-SUMIF(94:94,C29,95:95)+100</f>
        <v>98</v>
      </c>
      <c r="G29" s="3185" t="s">
        <v>3633</v>
      </c>
      <c r="H29" s="374">
        <f>SUMIF(94:94,G29,95:95)-SUMIF(94:94,C29,95:95)+100</f>
        <v>98</v>
      </c>
      <c r="I29" s="3185" t="s">
        <v>3633</v>
      </c>
      <c r="J29" s="374">
        <f>SUMIF(94:94,I29,95:95)-SUMIF(94:94,C29,95:95)+100</f>
        <v>98</v>
      </c>
      <c r="K29" s="539"/>
      <c r="L29" s="2492"/>
      <c r="M29" s="2487"/>
      <c r="N29" s="2487"/>
      <c r="O29" s="2487"/>
      <c r="P29" s="3455"/>
      <c r="Q29" s="1263" t="str">
        <f t="shared" si="11"/>
        <v>临路状况</v>
      </c>
      <c r="R29" s="667" t="s">
        <v>14</v>
      </c>
      <c r="S29" s="668">
        <f t="shared" si="12"/>
        <v>98</v>
      </c>
      <c r="T29" s="667" t="s">
        <v>14</v>
      </c>
      <c r="U29" s="668">
        <f t="shared" si="13"/>
        <v>98</v>
      </c>
      <c r="V29" s="667" t="s">
        <v>14</v>
      </c>
      <c r="W29" s="668">
        <f t="shared" si="14"/>
        <v>98</v>
      </c>
      <c r="X29" s="1265"/>
      <c r="Y29" s="3448"/>
      <c r="Z29" s="1264" t="str">
        <f t="shared" si="15"/>
        <v>临路状况</v>
      </c>
      <c r="AA29" s="1264">
        <f t="shared" si="3"/>
        <v>1.0204081632653061</v>
      </c>
      <c r="AB29" s="1264">
        <f t="shared" si="4"/>
        <v>1.0204081632653061</v>
      </c>
      <c r="AC29" s="1264">
        <f t="shared" si="5"/>
        <v>1.0204081632653061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55"/>
      <c r="Q30" s="1263">
        <f t="shared" si="11"/>
        <v>111</v>
      </c>
      <c r="R30" s="667" t="s">
        <v>14</v>
      </c>
      <c r="S30" s="668">
        <f t="shared" si="12"/>
        <v>100</v>
      </c>
      <c r="T30" s="667" t="s">
        <v>14</v>
      </c>
      <c r="U30" s="668">
        <f t="shared" si="13"/>
        <v>100</v>
      </c>
      <c r="V30" s="667" t="s">
        <v>14</v>
      </c>
      <c r="W30" s="668">
        <f t="shared" si="14"/>
        <v>100</v>
      </c>
      <c r="X30" s="1265"/>
      <c r="Y30" s="344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55"/>
      <c r="Q31" s="1263">
        <f t="shared" si="11"/>
        <v>111</v>
      </c>
      <c r="R31" s="667" t="s">
        <v>14</v>
      </c>
      <c r="S31" s="668">
        <f t="shared" si="12"/>
        <v>100</v>
      </c>
      <c r="T31" s="667" t="s">
        <v>14</v>
      </c>
      <c r="U31" s="668">
        <f t="shared" si="13"/>
        <v>100</v>
      </c>
      <c r="V31" s="667" t="s">
        <v>14</v>
      </c>
      <c r="W31" s="668">
        <f t="shared" si="14"/>
        <v>100</v>
      </c>
      <c r="X31" s="1265"/>
      <c r="Y31" s="3448"/>
      <c r="Z31" s="1264">
        <f t="shared" si="15"/>
        <v>111</v>
      </c>
      <c r="AA31" s="1264">
        <f t="shared" si="3"/>
        <v>1</v>
      </c>
      <c r="AB31" s="1264">
        <f t="shared" si="4"/>
        <v>1</v>
      </c>
      <c r="AC31" s="1264">
        <f t="shared" si="5"/>
        <v>1</v>
      </c>
    </row>
    <row r="32" spans="1:29" ht="15.5">
      <c r="A32" s="379" t="s">
        <v>1694</v>
      </c>
      <c r="B32" s="60" t="s">
        <v>1784</v>
      </c>
      <c r="C32" s="1764" t="s">
        <v>3480</v>
      </c>
      <c r="D32" s="405">
        <v>100</v>
      </c>
      <c r="E32" s="1764" t="s">
        <v>3480</v>
      </c>
      <c r="F32" s="400">
        <f>SUMIF(100:100,E32,101:101)-SUMIF(100:100,C32,101:101)+100</f>
        <v>100</v>
      </c>
      <c r="G32" s="1764" t="s">
        <v>3480</v>
      </c>
      <c r="H32" s="374">
        <f>SUMIF(100:100,G32,101:101)-SUMIF(100:100,C32,101:101)+100</f>
        <v>100</v>
      </c>
      <c r="I32" s="1764" t="s">
        <v>3480</v>
      </c>
      <c r="J32" s="405">
        <f>SUMIF(100:100,I32,101:101)-SUMIF(100:100,C32,101:101)+100</f>
        <v>100</v>
      </c>
      <c r="K32" s="538">
        <v>2</v>
      </c>
      <c r="L32" s="2492"/>
      <c r="M32" s="2487"/>
      <c r="N32" s="2487"/>
      <c r="O32" s="2487"/>
      <c r="P32" s="3449" t="s">
        <v>1696</v>
      </c>
      <c r="Q32" s="1263" t="str">
        <f t="shared" si="11"/>
        <v>商业类型</v>
      </c>
      <c r="R32" s="667" t="s">
        <v>14</v>
      </c>
      <c r="S32" s="668">
        <f t="shared" si="12"/>
        <v>100</v>
      </c>
      <c r="T32" s="667" t="s">
        <v>14</v>
      </c>
      <c r="U32" s="668">
        <f t="shared" si="13"/>
        <v>100</v>
      </c>
      <c r="V32" s="667" t="s">
        <v>14</v>
      </c>
      <c r="W32" s="668">
        <f t="shared" si="14"/>
        <v>100</v>
      </c>
      <c r="X32" s="1265"/>
      <c r="Y32" s="3452"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525.41000000000008</v>
      </c>
      <c r="D33" s="119">
        <v>100</v>
      </c>
      <c r="E33" s="369">
        <f>售价案例!Q14</f>
        <v>61.23</v>
      </c>
      <c r="F33" s="364">
        <f>LOOKUP(E33,103:103,104:104)-LOOKUP(C33,103:103,104:104)+100</f>
        <v>106</v>
      </c>
      <c r="G33" s="368">
        <f>售价案例!Q15</f>
        <v>107.27</v>
      </c>
      <c r="H33" s="119">
        <f>LOOKUP(G33,103:103,104:104)-LOOKUP(C33,103:103,104:104)+100</f>
        <v>105</v>
      </c>
      <c r="I33" s="368">
        <f>售价案例!Q16</f>
        <v>72</v>
      </c>
      <c r="J33" s="119">
        <f>LOOKUP(I33,103:103,104:104)-LOOKUP(C33,103:103,104:104)+100</f>
        <v>106</v>
      </c>
      <c r="K33" s="539"/>
      <c r="L33" s="2491"/>
      <c r="M33" s="2493"/>
      <c r="N33" s="2493"/>
      <c r="O33" s="2493"/>
      <c r="P33" s="3450"/>
      <c r="Q33" s="531" t="str">
        <f t="shared" si="11"/>
        <v>项目建筑规模</v>
      </c>
      <c r="R33" s="669" t="s">
        <v>14</v>
      </c>
      <c r="S33" s="670">
        <f t="shared" si="12"/>
        <v>106</v>
      </c>
      <c r="T33" s="669" t="s">
        <v>14</v>
      </c>
      <c r="U33" s="670">
        <f t="shared" si="13"/>
        <v>105</v>
      </c>
      <c r="V33" s="669" t="s">
        <v>14</v>
      </c>
      <c r="W33" s="670">
        <f t="shared" si="14"/>
        <v>106</v>
      </c>
      <c r="X33" s="671"/>
      <c r="Y33" s="3452"/>
      <c r="Z33" s="672" t="str">
        <f t="shared" si="15"/>
        <v>项目建筑规模</v>
      </c>
      <c r="AA33" s="1264">
        <f t="shared" si="3"/>
        <v>0.94339622641509435</v>
      </c>
      <c r="AB33" s="1264">
        <f t="shared" si="4"/>
        <v>0.95238095238095233</v>
      </c>
      <c r="AC33" s="1264">
        <f t="shared" si="5"/>
        <v>0.94339622641509435</v>
      </c>
    </row>
    <row r="34" spans="1:29" ht="15.5">
      <c r="A34" s="409"/>
      <c r="B34" s="364" t="s">
        <v>1698</v>
      </c>
      <c r="C34" s="399" t="s">
        <v>3481</v>
      </c>
      <c r="D34" s="374">
        <v>100</v>
      </c>
      <c r="E34" s="399" t="s">
        <v>3481</v>
      </c>
      <c r="F34" s="400">
        <f>SUMIF(105:105,E34,106:106)-SUMIF(105:105,C34,106:106)+100</f>
        <v>100</v>
      </c>
      <c r="G34" s="399" t="s">
        <v>3481</v>
      </c>
      <c r="H34" s="374">
        <f>SUMIF(105:105,G34,106:106)-SUMIF(105:105,C34,106:106)+100</f>
        <v>100</v>
      </c>
      <c r="I34" s="399" t="s">
        <v>3481</v>
      </c>
      <c r="J34" s="374">
        <f>SUMIF(105:105,I34,106:106)-SUMIF(105:105,C34,106:106)+100</f>
        <v>100</v>
      </c>
      <c r="K34" s="538">
        <v>2</v>
      </c>
      <c r="L34" s="2492"/>
      <c r="M34" s="2487"/>
      <c r="N34" s="2487"/>
      <c r="O34" s="2487"/>
      <c r="P34" s="3450"/>
      <c r="Q34" s="1263" t="str">
        <f t="shared" si="11"/>
        <v>建筑结构</v>
      </c>
      <c r="R34" s="667" t="s">
        <v>14</v>
      </c>
      <c r="S34" s="668">
        <f t="shared" si="12"/>
        <v>100</v>
      </c>
      <c r="T34" s="667" t="s">
        <v>14</v>
      </c>
      <c r="U34" s="668">
        <f t="shared" si="13"/>
        <v>100</v>
      </c>
      <c r="V34" s="667" t="s">
        <v>14</v>
      </c>
      <c r="W34" s="668">
        <f t="shared" si="14"/>
        <v>100</v>
      </c>
      <c r="X34" s="1265"/>
      <c r="Y34" s="345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50"/>
      <c r="Q35" s="1263" t="str">
        <f t="shared" si="11"/>
        <v>公共部分装修</v>
      </c>
      <c r="R35" s="667" t="s">
        <v>14</v>
      </c>
      <c r="S35" s="668">
        <f t="shared" si="12"/>
        <v>100</v>
      </c>
      <c r="T35" s="667" t="s">
        <v>14</v>
      </c>
      <c r="U35" s="668">
        <f t="shared" si="13"/>
        <v>100</v>
      </c>
      <c r="V35" s="667" t="s">
        <v>14</v>
      </c>
      <c r="W35" s="668">
        <f t="shared" si="14"/>
        <v>100</v>
      </c>
      <c r="X35" s="1265"/>
      <c r="Y35" s="3452"/>
      <c r="Z35" s="1264" t="str">
        <f t="shared" si="15"/>
        <v>公共部分装修</v>
      </c>
      <c r="AA35" s="1264">
        <f t="shared" si="3"/>
        <v>1</v>
      </c>
      <c r="AB35" s="1264">
        <f t="shared" si="4"/>
        <v>1</v>
      </c>
      <c r="AC35" s="1264">
        <f t="shared" si="5"/>
        <v>1</v>
      </c>
    </row>
    <row r="36" spans="1:29" ht="15.5">
      <c r="A36" s="409"/>
      <c r="B36" s="364" t="s">
        <v>1786</v>
      </c>
      <c r="C36" s="411">
        <f>'数据-取费表'!N6</f>
        <v>0.67</v>
      </c>
      <c r="D36" s="374">
        <v>100</v>
      </c>
      <c r="E36" s="411">
        <f>E12</f>
        <v>0.7</v>
      </c>
      <c r="F36" s="400">
        <f>LOOKUP(E36,110:110,111:111)-LOOKUP(C36,110:110,111:111)+100</f>
        <v>101</v>
      </c>
      <c r="G36" s="411">
        <f>G12</f>
        <v>0.7</v>
      </c>
      <c r="H36" s="400">
        <f>LOOKUP(G36,110:110,111:111)-LOOKUP(C36,110:110,111:111)+100</f>
        <v>101</v>
      </c>
      <c r="I36" s="411">
        <f>I12</f>
        <v>0.65</v>
      </c>
      <c r="J36" s="374">
        <f>LOOKUP(I36,110:110,111:111)-LOOKUP(C36,110:110,111:111)+100</f>
        <v>100</v>
      </c>
      <c r="K36" s="538">
        <v>1</v>
      </c>
      <c r="L36" s="2492"/>
      <c r="M36" s="2487"/>
      <c r="N36" s="2487"/>
      <c r="O36" s="2487"/>
      <c r="P36" s="3450"/>
      <c r="Q36" s="1263" t="str">
        <f t="shared" si="11"/>
        <v>成新度</v>
      </c>
      <c r="R36" s="667" t="s">
        <v>14</v>
      </c>
      <c r="S36" s="668">
        <f t="shared" si="12"/>
        <v>101</v>
      </c>
      <c r="T36" s="667" t="s">
        <v>14</v>
      </c>
      <c r="U36" s="668">
        <f t="shared" si="13"/>
        <v>101</v>
      </c>
      <c r="V36" s="667" t="s">
        <v>14</v>
      </c>
      <c r="W36" s="668">
        <f t="shared" si="14"/>
        <v>100</v>
      </c>
      <c r="X36" s="1265"/>
      <c r="Y36" s="3452"/>
      <c r="Z36" s="1264" t="str">
        <f t="shared" si="15"/>
        <v>成新度</v>
      </c>
      <c r="AA36" s="1264">
        <f t="shared" si="3"/>
        <v>0.99009900990099009</v>
      </c>
      <c r="AB36" s="1264">
        <f t="shared" si="4"/>
        <v>0.99009900990099009</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450"/>
      <c r="Q37" s="530" t="str">
        <f t="shared" si="11"/>
        <v>市政基础设施</v>
      </c>
      <c r="R37" s="664" t="s">
        <v>14</v>
      </c>
      <c r="S37" s="665">
        <f t="shared" si="12"/>
        <v>100</v>
      </c>
      <c r="T37" s="664" t="s">
        <v>14</v>
      </c>
      <c r="U37" s="665">
        <f t="shared" si="13"/>
        <v>100</v>
      </c>
      <c r="V37" s="664" t="s">
        <v>14</v>
      </c>
      <c r="W37" s="665">
        <f t="shared" si="14"/>
        <v>100</v>
      </c>
      <c r="X37" s="666"/>
      <c r="Y37" s="3452"/>
      <c r="Z37" s="50" t="str">
        <f t="shared" si="15"/>
        <v>市政基础设施</v>
      </c>
      <c r="AA37" s="50">
        <f t="shared" si="3"/>
        <v>1</v>
      </c>
      <c r="AB37" s="50">
        <f t="shared" si="4"/>
        <v>1</v>
      </c>
      <c r="AC37" s="50">
        <f t="shared" si="5"/>
        <v>1</v>
      </c>
    </row>
    <row r="38" spans="1:29" ht="15.5">
      <c r="A38" s="409"/>
      <c r="B38" s="364" t="s">
        <v>1788</v>
      </c>
      <c r="C38" s="1760" t="s">
        <v>3482</v>
      </c>
      <c r="D38" s="374">
        <v>100</v>
      </c>
      <c r="E38" s="1760" t="s">
        <v>3483</v>
      </c>
      <c r="F38" s="400">
        <f>SUMIF(114:114,E38,115:115)-SUMIF(114:114,C38,115:115)+100</f>
        <v>95</v>
      </c>
      <c r="G38" s="1760" t="s">
        <v>3483</v>
      </c>
      <c r="H38" s="374">
        <f>SUMIF(114:114,G38,115:115)-SUMIF(114:114,C38,115:115)+100</f>
        <v>95</v>
      </c>
      <c r="I38" s="1760" t="s">
        <v>3483</v>
      </c>
      <c r="J38" s="374">
        <f>SUMIF(114:114,I38,115:115)-SUMIF(114:114,C38,115:115)+100</f>
        <v>95</v>
      </c>
      <c r="K38" s="538">
        <v>5</v>
      </c>
      <c r="L38" s="2492"/>
      <c r="M38" s="2487"/>
      <c r="N38" s="2487"/>
      <c r="O38" s="2487"/>
      <c r="P38" s="3450" t="s">
        <v>1696</v>
      </c>
      <c r="Q38" s="1263" t="str">
        <f t="shared" si="11"/>
        <v>业态</v>
      </c>
      <c r="R38" s="667" t="s">
        <v>14</v>
      </c>
      <c r="S38" s="668">
        <f t="shared" si="12"/>
        <v>95</v>
      </c>
      <c r="T38" s="667" t="s">
        <v>14</v>
      </c>
      <c r="U38" s="668">
        <f t="shared" si="13"/>
        <v>95</v>
      </c>
      <c r="V38" s="667" t="s">
        <v>14</v>
      </c>
      <c r="W38" s="668">
        <f t="shared" si="14"/>
        <v>95</v>
      </c>
      <c r="X38" s="1265"/>
      <c r="Y38" s="3452" t="s">
        <v>1696</v>
      </c>
      <c r="Z38" s="1264" t="str">
        <f t="shared" si="15"/>
        <v>业态</v>
      </c>
      <c r="AA38" s="1264">
        <f t="shared" si="3"/>
        <v>1.0526315789473684</v>
      </c>
      <c r="AB38" s="1264">
        <f t="shared" si="4"/>
        <v>1.0526315789473684</v>
      </c>
      <c r="AC38" s="1264">
        <f t="shared" si="5"/>
        <v>1.0526315789473684</v>
      </c>
    </row>
    <row r="39" spans="1:29" ht="15.5">
      <c r="A39" s="409"/>
      <c r="B39" s="364" t="s">
        <v>1789</v>
      </c>
      <c r="C39" s="1760" t="s">
        <v>3485</v>
      </c>
      <c r="D39" s="374">
        <v>100</v>
      </c>
      <c r="E39" s="1760" t="s">
        <v>3484</v>
      </c>
      <c r="F39" s="400">
        <f>SUMIF(116:116,E39,117:117)-SUMIF(116:116,C39,117:117)+100</f>
        <v>105</v>
      </c>
      <c r="G39" s="1760" t="s">
        <v>3485</v>
      </c>
      <c r="H39" s="374">
        <f>SUMIF(116:116,G39,117:117)-SUMIF(116:116,C39,117:117)+100</f>
        <v>100</v>
      </c>
      <c r="I39" s="1760" t="s">
        <v>3485</v>
      </c>
      <c r="J39" s="374">
        <f>SUMIF(116:116,I39,117:117)-SUMIF(116:116,C39,117:117)+100</f>
        <v>100</v>
      </c>
      <c r="K39" s="538">
        <v>5</v>
      </c>
      <c r="L39" s="2492"/>
      <c r="M39" s="2487"/>
      <c r="N39" s="2487"/>
      <c r="O39" s="2487"/>
      <c r="P39" s="3450"/>
      <c r="Q39" s="1263" t="str">
        <f t="shared" si="11"/>
        <v>层高</v>
      </c>
      <c r="R39" s="667" t="s">
        <v>14</v>
      </c>
      <c r="S39" s="668">
        <f t="shared" si="12"/>
        <v>105</v>
      </c>
      <c r="T39" s="667" t="s">
        <v>14</v>
      </c>
      <c r="U39" s="668">
        <f t="shared" si="13"/>
        <v>100</v>
      </c>
      <c r="V39" s="667" t="s">
        <v>14</v>
      </c>
      <c r="W39" s="668">
        <f t="shared" si="14"/>
        <v>100</v>
      </c>
      <c r="X39" s="1265"/>
      <c r="Y39" s="3452"/>
      <c r="Z39" s="1264" t="str">
        <f t="shared" si="15"/>
        <v>层高</v>
      </c>
      <c r="AA39" s="1264">
        <f t="shared" si="3"/>
        <v>0.95238095238095233</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50"/>
      <c r="Q40" s="1263" t="str">
        <f t="shared" si="11"/>
        <v>单套建筑面积</v>
      </c>
      <c r="R40" s="667" t="s">
        <v>14</v>
      </c>
      <c r="S40" s="668">
        <f t="shared" si="12"/>
        <v>100</v>
      </c>
      <c r="T40" s="667" t="s">
        <v>14</v>
      </c>
      <c r="U40" s="668">
        <f t="shared" si="13"/>
        <v>100</v>
      </c>
      <c r="V40" s="667" t="s">
        <v>14</v>
      </c>
      <c r="W40" s="668">
        <f t="shared" si="14"/>
        <v>100</v>
      </c>
      <c r="X40" s="1265"/>
      <c r="Y40" s="345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50"/>
      <c r="Q41" s="531" t="str">
        <f t="shared" si="11"/>
        <v>进深比</v>
      </c>
      <c r="R41" s="669" t="s">
        <v>14</v>
      </c>
      <c r="S41" s="670">
        <f t="shared" si="12"/>
        <v>100</v>
      </c>
      <c r="T41" s="669" t="s">
        <v>14</v>
      </c>
      <c r="U41" s="670">
        <f t="shared" si="13"/>
        <v>100</v>
      </c>
      <c r="V41" s="669" t="s">
        <v>14</v>
      </c>
      <c r="W41" s="670">
        <f t="shared" si="14"/>
        <v>100</v>
      </c>
      <c r="X41" s="671"/>
      <c r="Y41" s="3452"/>
      <c r="Z41" s="672" t="str">
        <f t="shared" si="15"/>
        <v>进深比</v>
      </c>
      <c r="AA41" s="1264">
        <f t="shared" si="3"/>
        <v>1</v>
      </c>
      <c r="AB41" s="1264">
        <f t="shared" si="4"/>
        <v>1</v>
      </c>
      <c r="AC41" s="1264">
        <f t="shared" si="5"/>
        <v>1</v>
      </c>
    </row>
    <row r="42" spans="1:29" ht="15.5">
      <c r="A42" s="409"/>
      <c r="B42" s="364" t="s">
        <v>1792</v>
      </c>
      <c r="C42" s="1760" t="s">
        <v>3487</v>
      </c>
      <c r="D42" s="374">
        <v>100</v>
      </c>
      <c r="E42" s="1760" t="s">
        <v>3488</v>
      </c>
      <c r="F42" s="400">
        <f>SUMIF(122:122,E42,123:123)-SUMIF(122:122,C42,123:123)+100</f>
        <v>98</v>
      </c>
      <c r="G42" s="1760" t="s">
        <v>3486</v>
      </c>
      <c r="H42" s="374">
        <f>SUMIF(122:122,G42,123:123)-SUMIF(122:122,C42,123:123)+100</f>
        <v>102</v>
      </c>
      <c r="I42" s="1760" t="s">
        <v>3486</v>
      </c>
      <c r="J42" s="374">
        <f>SUMIF(122:122,I42,123:123)-SUMIF(122:122,C42,123:123)+100</f>
        <v>102</v>
      </c>
      <c r="K42" s="538">
        <v>2</v>
      </c>
      <c r="L42" s="2492"/>
      <c r="M42" s="2487"/>
      <c r="N42" s="2487"/>
      <c r="O42" s="2487"/>
      <c r="P42" s="3450"/>
      <c r="Q42" s="1263" t="str">
        <f t="shared" si="11"/>
        <v>内部装修</v>
      </c>
      <c r="R42" s="667" t="s">
        <v>14</v>
      </c>
      <c r="S42" s="668">
        <f t="shared" si="12"/>
        <v>98</v>
      </c>
      <c r="T42" s="667" t="s">
        <v>14</v>
      </c>
      <c r="U42" s="668">
        <f t="shared" si="13"/>
        <v>102</v>
      </c>
      <c r="V42" s="667" t="s">
        <v>14</v>
      </c>
      <c r="W42" s="668">
        <f t="shared" si="14"/>
        <v>102</v>
      </c>
      <c r="X42" s="1265"/>
      <c r="Y42" s="3452"/>
      <c r="Z42" s="1264" t="str">
        <f t="shared" si="15"/>
        <v>内部装修</v>
      </c>
      <c r="AA42" s="1264">
        <f t="shared" si="3"/>
        <v>1.0204081632653061</v>
      </c>
      <c r="AB42" s="1264">
        <f t="shared" si="4"/>
        <v>0.98039215686274506</v>
      </c>
      <c r="AC42" s="1264">
        <f t="shared" si="5"/>
        <v>0.98039215686274506</v>
      </c>
    </row>
    <row r="43" spans="1:29" ht="28">
      <c r="A43" s="409"/>
      <c r="B43" s="364" t="s">
        <v>1707</v>
      </c>
      <c r="C43" s="1760" t="s">
        <v>3470</v>
      </c>
      <c r="D43" s="374">
        <v>100</v>
      </c>
      <c r="E43" s="1760" t="s">
        <v>3470</v>
      </c>
      <c r="F43" s="400">
        <f>SUMIF(124:124,E43,125:125)-SUMIF(124:124,C43,125:125)+100</f>
        <v>100</v>
      </c>
      <c r="G43" s="1760" t="s">
        <v>3470</v>
      </c>
      <c r="H43" s="374">
        <f>SUMIF(124:124,G43,125:125)-SUMIF(124:124,C43,125:125)+100</f>
        <v>100</v>
      </c>
      <c r="I43" s="1760" t="s">
        <v>3470</v>
      </c>
      <c r="J43" s="374">
        <f>SUMIF(124:124,I43,125:125)-SUMIF(124:124,C43,125:125)+100</f>
        <v>100</v>
      </c>
      <c r="K43" s="538">
        <v>2</v>
      </c>
      <c r="L43" s="2492"/>
      <c r="M43" s="2487"/>
      <c r="N43" s="2487"/>
      <c r="O43" s="2487"/>
      <c r="P43" s="3450"/>
      <c r="Q43" s="1263" t="str">
        <f t="shared" si="11"/>
        <v>内部装修维护情况</v>
      </c>
      <c r="R43" s="667" t="s">
        <v>14</v>
      </c>
      <c r="S43" s="668">
        <f t="shared" si="12"/>
        <v>100</v>
      </c>
      <c r="T43" s="667" t="s">
        <v>14</v>
      </c>
      <c r="U43" s="668">
        <f t="shared" si="13"/>
        <v>100</v>
      </c>
      <c r="V43" s="667" t="s">
        <v>14</v>
      </c>
      <c r="W43" s="668">
        <f t="shared" si="14"/>
        <v>100</v>
      </c>
      <c r="X43" s="1265"/>
      <c r="Y43" s="345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50"/>
      <c r="Q44" s="530">
        <f t="shared" si="11"/>
        <v>111</v>
      </c>
      <c r="R44" s="664" t="s">
        <v>14</v>
      </c>
      <c r="S44" s="665">
        <f t="shared" si="12"/>
        <v>100</v>
      </c>
      <c r="T44" s="664" t="s">
        <v>14</v>
      </c>
      <c r="U44" s="665">
        <f t="shared" si="13"/>
        <v>100</v>
      </c>
      <c r="V44" s="664" t="s">
        <v>14</v>
      </c>
      <c r="W44" s="665">
        <f t="shared" si="14"/>
        <v>100</v>
      </c>
      <c r="X44" s="666"/>
      <c r="Y44" s="345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50"/>
      <c r="Q45" s="1263">
        <f t="shared" si="11"/>
        <v>111</v>
      </c>
      <c r="R45" s="667" t="s">
        <v>14</v>
      </c>
      <c r="S45" s="668">
        <f t="shared" si="12"/>
        <v>100</v>
      </c>
      <c r="T45" s="667" t="s">
        <v>14</v>
      </c>
      <c r="U45" s="668">
        <f t="shared" si="13"/>
        <v>100</v>
      </c>
      <c r="V45" s="667" t="s">
        <v>14</v>
      </c>
      <c r="W45" s="668">
        <f t="shared" si="14"/>
        <v>100</v>
      </c>
      <c r="X45" s="1265"/>
      <c r="Y45" s="345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51"/>
      <c r="Q46" s="1263">
        <f t="shared" si="11"/>
        <v>111</v>
      </c>
      <c r="R46" s="667" t="s">
        <v>14</v>
      </c>
      <c r="S46" s="668">
        <f t="shared" si="12"/>
        <v>100</v>
      </c>
      <c r="T46" s="667" t="s">
        <v>14</v>
      </c>
      <c r="U46" s="668">
        <f t="shared" si="13"/>
        <v>100</v>
      </c>
      <c r="V46" s="667" t="s">
        <v>14</v>
      </c>
      <c r="W46" s="668">
        <f t="shared" si="14"/>
        <v>100</v>
      </c>
      <c r="X46" s="1265"/>
      <c r="Y46" s="3453"/>
      <c r="Z46" s="1264">
        <f t="shared" si="15"/>
        <v>111</v>
      </c>
      <c r="AA46" s="1264">
        <f t="shared" si="3"/>
        <v>1</v>
      </c>
      <c r="AB46" s="1264">
        <f t="shared" si="4"/>
        <v>1</v>
      </c>
      <c r="AC46" s="1264">
        <f t="shared" si="5"/>
        <v>1</v>
      </c>
    </row>
    <row r="47" spans="1:29">
      <c r="A47" s="416" t="s">
        <v>1708</v>
      </c>
      <c r="B47" s="417"/>
      <c r="C47" s="1081" t="s">
        <v>0</v>
      </c>
      <c r="D47" s="418"/>
      <c r="E47" s="419">
        <f>售价案例!S14</f>
        <v>49813</v>
      </c>
      <c r="F47" s="420"/>
      <c r="G47" s="421">
        <f>售价案例!S15</f>
        <v>45680</v>
      </c>
      <c r="H47" s="422"/>
      <c r="I47" s="419">
        <f>售价案例!S16</f>
        <v>52778</v>
      </c>
      <c r="J47" s="422"/>
      <c r="K47" s="674"/>
      <c r="L47" s="2494"/>
      <c r="M47" s="2487"/>
      <c r="N47" s="2487"/>
      <c r="O47" s="2487"/>
      <c r="P47" s="3445" t="str">
        <f>A47</f>
        <v>成交单价（元/平方米）</v>
      </c>
      <c r="Q47" s="3445"/>
      <c r="R47" s="3446">
        <f>E47</f>
        <v>49813</v>
      </c>
      <c r="S47" s="3446"/>
      <c r="T47" s="3446">
        <f>G47</f>
        <v>45680</v>
      </c>
      <c r="U47" s="3446"/>
      <c r="V47" s="3446">
        <f>I47</f>
        <v>52778</v>
      </c>
      <c r="W47" s="3446"/>
      <c r="X47" s="385"/>
      <c r="Y47" s="673"/>
      <c r="Z47" s="385"/>
      <c r="AA47" s="385"/>
      <c r="AB47" s="385"/>
      <c r="AC47" s="385"/>
    </row>
    <row r="48" spans="1:29" ht="14.5" thickBot="1">
      <c r="A48" s="423" t="s">
        <v>1709</v>
      </c>
      <c r="B48" s="424"/>
      <c r="C48" s="1082">
        <f>R49</f>
        <v>46686</v>
      </c>
      <c r="D48" s="2141" t="s">
        <v>2136</v>
      </c>
      <c r="E48" s="1083">
        <f>R48</f>
        <v>46477</v>
      </c>
      <c r="F48" s="2142"/>
      <c r="G48" s="1082">
        <f>T48</f>
        <v>43406</v>
      </c>
      <c r="H48" s="2142"/>
      <c r="I48" s="1083">
        <f>V48</f>
        <v>50174</v>
      </c>
      <c r="J48" s="2142"/>
      <c r="K48" s="2144">
        <f>F48+H48+J48</f>
        <v>0</v>
      </c>
      <c r="L48" s="2494"/>
      <c r="M48" s="2487"/>
      <c r="N48" s="2487"/>
      <c r="O48" s="2487"/>
      <c r="P48" s="3445" t="str">
        <f>A48</f>
        <v>比较价值（元/平方米）</v>
      </c>
      <c r="Q48" s="3445"/>
      <c r="R48" s="3446">
        <f>IF(F1="售价",ROUND(PRODUCT(R47,AA7:AA46),0),ROUND(PRODUCT(R47,AA7:AA46),1))</f>
        <v>46477</v>
      </c>
      <c r="S48" s="3446"/>
      <c r="T48" s="3446">
        <f>IF(F1="售价",ROUND(PRODUCT(T47,AB7:AB46),0),ROUND(PRODUCT(T47,AB7:AB46),1))</f>
        <v>43406</v>
      </c>
      <c r="U48" s="3446"/>
      <c r="V48" s="3446">
        <f>IF(F1="售价",ROUND(PRODUCT(V47,AC7:AC46),0),ROUND(PRODUCT(V47,AC7:AC46),1))</f>
        <v>50174</v>
      </c>
      <c r="W48" s="3446"/>
      <c r="X48" s="385"/>
      <c r="Y48" s="385"/>
      <c r="Z48" s="385"/>
      <c r="AA48" s="385"/>
      <c r="AB48" s="385"/>
      <c r="AC48" s="385"/>
    </row>
    <row r="49" spans="1:29" ht="14.5" thickBot="1">
      <c r="A49" s="427" t="s">
        <v>1710</v>
      </c>
      <c r="B49" s="428"/>
      <c r="C49" s="351">
        <f>R49</f>
        <v>46686</v>
      </c>
      <c r="D49" s="351"/>
      <c r="E49" s="351"/>
      <c r="F49" s="351"/>
      <c r="G49" s="351"/>
      <c r="H49" s="351"/>
      <c r="I49" s="351"/>
      <c r="J49" s="351"/>
      <c r="K49" s="675"/>
      <c r="L49" s="2494"/>
      <c r="M49" s="2487"/>
      <c r="N49" s="2487"/>
      <c r="O49" s="2487"/>
      <c r="P49" s="3442" t="str">
        <f>A49</f>
        <v>估价对象XX用房的比较价值（楼面单价，元/平方米）</v>
      </c>
      <c r="Q49" s="3443"/>
      <c r="R49" s="3444">
        <f>IF(F1="售价",ROUND(IF(D48="简单平均",AVERAGE(R48:V48),R48*F48+T48*H48+V48*J48),0),ROUND(IF(D48="简单平均",AVERAGE(R48:V48),R48*F48+T48*H48+V48*J48),1))</f>
        <v>46686</v>
      </c>
      <c r="S49" s="3444"/>
      <c r="T49" s="3444"/>
      <c r="U49" s="3444"/>
      <c r="V49" s="3444"/>
      <c r="W49" s="344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f>IF(E47&lt;E48,E48/E47-1,E47/E48-1)</f>
        <v>7.1777438302816465E-2</v>
      </c>
      <c r="F52" s="435" t="str">
        <f>IF(OR(E52&gt;=0.3,E52&lt;=-0.3),"超过30%","")</f>
        <v/>
      </c>
      <c r="G52" s="434">
        <f>IF(G47&lt;G48,G48/G47-1,G47/G48-1)</f>
        <v>5.2389070635395996E-2</v>
      </c>
      <c r="H52" s="435" t="str">
        <f>IF(OR(G52&gt;=0.3,G52&lt;=-0.3),"超过30%","")</f>
        <v/>
      </c>
      <c r="I52" s="434">
        <f>IF(I47&lt;I48,I48/I47-1,I47/I48-1)</f>
        <v>5.1899390122374101E-2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f>IF(E48&lt;G48,G48/E48-1,E48/G48-1)</f>
        <v>7.0750587476385851E-2</v>
      </c>
      <c r="F53" s="435" t="str">
        <f>IF(OR(E53&gt;=0.2,E53&lt;=-0.2),"超过20%","")</f>
        <v/>
      </c>
      <c r="G53" s="434">
        <f>IF(G48&lt;I48,I48/G48-1,G48/I48-1)</f>
        <v>0.15592314426576981</v>
      </c>
      <c r="H53" s="435" t="str">
        <f>IF(OR(G53&gt;=0.2,G53&lt;=-0.2),"超过20%","")</f>
        <v/>
      </c>
      <c r="I53" s="434">
        <f>IF(I48&lt;E48,E48/I48-1,I48/E48-1)</f>
        <v>7.9544721044817912E-2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9.0477232924693451E-2</v>
      </c>
      <c r="F54" s="435" t="str">
        <f>IF(OR(E54&gt;=0.3,E54&lt;=-0.3),"超过30%","")</f>
        <v/>
      </c>
      <c r="G54" s="434">
        <f>IF(G47&lt;I47,I47/G47-1,G47/I47-1)</f>
        <v>0.1553852889667251</v>
      </c>
      <c r="H54" s="435" t="str">
        <f>IF(OR(G54&gt;=0.3,G54&lt;=-0.3),"超过30%","")</f>
        <v/>
      </c>
      <c r="I54" s="434">
        <f>IF(I47&lt;E47,E47/I47-1,I47/E47-1)</f>
        <v>5.9522614578523703E-2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2026-1</v>
      </c>
      <c r="D58" s="1104">
        <f>EDATE(C58,-1)</f>
        <v>45992</v>
      </c>
      <c r="E58" s="1104">
        <f t="shared" ref="E58:N58" si="16">EDATE(D58,-1)</f>
        <v>45962</v>
      </c>
      <c r="F58" s="1104">
        <f t="shared" si="16"/>
        <v>45931</v>
      </c>
      <c r="G58" s="1104">
        <f t="shared" si="16"/>
        <v>45901</v>
      </c>
      <c r="H58" s="1104">
        <f t="shared" si="16"/>
        <v>45870</v>
      </c>
      <c r="I58" s="1104">
        <f t="shared" si="16"/>
        <v>45839</v>
      </c>
      <c r="J58" s="1104">
        <f t="shared" si="16"/>
        <v>45809</v>
      </c>
      <c r="K58" s="1104">
        <f t="shared" si="16"/>
        <v>45778</v>
      </c>
      <c r="L58" s="1104">
        <f t="shared" si="16"/>
        <v>45748</v>
      </c>
      <c r="M58" s="1104">
        <f t="shared" si="16"/>
        <v>45717</v>
      </c>
      <c r="N58" s="1104">
        <f t="shared" si="16"/>
        <v>45689</v>
      </c>
      <c r="O58" s="1104">
        <f>EDATE(N58,-1)</f>
        <v>45658</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1718</v>
      </c>
      <c r="D61" s="3178" t="s">
        <v>3467</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3177">
        <v>110</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t="s">
        <v>3634</v>
      </c>
      <c r="D65" s="513" t="s">
        <v>3635</v>
      </c>
      <c r="E65" s="513" t="s">
        <v>3636</v>
      </c>
      <c r="F65" s="513" t="s">
        <v>3637</v>
      </c>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3188" t="s">
        <v>3468</v>
      </c>
      <c r="D86" s="3188" t="s">
        <v>3469</v>
      </c>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3188" t="s">
        <v>3470</v>
      </c>
      <c r="D88" s="3188" t="s">
        <v>3471</v>
      </c>
      <c r="E88" s="3188" t="s">
        <v>3472</v>
      </c>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3189">
        <v>100</v>
      </c>
      <c r="D89" s="3190">
        <v>95</v>
      </c>
      <c r="E89" s="3190">
        <v>90</v>
      </c>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3188" t="s">
        <v>3473</v>
      </c>
      <c r="D90" s="3188" t="s">
        <v>3471</v>
      </c>
      <c r="E90" s="3188" t="s">
        <v>3474</v>
      </c>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3191" t="s">
        <v>3475</v>
      </c>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3190">
        <v>100</v>
      </c>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 thickTop="1">
      <c r="A94" s="367"/>
      <c r="B94" s="469" t="str">
        <f>B29</f>
        <v>临路状况</v>
      </c>
      <c r="C94" s="3191" t="s">
        <v>3476</v>
      </c>
      <c r="D94" s="3188" t="s">
        <v>3477</v>
      </c>
      <c r="E94" s="3188" t="s">
        <v>3478</v>
      </c>
      <c r="F94" s="3188" t="s">
        <v>3479</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3189">
        <v>100</v>
      </c>
      <c r="D95" s="3190">
        <v>99</v>
      </c>
      <c r="E95" s="3190">
        <v>98</v>
      </c>
      <c r="F95" s="3190">
        <v>97</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92" t="s">
        <v>3480</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0(含)-50</v>
      </c>
      <c r="D102" s="509" t="str">
        <f t="shared" ref="D102:L102" si="24">D103&amp;"(含)"&amp;"-"&amp;E103</f>
        <v>50(含)-100</v>
      </c>
      <c r="E102" s="509" t="str">
        <f t="shared" si="24"/>
        <v>100(含)-150</v>
      </c>
      <c r="F102" s="509" t="str">
        <f t="shared" si="24"/>
        <v>150(含)-200</v>
      </c>
      <c r="G102" s="509" t="str">
        <f t="shared" si="24"/>
        <v>200(含)-300</v>
      </c>
      <c r="H102" s="509" t="str">
        <f t="shared" si="24"/>
        <v>300(含)-400</v>
      </c>
      <c r="I102" s="509" t="str">
        <f t="shared" si="24"/>
        <v>400(含)-500</v>
      </c>
      <c r="J102" s="509" t="str">
        <f t="shared" si="24"/>
        <v>500(含)-600</v>
      </c>
      <c r="K102" s="509" t="str">
        <f t="shared" si="24"/>
        <v>600(含)-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93">
        <f>'比较法-商业租金'!C103</f>
        <v>0</v>
      </c>
      <c r="D103" s="3193">
        <f>'比较法-商业租金'!D103</f>
        <v>50</v>
      </c>
      <c r="E103" s="3193">
        <f>'比较法-商业租金'!E103</f>
        <v>100</v>
      </c>
      <c r="F103" s="3193">
        <f>'比较法-商业租金'!F103</f>
        <v>150</v>
      </c>
      <c r="G103" s="3193">
        <f>'比较法-商业租金'!G103</f>
        <v>200</v>
      </c>
      <c r="H103" s="3193">
        <f>'比较法-商业租金'!H103</f>
        <v>300</v>
      </c>
      <c r="I103" s="3193">
        <f>'比较法-商业租金'!I103</f>
        <v>400</v>
      </c>
      <c r="J103" s="3193">
        <f>'比较法-商业租金'!J103</f>
        <v>500</v>
      </c>
      <c r="K103" s="3193">
        <f>'比较法-商业租金'!K103</f>
        <v>600</v>
      </c>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3193">
        <f>'比较法-商业租金'!C104</f>
        <v>100</v>
      </c>
      <c r="D104" s="3193">
        <f>'比较法-商业租金'!D104</f>
        <v>99</v>
      </c>
      <c r="E104" s="3193">
        <f>'比较法-商业租金'!E104</f>
        <v>98</v>
      </c>
      <c r="F104" s="3193">
        <f>'比较法-商业租金'!F104</f>
        <v>97</v>
      </c>
      <c r="G104" s="3193">
        <f>'比较法-商业租金'!G104</f>
        <v>96</v>
      </c>
      <c r="H104" s="3193">
        <f>'比较法-商业租金'!H104</f>
        <v>95</v>
      </c>
      <c r="I104" s="3193">
        <f>'比较法-商业租金'!I104</f>
        <v>94</v>
      </c>
      <c r="J104" s="3193">
        <f>'比较法-商业租金'!J104</f>
        <v>93</v>
      </c>
      <c r="K104" s="3193">
        <f>'比较法-商业租金'!K104</f>
        <v>92</v>
      </c>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3188" t="s">
        <v>3481</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3188" t="s">
        <v>3482</v>
      </c>
      <c r="D114" s="3188" t="s">
        <v>3483</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3188" t="s">
        <v>3484</v>
      </c>
      <c r="D116" s="3188" t="s">
        <v>3485</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3188" t="s">
        <v>3486</v>
      </c>
      <c r="D122" s="3188" t="s">
        <v>3487</v>
      </c>
      <c r="E122" s="3188" t="s">
        <v>3488</v>
      </c>
      <c r="F122" s="3227" t="s">
        <v>3489</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107" priority="14" stopIfTrue="1">
      <formula>$F$52="超过30%"</formula>
    </cfRule>
  </conditionalFormatting>
  <conditionalFormatting sqref="E53">
    <cfRule type="expression" dxfId="106" priority="13" stopIfTrue="1">
      <formula>$F$53="超过20%"</formula>
    </cfRule>
  </conditionalFormatting>
  <conditionalFormatting sqref="E54">
    <cfRule type="expression" dxfId="105" priority="12"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5" stopIfTrue="1" operator="containsText" text="超过">
      <formula>NOT(ISERROR(SEARCH("超过",F52)))</formula>
    </cfRule>
  </conditionalFormatting>
  <conditionalFormatting sqref="G52">
    <cfRule type="expression" dxfId="101" priority="10" stopIfTrue="1">
      <formula>$H$52="超过30%"</formula>
    </cfRule>
  </conditionalFormatting>
  <conditionalFormatting sqref="G53">
    <cfRule type="expression" dxfId="100" priority="9" stopIfTrue="1">
      <formula>$H$53="超过20%"</formula>
    </cfRule>
  </conditionalFormatting>
  <conditionalFormatting sqref="G54">
    <cfRule type="expression" dxfId="99" priority="11"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E1" xr:uid="{8CFC1BFE-43D9-4066-BB60-FE283D65F018}">
      <formula1>"项目模式,单套模式"</formula1>
    </dataValidation>
    <dataValidation type="list" allowBlank="1" showInputMessage="1" showErrorMessage="1" sqref="D48" xr:uid="{39891BF6-BD4A-4135-88B4-2C1195970E06}">
      <formula1>"简单平均,加权平均"</formula1>
    </dataValidation>
    <dataValidation type="list" allowBlank="1" showInputMessage="1" showErrorMessage="1" sqref="F2" xr:uid="{F3B78090-7376-4390-9C0C-F6E37ED6B775}">
      <formula1>估价方法</formula1>
    </dataValidation>
    <dataValidation type="list" allowBlank="1" showInputMessage="1" showErrorMessage="1" sqref="C2" xr:uid="{CA2401CF-3F32-492D-8DCA-5DDAC579B43E}">
      <formula1>"需扣减承租人权益,——"</formula1>
    </dataValidation>
    <dataValidation type="list" allowBlank="1" showInputMessage="1" showErrorMessage="1" sqref="F1" xr:uid="{AD46C349-4991-4545-98F2-2201B29CF441}">
      <formula1>"售价,租金"</formula1>
    </dataValidation>
    <dataValidation type="list" allowBlank="1" showInputMessage="1" showErrorMessage="1" sqref="C22 E22 G22 I22" xr:uid="{019A8532-B3FA-45CA-BF0D-393533DAC70B}">
      <formula1>基础设施水平</formula1>
    </dataValidation>
    <dataValidation type="list" allowBlank="1" showInputMessage="1" showErrorMessage="1" sqref="C16 E16 G16 I16" xr:uid="{171D8C6D-BBDC-4C59-AD23-7592875BFCFE}">
      <formula1>商业繁华度</formula1>
    </dataValidation>
    <dataValidation type="list" allowBlank="1" showInputMessage="1" showErrorMessage="1" sqref="C8 E8 G8 I8" xr:uid="{52515209-9A24-48CB-BD34-C6887DC7C204}">
      <formula1>商业交易情况</formula1>
    </dataValidation>
    <dataValidation type="list" allowBlank="1" showInputMessage="1" showErrorMessage="1" sqref="C39 E39 G39 I39" xr:uid="{88EBEC68-3A6F-4BA7-B38B-A0C4908AF747}">
      <formula1>商业层高</formula1>
    </dataValidation>
    <dataValidation type="list" allowBlank="1" showInputMessage="1" showErrorMessage="1" sqref="C38 E38 G38 I38" xr:uid="{579AD866-3A88-4D7A-9B59-3887B04C9268}">
      <formula1>商业业态</formula1>
    </dataValidation>
    <dataValidation type="list" allowBlank="1" showInputMessage="1" showErrorMessage="1" sqref="E9 G9 I9" xr:uid="{42DF549B-AA53-4320-8EF8-82BEEA06504D}">
      <formula1>商业用途</formula1>
    </dataValidation>
    <dataValidation type="list" allowBlank="1" showInputMessage="1" showErrorMessage="1" sqref="C42 E42 G42 I42" xr:uid="{910E0196-9E9F-405D-81B5-1185F1EDC377}">
      <formula1>商业内部装修</formula1>
    </dataValidation>
    <dataValidation type="list" allowBlank="1" showInputMessage="1" showErrorMessage="1" sqref="C41 E41 G41 I41" xr:uid="{F7E246E9-F480-41A5-AA60-343EA7FB87C7}">
      <formula1>商业进深比</formula1>
    </dataValidation>
    <dataValidation type="list" allowBlank="1" showInputMessage="1" showErrorMessage="1" sqref="C37 E37 G37 I37" xr:uid="{9B92BD05-6653-443A-BBEB-E249A3856B64}">
      <formula1>商业基础设施水平</formula1>
    </dataValidation>
    <dataValidation type="list" allowBlank="1" showInputMessage="1" showErrorMessage="1" sqref="C35 E35 G35 I35" xr:uid="{5B1E388E-79D1-4159-86DA-458AFB1F0185}">
      <formula1>商业公共部分装修</formula1>
    </dataValidation>
    <dataValidation type="list" allowBlank="1" showInputMessage="1" showErrorMessage="1" sqref="C34 E34 G34 I34" xr:uid="{184D0B44-00BD-4414-AE97-2EFC7DB471F7}">
      <formula1>商业建筑结构</formula1>
    </dataValidation>
    <dataValidation type="list" allowBlank="1" showInputMessage="1" showErrorMessage="1" sqref="C32 E32 G32 I32" xr:uid="{6F964F7A-D348-4EFF-AF70-441AE71073B7}">
      <formula1>商业类型</formula1>
    </dataValidation>
    <dataValidation type="list" allowBlank="1" showInputMessage="1" showErrorMessage="1" sqref="C28 E28 G28 I28" xr:uid="{91C0FBA8-D7AC-4CB4-A14A-6A19AA8C6064}">
      <formula1>商业楼层</formula1>
    </dataValidation>
    <dataValidation type="list" allowBlank="1" showInputMessage="1" showErrorMessage="1" sqref="C27 E27 G27 I27" xr:uid="{A97B5CC6-D411-440A-8BE9-53120C1D6F0F}">
      <formula1>商业人流量</formula1>
    </dataValidation>
    <dataValidation type="list" allowBlank="1" showInputMessage="1" showErrorMessage="1" sqref="C25 E25 G25 I25" xr:uid="{8ECBA5D1-2547-4B23-AD74-D5985216C408}">
      <formula1>商业临街状况</formula1>
    </dataValidation>
    <dataValidation type="list" allowBlank="1" showInputMessage="1" showErrorMessage="1" sqref="E24 G24 I24 C24" xr:uid="{43AFEAF1-13C6-4269-B2CB-2E3928E5A31B}">
      <formula1>环境</formula1>
    </dataValidation>
    <dataValidation type="list" allowBlank="1" showInputMessage="1" showErrorMessage="1" sqref="E18 G18 I18 C18" xr:uid="{E62E3071-A0DF-44C0-B0B1-532224DE6E86}">
      <formula1>交通便捷度</formula1>
    </dataValidation>
    <dataValidation type="list" allowBlank="1" showInputMessage="1" showErrorMessage="1" sqref="E20 I20 G20 C20" xr:uid="{1DAC6A6F-99D7-4445-A29D-F4F677A5C874}">
      <formula1>公共配套设施</formula1>
    </dataValidation>
    <dataValidation type="list" allowBlank="1" showInputMessage="1" showErrorMessage="1" sqref="C43 E43 G43 I43" xr:uid="{9071A785-3C3D-46B6-987F-5079E5C1C852}">
      <formula1>内部装修维护情况</formula1>
    </dataValidation>
    <dataValidation type="list" allowBlank="1" showInputMessage="1" showErrorMessage="1" sqref="D1" xr:uid="{45074D80-B668-4A5C-85F4-CC983E95E006}">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6BE34-648D-4709-AF1D-B34F8F2612A4}">
  <sheetPr>
    <tabColor rgb="FF92D050"/>
  </sheetPr>
  <dimension ref="A1:P45"/>
  <sheetViews>
    <sheetView topLeftCell="A19" workbookViewId="0">
      <selection activeCell="C4" sqref="C4:F6"/>
    </sheetView>
  </sheetViews>
  <sheetFormatPr defaultColWidth="9" defaultRowHeight="14"/>
  <cols>
    <col min="2" max="2" width="15.6328125" customWidth="1"/>
    <col min="7" max="7" width="26.08984375" customWidth="1"/>
    <col min="8" max="8" width="22.6328125" customWidth="1"/>
  </cols>
  <sheetData>
    <row r="1" spans="1:16">
      <c r="A1" s="3523" t="s">
        <v>3509</v>
      </c>
      <c r="B1" s="3523"/>
      <c r="C1" s="3523"/>
      <c r="D1" s="3523"/>
      <c r="E1" s="3523"/>
      <c r="F1" s="3523"/>
      <c r="G1" s="3523"/>
      <c r="H1" s="3523"/>
      <c r="I1" s="3523"/>
      <c r="J1" s="3209"/>
      <c r="K1" s="3198"/>
      <c r="L1" s="3210"/>
      <c r="M1" s="3211"/>
      <c r="N1" s="3198"/>
      <c r="O1" s="3198"/>
      <c r="P1" s="3198"/>
    </row>
    <row r="2" spans="1:16">
      <c r="A2" s="3181" t="s">
        <v>3510</v>
      </c>
      <c r="B2" s="3194" t="s">
        <v>3511</v>
      </c>
      <c r="C2" s="3500" t="s">
        <v>3512</v>
      </c>
      <c r="D2" s="3501"/>
      <c r="E2" s="3501"/>
      <c r="F2" s="3502"/>
      <c r="G2" s="3181" t="s">
        <v>3513</v>
      </c>
      <c r="H2" s="3504" t="s">
        <v>3514</v>
      </c>
      <c r="I2" s="3504"/>
      <c r="J2" s="3209"/>
      <c r="K2" s="3198"/>
      <c r="L2" s="3210"/>
      <c r="M2" s="3212"/>
      <c r="N2" s="3198"/>
      <c r="O2" s="3198"/>
      <c r="P2" s="3198"/>
    </row>
    <row r="3" spans="1:16" ht="19.75" customHeight="1">
      <c r="A3" s="3181" t="s">
        <v>3515</v>
      </c>
      <c r="B3" s="3180" t="s">
        <v>3516</v>
      </c>
      <c r="C3" s="3500">
        <f>ROUND('比较法-商业售价'!C49*'比较法-商业售价'!C33,0)</f>
        <v>24529291</v>
      </c>
      <c r="D3" s="3501"/>
      <c r="E3" s="3501"/>
      <c r="F3" s="3502"/>
      <c r="G3" s="3179" t="s">
        <v>3517</v>
      </c>
      <c r="H3" s="3195" t="s">
        <v>3518</v>
      </c>
      <c r="I3" s="3213">
        <f>'数据-汇总表'!E19</f>
        <v>525.41000000000008</v>
      </c>
      <c r="J3" s="3209"/>
      <c r="K3" s="3198"/>
      <c r="L3" s="3210"/>
      <c r="M3" s="3212"/>
      <c r="N3" s="3198" t="s">
        <v>3519</v>
      </c>
      <c r="O3" s="3198">
        <f>'[2]比较法-商业租金'!C14</f>
        <v>2004</v>
      </c>
      <c r="P3" s="3198" t="s">
        <v>3506</v>
      </c>
    </row>
    <row r="4" spans="1:16" ht="36" customHeight="1">
      <c r="A4" s="3504" t="s">
        <v>3520</v>
      </c>
      <c r="B4" s="3505" t="s">
        <v>3521</v>
      </c>
      <c r="C4" s="3524">
        <f>ROUND(C3*(I4-I6)/(1-((1+I6)/(1+I4))^I5),0)</f>
        <v>1961051</v>
      </c>
      <c r="D4" s="3525"/>
      <c r="E4" s="3525"/>
      <c r="F4" s="3526"/>
      <c r="G4" s="3503" t="s">
        <v>3522</v>
      </c>
      <c r="H4" s="3195" t="s">
        <v>3523</v>
      </c>
      <c r="I4" s="3179">
        <v>5.5E-2</v>
      </c>
      <c r="J4" s="3209"/>
      <c r="K4" s="3198"/>
      <c r="L4" s="3210"/>
      <c r="M4" s="3212"/>
      <c r="N4" s="3198" t="s">
        <v>3524</v>
      </c>
      <c r="O4" s="3198">
        <f>O3-2+40-2025</f>
        <v>17</v>
      </c>
      <c r="P4" s="3198"/>
    </row>
    <row r="5" spans="1:16">
      <c r="A5" s="3504"/>
      <c r="B5" s="3505"/>
      <c r="C5" s="3527"/>
      <c r="D5" s="3528"/>
      <c r="E5" s="3528"/>
      <c r="F5" s="3529"/>
      <c r="G5" s="3503"/>
      <c r="H5" s="3195" t="s">
        <v>3525</v>
      </c>
      <c r="I5" s="3213">
        <f>项目基本情况!D15</f>
        <v>17.95</v>
      </c>
      <c r="J5" s="3214"/>
      <c r="K5" s="3198"/>
      <c r="L5" s="3210"/>
      <c r="M5" s="3212"/>
      <c r="N5" s="3215"/>
      <c r="O5" s="3215"/>
      <c r="P5" s="3215"/>
    </row>
    <row r="6" spans="1:16">
      <c r="A6" s="3504"/>
      <c r="B6" s="3505"/>
      <c r="C6" s="3530"/>
      <c r="D6" s="3531"/>
      <c r="E6" s="3531"/>
      <c r="F6" s="3532"/>
      <c r="G6" s="3503"/>
      <c r="H6" s="3195" t="s">
        <v>3526</v>
      </c>
      <c r="I6" s="3179">
        <f>'数据-取费表'!V6</f>
        <v>1.4999999999999999E-2</v>
      </c>
      <c r="J6" s="3214"/>
      <c r="K6" s="3198"/>
      <c r="L6" s="3216"/>
      <c r="M6" s="3217"/>
      <c r="N6" s="3217"/>
      <c r="O6" s="3215"/>
      <c r="P6" s="3215"/>
    </row>
    <row r="7" spans="1:16">
      <c r="A7" s="3181" t="s">
        <v>3527</v>
      </c>
      <c r="B7" s="3180" t="s">
        <v>3528</v>
      </c>
      <c r="C7" s="3500">
        <f ca="1">ROUND(C23*I7,0)</f>
        <v>2145981</v>
      </c>
      <c r="D7" s="3501"/>
      <c r="E7" s="3501"/>
      <c r="F7" s="3502"/>
      <c r="G7" s="3179" t="s">
        <v>3529</v>
      </c>
      <c r="H7" s="3195" t="s">
        <v>3530</v>
      </c>
      <c r="I7" s="3218">
        <f>'数据-取费表'!N6</f>
        <v>0.67</v>
      </c>
      <c r="J7" s="3215"/>
      <c r="K7" s="3198"/>
      <c r="L7" s="3216"/>
      <c r="M7" s="3217"/>
      <c r="N7" s="3217"/>
      <c r="O7" s="3215"/>
      <c r="P7" s="3215"/>
    </row>
    <row r="8" spans="1:16">
      <c r="A8" s="3181" t="s">
        <v>3531</v>
      </c>
      <c r="B8" s="3180" t="s">
        <v>3532</v>
      </c>
      <c r="C8" s="3500">
        <f>ROUND(I8*I3,0)</f>
        <v>2101640</v>
      </c>
      <c r="D8" s="3501"/>
      <c r="E8" s="3501"/>
      <c r="F8" s="3502"/>
      <c r="G8" s="3179" t="s">
        <v>3533</v>
      </c>
      <c r="H8" s="3195" t="s">
        <v>3534</v>
      </c>
      <c r="I8" s="3213">
        <f>'数据-取费表'!L6</f>
        <v>4000</v>
      </c>
      <c r="J8" s="3219"/>
      <c r="K8" s="3198"/>
      <c r="L8" s="3216"/>
      <c r="M8" s="3217"/>
      <c r="N8" s="3217"/>
      <c r="O8" s="3215"/>
      <c r="P8" s="3215"/>
    </row>
    <row r="9" spans="1:16" ht="26">
      <c r="A9" s="3181" t="s">
        <v>3535</v>
      </c>
      <c r="B9" s="3180" t="s">
        <v>3536</v>
      </c>
      <c r="C9" s="3500">
        <f>ROUND(C8*H9,0)</f>
        <v>105082</v>
      </c>
      <c r="D9" s="3501"/>
      <c r="E9" s="3501"/>
      <c r="F9" s="3502"/>
      <c r="G9" s="3179" t="s">
        <v>3537</v>
      </c>
      <c r="H9" s="3503">
        <v>0.05</v>
      </c>
      <c r="I9" s="3503"/>
      <c r="J9" s="3220"/>
      <c r="K9" s="3198"/>
      <c r="L9" s="3216"/>
      <c r="M9" s="3217"/>
      <c r="N9" s="3217"/>
      <c r="O9" s="3215"/>
      <c r="P9" s="3215"/>
    </row>
    <row r="10" spans="1:16" ht="26">
      <c r="A10" s="3181" t="s">
        <v>3538</v>
      </c>
      <c r="B10" s="3180" t="s">
        <v>3539</v>
      </c>
      <c r="C10" s="3500">
        <f>ROUND(C8*H10,0)</f>
        <v>0</v>
      </c>
      <c r="D10" s="3501"/>
      <c r="E10" s="3501"/>
      <c r="F10" s="3502"/>
      <c r="G10" s="3179" t="s">
        <v>3537</v>
      </c>
      <c r="H10" s="3503">
        <v>0</v>
      </c>
      <c r="I10" s="3503"/>
      <c r="J10" s="3220"/>
      <c r="K10" s="3198"/>
      <c r="L10" s="3217"/>
      <c r="M10" s="3183"/>
      <c r="N10" s="3212"/>
      <c r="O10" s="3215"/>
      <c r="P10" s="3215"/>
    </row>
    <row r="11" spans="1:16">
      <c r="A11" s="3181" t="s">
        <v>3540</v>
      </c>
      <c r="B11" s="3180" t="s">
        <v>3541</v>
      </c>
      <c r="C11" s="3500">
        <f>ROUND(I11*I3,0)</f>
        <v>105082</v>
      </c>
      <c r="D11" s="3501"/>
      <c r="E11" s="3501"/>
      <c r="F11" s="3502"/>
      <c r="G11" s="3179" t="s">
        <v>3542</v>
      </c>
      <c r="H11" s="3195" t="s">
        <v>3543</v>
      </c>
      <c r="I11" s="3213">
        <v>200</v>
      </c>
      <c r="K11" s="2564"/>
      <c r="L11" s="3209"/>
      <c r="M11" s="3215"/>
      <c r="N11" s="3215"/>
      <c r="O11" s="3215"/>
      <c r="P11" s="3215"/>
    </row>
    <row r="12" spans="1:16">
      <c r="A12" s="3181" t="s">
        <v>3544</v>
      </c>
      <c r="B12" s="3180" t="s">
        <v>3545</v>
      </c>
      <c r="C12" s="3500">
        <f>ROUND(C8*H12,0)</f>
        <v>42033</v>
      </c>
      <c r="D12" s="3501"/>
      <c r="E12" s="3501"/>
      <c r="F12" s="3502"/>
      <c r="G12" s="3179" t="s">
        <v>3537</v>
      </c>
      <c r="H12" s="3503">
        <v>0.02</v>
      </c>
      <c r="I12" s="3503"/>
      <c r="J12" s="3173" t="str">
        <f>'[2]数据-取费表'!C36</f>
        <v>变化：2%-3%</v>
      </c>
      <c r="K12" s="2564"/>
      <c r="L12" s="3221"/>
      <c r="M12" s="3215"/>
      <c r="N12" s="3215"/>
      <c r="O12" s="3215"/>
      <c r="P12" s="3215"/>
    </row>
    <row r="13" spans="1:16">
      <c r="A13" s="3181" t="s">
        <v>3546</v>
      </c>
      <c r="B13" s="3180" t="s">
        <v>3547</v>
      </c>
      <c r="C13" s="3500">
        <f>SUM(C8:F12)</f>
        <v>2353837</v>
      </c>
      <c r="D13" s="3501"/>
      <c r="E13" s="3501"/>
      <c r="F13" s="3502"/>
      <c r="G13" s="3503" t="s">
        <v>3548</v>
      </c>
      <c r="H13" s="3503"/>
      <c r="I13" s="3503"/>
      <c r="J13" s="3173"/>
      <c r="K13" s="2564"/>
      <c r="L13" s="3221"/>
      <c r="M13" s="3215"/>
      <c r="N13" s="3215"/>
      <c r="O13" s="3215"/>
      <c r="P13" s="3215"/>
    </row>
    <row r="14" spans="1:16">
      <c r="A14" s="3181" t="s">
        <v>3549</v>
      </c>
      <c r="B14" s="3180" t="s">
        <v>3550</v>
      </c>
      <c r="C14" s="3500">
        <f>ROUND(C13*H14,0)</f>
        <v>47077</v>
      </c>
      <c r="D14" s="3501"/>
      <c r="E14" s="3501"/>
      <c r="F14" s="3502"/>
      <c r="G14" s="3179" t="s">
        <v>3551</v>
      </c>
      <c r="H14" s="3503">
        <v>0.02</v>
      </c>
      <c r="I14" s="3503"/>
      <c r="J14" s="2564" t="str">
        <f>'[2]数据-取费表'!C37</f>
        <v>住宅：1%-2%；商办：2%-5%</v>
      </c>
      <c r="K14" s="2451"/>
      <c r="L14" s="3221"/>
      <c r="M14" s="3215"/>
      <c r="N14" s="3215"/>
      <c r="O14" s="3215"/>
      <c r="P14" s="3215"/>
    </row>
    <row r="15" spans="1:16">
      <c r="A15" s="3181" t="s">
        <v>3552</v>
      </c>
      <c r="B15" s="3180" t="s">
        <v>3553</v>
      </c>
      <c r="C15" s="3512">
        <f>H15</f>
        <v>0.02</v>
      </c>
      <c r="D15" s="3513"/>
      <c r="E15" s="3514" t="str">
        <f>E18</f>
        <v>V</v>
      </c>
      <c r="F15" s="3515"/>
      <c r="G15" s="3179" t="s">
        <v>3554</v>
      </c>
      <c r="H15" s="3503">
        <v>0.02</v>
      </c>
      <c r="I15" s="3503"/>
      <c r="J15" s="3214" t="str">
        <f>'[2]数据-取费表'!C38</f>
        <v>住宅：3%-5%；商办：1%-3%</v>
      </c>
      <c r="K15" s="3209"/>
      <c r="L15" s="3215"/>
      <c r="M15" s="3215"/>
      <c r="N15" s="3215"/>
      <c r="O15" s="3215"/>
      <c r="P15" s="3215"/>
    </row>
    <row r="16" spans="1:16">
      <c r="A16" s="3196" t="s">
        <v>3555</v>
      </c>
      <c r="B16" s="3197" t="s">
        <v>3556</v>
      </c>
      <c r="C16" s="3187">
        <f ca="1">C17</f>
        <v>75149</v>
      </c>
      <c r="D16" s="3182" t="s">
        <v>3557</v>
      </c>
      <c r="E16" s="3182">
        <f ca="1">C18</f>
        <v>6.2600000000000004E-4</v>
      </c>
      <c r="F16" s="3176" t="str">
        <f>E18</f>
        <v>V</v>
      </c>
      <c r="G16" s="3518" t="s">
        <v>3558</v>
      </c>
      <c r="H16" s="3520"/>
      <c r="I16" s="3519"/>
      <c r="J16" s="3214"/>
      <c r="K16" s="3209"/>
      <c r="L16" s="3215"/>
      <c r="M16" s="3215"/>
      <c r="N16" s="3215"/>
      <c r="O16" s="3215"/>
      <c r="P16" s="3215"/>
    </row>
    <row r="17" spans="1:16" ht="26">
      <c r="A17" s="3181" t="s">
        <v>3559</v>
      </c>
      <c r="B17" s="3180" t="s">
        <v>3560</v>
      </c>
      <c r="C17" s="3500">
        <f ca="1">ROUND((C13+C14)*I18*(I17/2),0)</f>
        <v>75149</v>
      </c>
      <c r="D17" s="3501"/>
      <c r="E17" s="3501"/>
      <c r="F17" s="3502"/>
      <c r="G17" s="3175" t="s">
        <v>3561</v>
      </c>
      <c r="H17" s="3195" t="s">
        <v>3562</v>
      </c>
      <c r="I17" s="3213">
        <v>2</v>
      </c>
      <c r="J17" s="3222" t="s">
        <v>3563</v>
      </c>
      <c r="K17" s="3209"/>
      <c r="L17" s="3209"/>
      <c r="M17" s="3215"/>
      <c r="N17" s="3215"/>
      <c r="O17" s="3215"/>
      <c r="P17" s="3215"/>
    </row>
    <row r="18" spans="1:16" ht="26">
      <c r="A18" s="3181" t="s">
        <v>3564</v>
      </c>
      <c r="B18" s="3180" t="s">
        <v>3565</v>
      </c>
      <c r="C18" s="3512">
        <f ca="1">H15*I18*I17/2</f>
        <v>6.2600000000000004E-4</v>
      </c>
      <c r="D18" s="3513"/>
      <c r="E18" s="3514" t="s">
        <v>3566</v>
      </c>
      <c r="F18" s="3515"/>
      <c r="G18" s="3175" t="s">
        <v>3567</v>
      </c>
      <c r="H18" s="3195" t="s">
        <v>3568</v>
      </c>
      <c r="I18" s="3179">
        <f ca="1">'数据-取费表'!B40</f>
        <v>3.1300000000000001E-2</v>
      </c>
      <c r="J18" s="3222" t="s">
        <v>3569</v>
      </c>
      <c r="K18" s="3209"/>
      <c r="L18" s="3209"/>
      <c r="M18" s="3215"/>
      <c r="N18" s="3215"/>
      <c r="O18" s="3215"/>
      <c r="P18" s="3215"/>
    </row>
    <row r="19" spans="1:16">
      <c r="A19" s="3181" t="s">
        <v>3570</v>
      </c>
      <c r="B19" s="3180" t="s">
        <v>3571</v>
      </c>
      <c r="C19" s="3187">
        <f>C20</f>
        <v>480183</v>
      </c>
      <c r="D19" s="3182" t="s">
        <v>3557</v>
      </c>
      <c r="E19" s="3182">
        <f>C21</f>
        <v>4.0000000000000001E-3</v>
      </c>
      <c r="F19" s="3176" t="str">
        <f>E21</f>
        <v>V</v>
      </c>
      <c r="G19" s="3518" t="s">
        <v>3572</v>
      </c>
      <c r="H19" s="3520"/>
      <c r="I19" s="3519"/>
      <c r="J19" s="3214"/>
      <c r="K19" s="3209"/>
      <c r="L19" s="3209"/>
      <c r="M19" s="3215"/>
      <c r="N19" s="3215"/>
      <c r="O19" s="3215"/>
      <c r="P19" s="3215"/>
    </row>
    <row r="20" spans="1:16">
      <c r="A20" s="3181" t="s">
        <v>3573</v>
      </c>
      <c r="B20" s="3180" t="s">
        <v>3574</v>
      </c>
      <c r="C20" s="3500">
        <f>ROUND((C13+C14)*I20,0)</f>
        <v>480183</v>
      </c>
      <c r="D20" s="3501"/>
      <c r="E20" s="3501"/>
      <c r="F20" s="3502"/>
      <c r="G20" s="3179" t="s">
        <v>3575</v>
      </c>
      <c r="H20" s="3521" t="s">
        <v>3576</v>
      </c>
      <c r="I20" s="3503">
        <f>'数据-取费表'!Q6</f>
        <v>0.2</v>
      </c>
      <c r="J20" s="3222" t="s">
        <v>3577</v>
      </c>
      <c r="K20" s="3209"/>
      <c r="L20" s="3209"/>
      <c r="M20" s="3215"/>
      <c r="N20" s="3215"/>
      <c r="O20" s="3215"/>
      <c r="P20" s="3215"/>
    </row>
    <row r="21" spans="1:16" ht="26">
      <c r="A21" s="3181" t="s">
        <v>3573</v>
      </c>
      <c r="B21" s="3180" t="s">
        <v>3578</v>
      </c>
      <c r="C21" s="3512">
        <f>H15*I20</f>
        <v>4.0000000000000001E-3</v>
      </c>
      <c r="D21" s="3513"/>
      <c r="E21" s="3514" t="s">
        <v>3566</v>
      </c>
      <c r="F21" s="3515"/>
      <c r="G21" s="3179" t="s">
        <v>3579</v>
      </c>
      <c r="H21" s="3522"/>
      <c r="I21" s="3503"/>
      <c r="J21" s="3214"/>
      <c r="K21" s="3209"/>
      <c r="L21" s="3209"/>
      <c r="M21" s="3215"/>
      <c r="N21" s="3215"/>
      <c r="O21" s="3215"/>
      <c r="P21" s="3215"/>
    </row>
    <row r="22" spans="1:16">
      <c r="A22" s="3181" t="s">
        <v>3580</v>
      </c>
      <c r="B22" s="3180" t="s">
        <v>3581</v>
      </c>
      <c r="C22" s="3512">
        <f>ROUND(H22/1.05,4)</f>
        <v>5.2400000000000002E-2</v>
      </c>
      <c r="D22" s="3513"/>
      <c r="E22" s="3514" t="s">
        <v>3566</v>
      </c>
      <c r="F22" s="3515"/>
      <c r="G22" s="3179" t="s">
        <v>3582</v>
      </c>
      <c r="H22" s="3503">
        <f>'数据-取费表'!B41</f>
        <v>5.5000000000000007E-2</v>
      </c>
      <c r="I22" s="3503"/>
      <c r="J22" s="3214"/>
      <c r="K22" s="3209"/>
      <c r="L22" s="3209"/>
      <c r="M22" s="3215"/>
      <c r="N22" s="3215"/>
      <c r="O22" s="3215"/>
      <c r="P22" s="3215"/>
    </row>
    <row r="23" spans="1:16" ht="26">
      <c r="A23" s="3181" t="s">
        <v>3583</v>
      </c>
      <c r="B23" s="3180" t="s">
        <v>3584</v>
      </c>
      <c r="C23" s="3500">
        <f ca="1">ROUND((C13+C14+C17+C20)/(1-H15-C18-C21-C22),0)</f>
        <v>3202957</v>
      </c>
      <c r="D23" s="3501"/>
      <c r="E23" s="3501"/>
      <c r="F23" s="3502"/>
      <c r="G23" s="3518" t="s">
        <v>3585</v>
      </c>
      <c r="H23" s="3520"/>
      <c r="I23" s="3519"/>
      <c r="J23" s="3214"/>
      <c r="K23" s="3209"/>
      <c r="L23" s="3209"/>
      <c r="M23" s="3215"/>
      <c r="N23" s="3215"/>
      <c r="O23" s="3215"/>
      <c r="P23" s="3215"/>
    </row>
    <row r="24" spans="1:16">
      <c r="A24" s="3181" t="s">
        <v>3586</v>
      </c>
      <c r="B24" s="3180" t="s">
        <v>3587</v>
      </c>
      <c r="C24" s="3174">
        <f ca="1">C27+C28</f>
        <v>8552</v>
      </c>
      <c r="D24" s="3182" t="s">
        <v>3588</v>
      </c>
      <c r="E24" s="3514">
        <f>H29+E26+H25</f>
        <v>0.185</v>
      </c>
      <c r="F24" s="3515"/>
      <c r="G24" s="3503" t="s">
        <v>3589</v>
      </c>
      <c r="H24" s="3503"/>
      <c r="I24" s="3503"/>
      <c r="J24" s="3214"/>
      <c r="K24" s="3209"/>
      <c r="L24" s="3209"/>
      <c r="M24" s="3215"/>
      <c r="N24" s="3215"/>
      <c r="O24" s="3215"/>
      <c r="P24" s="3215"/>
    </row>
    <row r="25" spans="1:16">
      <c r="A25" s="3181" t="s">
        <v>3546</v>
      </c>
      <c r="B25" s="3180" t="s">
        <v>3590</v>
      </c>
      <c r="C25" s="3512" t="s">
        <v>3591</v>
      </c>
      <c r="D25" s="3513"/>
      <c r="E25" s="3516">
        <f>ROUND(H25/1.05,4)</f>
        <v>5.2400000000000002E-2</v>
      </c>
      <c r="F25" s="3517"/>
      <c r="G25" s="3179" t="s">
        <v>3592</v>
      </c>
      <c r="H25" s="3503">
        <f>H22</f>
        <v>5.5000000000000007E-2</v>
      </c>
      <c r="I25" s="3503"/>
      <c r="J25" s="3214"/>
      <c r="K25" s="3209"/>
      <c r="L25" s="3209"/>
      <c r="M25" s="3215"/>
      <c r="N25" s="3215"/>
      <c r="O25" s="3215"/>
      <c r="P25" s="3215"/>
    </row>
    <row r="26" spans="1:16">
      <c r="A26" s="3181" t="s">
        <v>3549</v>
      </c>
      <c r="B26" s="3180" t="s">
        <v>3593</v>
      </c>
      <c r="C26" s="3512" t="s">
        <v>3591</v>
      </c>
      <c r="D26" s="3513"/>
      <c r="E26" s="3514">
        <v>0.12</v>
      </c>
      <c r="F26" s="3515"/>
      <c r="G26" s="3179"/>
      <c r="H26" s="3518">
        <f>'[3]数据-取费表'!B51</f>
        <v>0.12</v>
      </c>
      <c r="I26" s="3519"/>
      <c r="J26" s="3214"/>
      <c r="K26" s="3209"/>
      <c r="L26" s="3209"/>
      <c r="M26" s="3215"/>
      <c r="N26" s="3215"/>
      <c r="O26" s="3215"/>
      <c r="P26" s="3215"/>
    </row>
    <row r="27" spans="1:16">
      <c r="A27" s="3181" t="s">
        <v>3552</v>
      </c>
      <c r="B27" s="3180" t="s">
        <v>3594</v>
      </c>
      <c r="C27" s="3500">
        <f ca="1">ROUND(C23*H27,0)</f>
        <v>6406</v>
      </c>
      <c r="D27" s="3501"/>
      <c r="E27" s="3501"/>
      <c r="F27" s="3502"/>
      <c r="G27" s="3179" t="s">
        <v>3595</v>
      </c>
      <c r="H27" s="3503">
        <f>'数据-取费表'!AK6</f>
        <v>2E-3</v>
      </c>
      <c r="I27" s="3503"/>
      <c r="J27" s="3214"/>
      <c r="K27" s="3209"/>
      <c r="L27" s="3209"/>
      <c r="M27" s="3215"/>
      <c r="N27" s="3215"/>
      <c r="O27" s="3215"/>
      <c r="P27" s="3215"/>
    </row>
    <row r="28" spans="1:16">
      <c r="A28" s="3181" t="s">
        <v>3555</v>
      </c>
      <c r="B28" s="3180" t="s">
        <v>3596</v>
      </c>
      <c r="C28" s="3500">
        <f ca="1">ROUND(C7*H28,0)</f>
        <v>2146</v>
      </c>
      <c r="D28" s="3501"/>
      <c r="E28" s="3501"/>
      <c r="F28" s="3502"/>
      <c r="G28" s="3179" t="s">
        <v>3597</v>
      </c>
      <c r="H28" s="3503">
        <f>'数据-取费表'!AL6</f>
        <v>1E-3</v>
      </c>
      <c r="I28" s="3503"/>
      <c r="J28" s="3214"/>
      <c r="K28" s="3209"/>
      <c r="L28" s="3209"/>
      <c r="M28" s="3215">
        <f>ROUND(M29*M30/365,2)</f>
        <v>8.24</v>
      </c>
      <c r="N28" s="3215"/>
      <c r="O28" s="3215"/>
      <c r="P28" s="3215"/>
    </row>
    <row r="29" spans="1:16">
      <c r="A29" s="3181" t="s">
        <v>3570</v>
      </c>
      <c r="B29" s="3180" t="s">
        <v>3550</v>
      </c>
      <c r="C29" s="3512" t="s">
        <v>3591</v>
      </c>
      <c r="D29" s="3513"/>
      <c r="E29" s="3514">
        <f>H29</f>
        <v>0.01</v>
      </c>
      <c r="F29" s="3515"/>
      <c r="G29" s="3179" t="s">
        <v>3598</v>
      </c>
      <c r="H29" s="3503">
        <f>'数据-取费表'!AM6</f>
        <v>0.01</v>
      </c>
      <c r="I29" s="3503"/>
      <c r="J29" s="3223"/>
      <c r="K29" s="3209"/>
      <c r="L29" s="3209"/>
      <c r="M29" s="3215">
        <f>'[2]比较法-商业售价 '!C48</f>
        <v>42947</v>
      </c>
      <c r="N29" s="3215"/>
      <c r="O29" s="3215"/>
      <c r="P29" s="3215"/>
    </row>
    <row r="30" spans="1:16" ht="26">
      <c r="A30" s="3181" t="s">
        <v>3599</v>
      </c>
      <c r="B30" s="3180" t="s">
        <v>3600</v>
      </c>
      <c r="C30" s="3500">
        <f ca="1">ROUND((C4+C24)/(1-E24),0)</f>
        <v>2416691</v>
      </c>
      <c r="D30" s="3501"/>
      <c r="E30" s="3501"/>
      <c r="F30" s="3502"/>
      <c r="G30" s="3503" t="s">
        <v>3601</v>
      </c>
      <c r="H30" s="3503"/>
      <c r="I30" s="3503"/>
      <c r="J30" s="3224" t="s">
        <v>3602</v>
      </c>
      <c r="K30" s="3209"/>
      <c r="L30" s="3209"/>
      <c r="M30" s="3225">
        <v>7.0000000000000007E-2</v>
      </c>
      <c r="N30" s="3215"/>
      <c r="O30" s="3215"/>
      <c r="P30" s="3215"/>
    </row>
    <row r="31" spans="1:16">
      <c r="A31" s="3504" t="s">
        <v>3603</v>
      </c>
      <c r="B31" s="3505" t="s">
        <v>3604</v>
      </c>
      <c r="C31" s="3506">
        <f ca="1">ROUND(C30/I31/I32/I3,1)</f>
        <v>14</v>
      </c>
      <c r="D31" s="3507"/>
      <c r="E31" s="3507"/>
      <c r="F31" s="3508"/>
      <c r="G31" s="3503" t="s">
        <v>3605</v>
      </c>
      <c r="H31" s="3195" t="s">
        <v>3606</v>
      </c>
      <c r="I31" s="3213">
        <f>'数据-取费表'!AI6</f>
        <v>365</v>
      </c>
      <c r="J31" s="3214"/>
      <c r="K31" s="3209"/>
      <c r="L31" s="3209"/>
      <c r="M31" s="3215"/>
      <c r="N31" s="3215"/>
      <c r="O31" s="3215"/>
      <c r="P31" s="3215"/>
    </row>
    <row r="32" spans="1:16">
      <c r="A32" s="3504"/>
      <c r="B32" s="3505"/>
      <c r="C32" s="3509"/>
      <c r="D32" s="3510"/>
      <c r="E32" s="3510"/>
      <c r="F32" s="3511"/>
      <c r="G32" s="3503"/>
      <c r="H32" s="3195" t="s">
        <v>3607</v>
      </c>
      <c r="I32" s="3179">
        <f>1-'数据-取费表'!W6</f>
        <v>0.9</v>
      </c>
      <c r="J32" s="3214"/>
      <c r="K32" s="3209"/>
      <c r="L32" s="3209"/>
      <c r="M32" s="3215"/>
      <c r="N32" s="3215"/>
      <c r="O32" s="3215"/>
      <c r="P32" s="3215"/>
    </row>
    <row r="33" spans="1:16">
      <c r="A33" s="3198"/>
      <c r="B33" s="3199"/>
      <c r="C33" s="3198"/>
      <c r="D33" s="3198"/>
      <c r="E33" s="3198"/>
      <c r="F33" s="3198"/>
      <c r="G33" s="3200"/>
      <c r="H33" s="3198"/>
      <c r="I33" s="3198"/>
      <c r="J33" s="3214"/>
      <c r="K33" s="3209"/>
      <c r="L33" s="3209"/>
      <c r="M33" s="3215"/>
      <c r="N33" s="3215"/>
      <c r="O33" s="3215"/>
      <c r="P33" s="3215"/>
    </row>
    <row r="34" spans="1:16">
      <c r="A34" s="3198"/>
      <c r="B34" s="3498" t="s">
        <v>3608</v>
      </c>
      <c r="C34" s="3498"/>
      <c r="D34" s="3498"/>
      <c r="E34" s="3498"/>
      <c r="F34" s="3498"/>
      <c r="G34" s="3201"/>
      <c r="H34" s="3228"/>
      <c r="I34" s="3229"/>
      <c r="J34" s="3214"/>
      <c r="K34" s="3209"/>
      <c r="L34" s="3209"/>
      <c r="M34" s="3215"/>
      <c r="N34" s="3215"/>
      <c r="O34" s="3215"/>
      <c r="P34" s="3215"/>
    </row>
    <row r="35" spans="1:16">
      <c r="A35" s="3198"/>
      <c r="B35" s="3202" t="s">
        <v>3609</v>
      </c>
      <c r="C35" s="3202" t="s">
        <v>3610</v>
      </c>
      <c r="D35" s="3497" t="s">
        <v>3611</v>
      </c>
      <c r="E35" s="3497"/>
      <c r="F35" s="3497"/>
      <c r="G35" s="3201"/>
      <c r="H35" s="3228"/>
      <c r="I35" s="3229"/>
      <c r="J35" s="3214"/>
      <c r="K35" s="3198"/>
      <c r="L35" s="3198"/>
      <c r="M35" s="3215"/>
      <c r="N35" s="3215"/>
      <c r="O35" s="3215"/>
      <c r="P35" s="3215"/>
    </row>
    <row r="36" spans="1:16">
      <c r="A36" s="3198"/>
      <c r="B36" s="3202" t="s">
        <v>3612</v>
      </c>
      <c r="C36" s="3202">
        <v>0</v>
      </c>
      <c r="D36" s="3499">
        <f ca="1">C31</f>
        <v>14</v>
      </c>
      <c r="E36" s="3499"/>
      <c r="F36" s="3499"/>
      <c r="G36" s="3201"/>
      <c r="H36" s="3228"/>
      <c r="I36" s="3229"/>
      <c r="J36" s="3209"/>
      <c r="K36" s="3198"/>
      <c r="L36" s="3198"/>
      <c r="M36" s="3198"/>
      <c r="N36" s="3198"/>
      <c r="O36" s="3198"/>
      <c r="P36" s="3198"/>
    </row>
    <row r="37" spans="1:16">
      <c r="A37" s="3198"/>
      <c r="B37" s="3202" t="s">
        <v>3613</v>
      </c>
      <c r="C37" s="3202">
        <v>1</v>
      </c>
      <c r="D37" s="3499">
        <f>'比较法-商业租金'!C49</f>
        <v>8.9</v>
      </c>
      <c r="E37" s="3499"/>
      <c r="F37" s="3499"/>
      <c r="G37" s="3200"/>
      <c r="H37" s="3204"/>
      <c r="I37" s="3226"/>
      <c r="J37" s="3198"/>
      <c r="K37" s="3198"/>
      <c r="L37" s="3198"/>
      <c r="M37" s="3198"/>
      <c r="N37" s="3198"/>
      <c r="O37" s="3198"/>
      <c r="P37" s="3198"/>
    </row>
    <row r="38" spans="1:16">
      <c r="A38" s="3198"/>
      <c r="B38" s="3497" t="s">
        <v>3614</v>
      </c>
      <c r="C38" s="3497"/>
      <c r="D38" s="3494">
        <f ca="1">ROUND(D36*C36+D37*C37,1)</f>
        <v>8.9</v>
      </c>
      <c r="E38" s="3495"/>
      <c r="F38" s="3496"/>
      <c r="G38" s="3201"/>
      <c r="H38" s="3205"/>
      <c r="I38" s="3205"/>
      <c r="J38" s="3198"/>
      <c r="K38" s="3198"/>
      <c r="L38" s="3198"/>
      <c r="M38" s="3198"/>
      <c r="N38" s="3198"/>
      <c r="O38" s="3198"/>
      <c r="P38" s="3198"/>
    </row>
    <row r="39" spans="1:16">
      <c r="A39" s="3198"/>
      <c r="B39" s="3489" t="s">
        <v>3615</v>
      </c>
      <c r="C39" s="3490"/>
      <c r="D39" s="3491">
        <v>1</v>
      </c>
      <c r="E39" s="3492"/>
      <c r="F39" s="3493"/>
      <c r="G39" s="3201"/>
      <c r="H39" s="3205"/>
      <c r="I39" s="3205"/>
      <c r="J39" s="3198"/>
      <c r="K39" s="3198"/>
      <c r="L39" s="3198"/>
      <c r="M39" s="3198"/>
      <c r="N39" s="3198"/>
      <c r="O39" s="3198"/>
      <c r="P39" s="3198"/>
    </row>
    <row r="40" spans="1:16">
      <c r="A40" s="3198"/>
      <c r="B40" s="3489" t="s">
        <v>3616</v>
      </c>
      <c r="C40" s="3490"/>
      <c r="D40" s="3494">
        <f ca="1">D38/D39</f>
        <v>8.9</v>
      </c>
      <c r="E40" s="3495"/>
      <c r="F40" s="3496"/>
      <c r="G40" s="3201"/>
      <c r="H40" s="3205"/>
      <c r="I40" s="3205"/>
      <c r="J40" s="3198"/>
      <c r="K40" s="3198"/>
      <c r="L40" s="3198"/>
      <c r="M40" s="3198"/>
      <c r="N40" s="3198"/>
      <c r="O40" s="3198"/>
      <c r="P40" s="3198"/>
    </row>
    <row r="41" spans="1:16" ht="24">
      <c r="A41" s="3198"/>
      <c r="B41" s="3202" t="s">
        <v>3617</v>
      </c>
      <c r="C41" s="3203">
        <f ca="1">ROUND(D40*0.9,1)</f>
        <v>8</v>
      </c>
      <c r="D41" s="3202" t="s">
        <v>3618</v>
      </c>
      <c r="E41" s="3497">
        <f ca="1">ROUND(D40*1.1,1)</f>
        <v>9.8000000000000007</v>
      </c>
      <c r="F41" s="3497"/>
      <c r="G41" s="3201"/>
      <c r="H41" s="3206"/>
      <c r="I41" s="3198"/>
      <c r="J41" s="3198"/>
      <c r="K41" s="3198"/>
      <c r="L41" s="3198"/>
      <c r="M41" s="3198"/>
      <c r="N41" s="3198"/>
      <c r="O41" s="3198"/>
      <c r="P41" s="3198"/>
    </row>
    <row r="42" spans="1:16">
      <c r="A42" s="3198"/>
      <c r="B42" s="3207"/>
      <c r="C42" s="3208"/>
      <c r="D42" s="3208"/>
      <c r="E42" s="3208"/>
      <c r="F42" s="3208"/>
      <c r="G42" s="3201"/>
      <c r="H42" s="3208"/>
      <c r="I42" s="3198"/>
      <c r="J42" s="3198"/>
      <c r="K42" s="3209"/>
      <c r="L42" s="3209"/>
      <c r="M42" s="3198"/>
      <c r="N42" s="3198"/>
      <c r="O42" s="3198"/>
      <c r="P42" s="3198"/>
    </row>
    <row r="43" spans="1:16">
      <c r="A43" s="3198"/>
      <c r="B43" s="3201" t="s">
        <v>3619</v>
      </c>
      <c r="C43" s="3208"/>
      <c r="D43" s="3208"/>
      <c r="E43" s="3201" t="s">
        <v>3620</v>
      </c>
      <c r="F43" s="3208"/>
      <c r="G43" s="3201"/>
      <c r="H43" s="3201" t="s">
        <v>3621</v>
      </c>
      <c r="I43" s="3198"/>
      <c r="J43" s="3198"/>
      <c r="K43" s="3209"/>
      <c r="L43" s="3209"/>
      <c r="M43" s="3198"/>
      <c r="N43" s="3198"/>
      <c r="O43" s="3198"/>
      <c r="P43" s="3198"/>
    </row>
    <row r="44" spans="1:16">
      <c r="A44" s="3198"/>
      <c r="B44" s="3199"/>
      <c r="C44" s="3198"/>
      <c r="D44" s="3198"/>
      <c r="E44" s="3198"/>
      <c r="F44" s="3198"/>
      <c r="G44" s="3200"/>
      <c r="H44" s="3198"/>
      <c r="I44" s="3198"/>
      <c r="J44" s="3209"/>
      <c r="K44" s="3209"/>
      <c r="L44" s="3209"/>
      <c r="M44" s="3198"/>
      <c r="N44" s="3198"/>
      <c r="O44" s="3198"/>
      <c r="P44" s="3198"/>
    </row>
    <row r="45" spans="1:16">
      <c r="A45" s="3198"/>
      <c r="B45" s="3199"/>
      <c r="C45" s="3198"/>
      <c r="D45" s="3198"/>
      <c r="E45" s="3198"/>
      <c r="F45" s="3198"/>
      <c r="G45" s="3200"/>
      <c r="H45" s="3198"/>
      <c r="I45" s="3198"/>
      <c r="J45" s="3209"/>
      <c r="K45" s="3209"/>
      <c r="L45" s="3209"/>
      <c r="M45" s="3198"/>
      <c r="N45" s="3198"/>
      <c r="O45" s="3198"/>
      <c r="P45" s="3198"/>
    </row>
  </sheetData>
  <mergeCells count="71">
    <mergeCell ref="A1:I1"/>
    <mergeCell ref="C2:F2"/>
    <mergeCell ref="H2:I2"/>
    <mergeCell ref="C3:F3"/>
    <mergeCell ref="A4:A6"/>
    <mergeCell ref="B4:B6"/>
    <mergeCell ref="C4:F6"/>
    <mergeCell ref="G4:G6"/>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34:F34"/>
    <mergeCell ref="D35:F35"/>
    <mergeCell ref="D36:F36"/>
    <mergeCell ref="D37:F37"/>
    <mergeCell ref="B38:C38"/>
    <mergeCell ref="D38:F38"/>
    <mergeCell ref="B39:C39"/>
    <mergeCell ref="D39:F39"/>
    <mergeCell ref="B40:C40"/>
    <mergeCell ref="D40:F40"/>
    <mergeCell ref="E41:F41"/>
  </mergeCells>
  <phoneticPr fontId="13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F886-32E7-434B-90B5-0634F0705ED7}">
  <sheetPr>
    <tabColor rgb="FF7030A0"/>
  </sheetPr>
  <dimension ref="P14:U16"/>
  <sheetViews>
    <sheetView topLeftCell="A5" workbookViewId="0">
      <selection activeCell="R24" sqref="R24"/>
    </sheetView>
  </sheetViews>
  <sheetFormatPr defaultRowHeight="14"/>
  <sheetData>
    <row r="14" spans="16:21">
      <c r="P14" s="1405" t="s">
        <v>3497</v>
      </c>
      <c r="Q14">
        <v>61.23</v>
      </c>
      <c r="R14">
        <v>305</v>
      </c>
      <c r="S14">
        <v>49813</v>
      </c>
      <c r="T14" s="1405" t="s">
        <v>3628</v>
      </c>
      <c r="U14" s="1405" t="s">
        <v>3627</v>
      </c>
    </row>
    <row r="15" spans="16:21">
      <c r="P15" s="1405" t="s">
        <v>3629</v>
      </c>
      <c r="Q15">
        <v>107.27</v>
      </c>
      <c r="R15">
        <v>490</v>
      </c>
      <c r="S15">
        <v>45680</v>
      </c>
      <c r="T15" s="1405"/>
      <c r="U15" s="1405" t="s">
        <v>3627</v>
      </c>
    </row>
    <row r="16" spans="16:21">
      <c r="P16" s="1405" t="s">
        <v>3630</v>
      </c>
      <c r="Q16">
        <v>72</v>
      </c>
      <c r="R16">
        <v>380</v>
      </c>
      <c r="S16">
        <v>52778</v>
      </c>
      <c r="U16" s="1405" t="s">
        <v>3631</v>
      </c>
    </row>
  </sheetData>
  <phoneticPr fontId="13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525.41000000000008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60" t="s">
        <v>1770</v>
      </c>
      <c r="D4" s="3461"/>
      <c r="E4" s="3462" t="s">
        <v>1771</v>
      </c>
      <c r="F4" s="3463"/>
      <c r="G4" s="3460" t="s">
        <v>1772</v>
      </c>
      <c r="H4" s="3461"/>
      <c r="I4" s="3460" t="s">
        <v>1773</v>
      </c>
      <c r="J4" s="3461"/>
      <c r="K4" s="537" t="s">
        <v>1774</v>
      </c>
      <c r="L4" s="2486"/>
      <c r="M4" s="2487"/>
      <c r="N4" s="2487"/>
      <c r="O4" s="2487"/>
      <c r="P4" s="3539" t="s">
        <v>1775</v>
      </c>
      <c r="Q4" s="3540"/>
      <c r="R4" s="3543" t="s">
        <v>1771</v>
      </c>
      <c r="S4" s="3544"/>
      <c r="T4" s="3543" t="s">
        <v>1772</v>
      </c>
      <c r="U4" s="3544"/>
      <c r="V4" s="3545" t="s">
        <v>1773</v>
      </c>
      <c r="W4" s="3545"/>
      <c r="X4" s="1809"/>
      <c r="Y4" s="3543" t="s">
        <v>1775</v>
      </c>
      <c r="Z4" s="3544"/>
      <c r="AA4" s="3547" t="s">
        <v>1771</v>
      </c>
      <c r="AB4" s="3547" t="s">
        <v>1772</v>
      </c>
      <c r="AC4" s="3536" t="s">
        <v>1773</v>
      </c>
    </row>
    <row r="5" spans="1:29">
      <c r="A5" s="348"/>
      <c r="B5" s="349"/>
      <c r="C5" s="3478" t="s">
        <v>1673</v>
      </c>
      <c r="D5" s="3479"/>
      <c r="E5" s="3485" t="s">
        <v>1674</v>
      </c>
      <c r="F5" s="3486"/>
      <c r="G5" s="3478" t="s">
        <v>1675</v>
      </c>
      <c r="H5" s="3479"/>
      <c r="I5" s="3478" t="s">
        <v>1676</v>
      </c>
      <c r="J5" s="3479"/>
      <c r="K5" s="537"/>
      <c r="L5" s="2486"/>
      <c r="M5" s="2487"/>
      <c r="N5" s="2487"/>
      <c r="O5" s="2487"/>
      <c r="P5" s="3541"/>
      <c r="Q5" s="3467"/>
      <c r="R5" s="3472"/>
      <c r="S5" s="3473"/>
      <c r="T5" s="3472"/>
      <c r="U5" s="3473"/>
      <c r="V5" s="3446"/>
      <c r="W5" s="3446"/>
      <c r="X5" s="1265"/>
      <c r="Y5" s="3472"/>
      <c r="Z5" s="3473"/>
      <c r="AA5" s="3458"/>
      <c r="AB5" s="3458"/>
      <c r="AC5" s="3537"/>
    </row>
    <row r="6" spans="1:29" ht="15" thickBot="1">
      <c r="A6" s="350"/>
      <c r="B6" s="351"/>
      <c r="C6" s="3476" t="s">
        <v>1677</v>
      </c>
      <c r="D6" s="3477"/>
      <c r="E6" s="3483" t="s">
        <v>1677</v>
      </c>
      <c r="F6" s="3484"/>
      <c r="G6" s="3476" t="s">
        <v>1677</v>
      </c>
      <c r="H6" s="3477"/>
      <c r="I6" s="3476" t="s">
        <v>1677</v>
      </c>
      <c r="J6" s="3477"/>
      <c r="K6" s="537" t="s">
        <v>1678</v>
      </c>
      <c r="L6" s="2486"/>
      <c r="M6" s="2487"/>
      <c r="N6" s="2487"/>
      <c r="O6" s="2487"/>
      <c r="P6" s="3542"/>
      <c r="Q6" s="3469"/>
      <c r="R6" s="3472"/>
      <c r="S6" s="3473"/>
      <c r="T6" s="3474"/>
      <c r="U6" s="3475"/>
      <c r="V6" s="3446"/>
      <c r="W6" s="3446"/>
      <c r="X6" s="1265"/>
      <c r="Y6" s="3474"/>
      <c r="Z6" s="3475"/>
      <c r="AA6" s="3459"/>
      <c r="AB6" s="3459"/>
      <c r="AC6" s="3538"/>
    </row>
    <row r="7" spans="1:29" s="102" customFormat="1" ht="14.5" thickBot="1">
      <c r="A7" s="352" t="s">
        <v>1679</v>
      </c>
      <c r="B7" s="353"/>
      <c r="C7" s="354">
        <f>'数据-取费表'!B2</f>
        <v>46026</v>
      </c>
      <c r="D7" s="355">
        <v>100</v>
      </c>
      <c r="E7" s="356"/>
      <c r="F7" s="357">
        <f>SUMIF(59:59,YEAR(E7)&amp;"-"&amp;MONTH(E7),60:60)</f>
        <v>0</v>
      </c>
      <c r="G7" s="356"/>
      <c r="H7" s="355">
        <f>SUMIF(59:59,YEAR(G7)&amp;"-"&amp;MONTH(G7),60:60)</f>
        <v>0</v>
      </c>
      <c r="I7" s="356"/>
      <c r="J7" s="355">
        <f>SUMIF(59:59,YEAR(I7)&amp;"-"&amp;MONTH(I7),60:60)</f>
        <v>0</v>
      </c>
      <c r="K7" s="38"/>
      <c r="L7" s="2488"/>
      <c r="M7" s="2440"/>
      <c r="N7" s="2440"/>
      <c r="O7" s="2440"/>
      <c r="P7" s="3546" t="s">
        <v>1680</v>
      </c>
      <c r="Q7" s="3482"/>
      <c r="R7" s="664" t="s">
        <v>14</v>
      </c>
      <c r="S7" s="665">
        <f t="shared" ref="S7:S15" si="0">F7</f>
        <v>0</v>
      </c>
      <c r="T7" s="664" t="s">
        <v>14</v>
      </c>
      <c r="U7" s="665">
        <f t="shared" ref="U7:U15" si="1">H7</f>
        <v>0</v>
      </c>
      <c r="V7" s="664" t="s">
        <v>14</v>
      </c>
      <c r="W7" s="665">
        <f t="shared" ref="W7:W15" si="2">J7</f>
        <v>0</v>
      </c>
      <c r="X7" s="666"/>
      <c r="Y7" s="3480" t="s">
        <v>1680</v>
      </c>
      <c r="Z7" s="3481"/>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546" t="s">
        <v>1683</v>
      </c>
      <c r="Q8" s="3481"/>
      <c r="R8" s="664" t="s">
        <v>14</v>
      </c>
      <c r="S8" s="665">
        <f t="shared" si="0"/>
        <v>100</v>
      </c>
      <c r="T8" s="664" t="s">
        <v>14</v>
      </c>
      <c r="U8" s="665">
        <f t="shared" si="1"/>
        <v>100</v>
      </c>
      <c r="V8" s="664" t="s">
        <v>14</v>
      </c>
      <c r="W8" s="665">
        <f t="shared" si="2"/>
        <v>100</v>
      </c>
      <c r="X8" s="666"/>
      <c r="Y8" s="3480" t="s">
        <v>1683</v>
      </c>
      <c r="Z8" s="348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56"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56"/>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56"/>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56"/>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56"/>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56"/>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54" t="s">
        <v>1691</v>
      </c>
      <c r="Q15" s="1263" t="str">
        <f t="shared" si="6"/>
        <v>办公集聚程度</v>
      </c>
      <c r="R15" s="667" t="s">
        <v>14</v>
      </c>
      <c r="S15" s="668">
        <f t="shared" si="0"/>
        <v>100</v>
      </c>
      <c r="T15" s="667" t="s">
        <v>14</v>
      </c>
      <c r="U15" s="668">
        <f t="shared" si="1"/>
        <v>100</v>
      </c>
      <c r="V15" s="667" t="s">
        <v>14</v>
      </c>
      <c r="W15" s="668">
        <f t="shared" si="2"/>
        <v>100</v>
      </c>
      <c r="X15" s="1265"/>
      <c r="Y15" s="3447"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455"/>
      <c r="Q16" s="1263"/>
      <c r="R16" s="667"/>
      <c r="S16" s="668"/>
      <c r="T16" s="667"/>
      <c r="U16" s="668"/>
      <c r="V16" s="667"/>
      <c r="W16" s="668"/>
      <c r="X16" s="1265"/>
      <c r="Y16" s="3448"/>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55"/>
      <c r="Q17" s="1263" t="str">
        <f>B17</f>
        <v>交通便捷度</v>
      </c>
      <c r="R17" s="667" t="s">
        <v>14</v>
      </c>
      <c r="S17" s="668">
        <f>F17</f>
        <v>100</v>
      </c>
      <c r="T17" s="667" t="s">
        <v>14</v>
      </c>
      <c r="U17" s="668">
        <f>H17</f>
        <v>100</v>
      </c>
      <c r="V17" s="667" t="s">
        <v>14</v>
      </c>
      <c r="W17" s="668">
        <f>J17</f>
        <v>100</v>
      </c>
      <c r="X17" s="1265"/>
      <c r="Y17" s="3448"/>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455"/>
      <c r="Q18" s="1263"/>
      <c r="R18" s="667"/>
      <c r="S18" s="668"/>
      <c r="T18" s="667"/>
      <c r="U18" s="668"/>
      <c r="V18" s="667"/>
      <c r="W18" s="668"/>
      <c r="X18" s="1265"/>
      <c r="Y18" s="3448"/>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55"/>
      <c r="Q19" s="1263" t="str">
        <f>B19</f>
        <v>公共配套设施</v>
      </c>
      <c r="R19" s="667" t="s">
        <v>14</v>
      </c>
      <c r="S19" s="668">
        <f>F19</f>
        <v>100</v>
      </c>
      <c r="T19" s="667" t="s">
        <v>14</v>
      </c>
      <c r="U19" s="668">
        <f>H19</f>
        <v>100</v>
      </c>
      <c r="V19" s="667" t="s">
        <v>14</v>
      </c>
      <c r="W19" s="668">
        <f>J19</f>
        <v>100</v>
      </c>
      <c r="X19" s="1265"/>
      <c r="Y19" s="3448"/>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455"/>
      <c r="Q20" s="1263"/>
      <c r="R20" s="667"/>
      <c r="S20" s="668"/>
      <c r="T20" s="667"/>
      <c r="U20" s="668"/>
      <c r="V20" s="667"/>
      <c r="W20" s="668"/>
      <c r="X20" s="1265"/>
      <c r="Y20" s="344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55"/>
      <c r="Q21" s="1263" t="str">
        <f>B21</f>
        <v>基础设施水平</v>
      </c>
      <c r="R21" s="667" t="s">
        <v>14</v>
      </c>
      <c r="S21" s="668">
        <f>F21</f>
        <v>100</v>
      </c>
      <c r="T21" s="667" t="s">
        <v>14</v>
      </c>
      <c r="U21" s="668">
        <f>H21</f>
        <v>100</v>
      </c>
      <c r="V21" s="667" t="s">
        <v>14</v>
      </c>
      <c r="W21" s="668">
        <f>J21</f>
        <v>100</v>
      </c>
      <c r="X21" s="1265"/>
      <c r="Y21" s="3448"/>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455"/>
      <c r="Q22" s="1263"/>
      <c r="R22" s="667"/>
      <c r="S22" s="668"/>
      <c r="T22" s="667"/>
      <c r="U22" s="668"/>
      <c r="V22" s="667"/>
      <c r="W22" s="668"/>
      <c r="X22" s="1265"/>
      <c r="Y22" s="3448"/>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55"/>
      <c r="Q23" s="1263" t="str">
        <f>B23</f>
        <v>环境质量</v>
      </c>
      <c r="R23" s="667" t="s">
        <v>14</v>
      </c>
      <c r="S23" s="668">
        <f>F23</f>
        <v>100</v>
      </c>
      <c r="T23" s="667" t="s">
        <v>14</v>
      </c>
      <c r="U23" s="668">
        <f>H23</f>
        <v>100</v>
      </c>
      <c r="V23" s="667" t="s">
        <v>14</v>
      </c>
      <c r="W23" s="668">
        <f>J23</f>
        <v>100</v>
      </c>
      <c r="X23" s="1265"/>
      <c r="Y23" s="3448"/>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455"/>
      <c r="Q24" s="1263"/>
      <c r="R24" s="667"/>
      <c r="S24" s="668"/>
      <c r="T24" s="667"/>
      <c r="U24" s="668"/>
      <c r="V24" s="667"/>
      <c r="W24" s="668"/>
      <c r="X24" s="1265"/>
      <c r="Y24" s="344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55"/>
      <c r="Q25" s="1263" t="str">
        <f>B25</f>
        <v>毗邻道路的类型与等级</v>
      </c>
      <c r="R25" s="667" t="s">
        <v>14</v>
      </c>
      <c r="S25" s="668">
        <f>F25</f>
        <v>100</v>
      </c>
      <c r="T25" s="667" t="s">
        <v>14</v>
      </c>
      <c r="U25" s="668">
        <f>H25</f>
        <v>100</v>
      </c>
      <c r="V25" s="667" t="s">
        <v>14</v>
      </c>
      <c r="W25" s="668">
        <f>J25</f>
        <v>100</v>
      </c>
      <c r="X25" s="1265"/>
      <c r="Y25" s="344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55"/>
      <c r="Q26" s="1263"/>
      <c r="R26" s="667"/>
      <c r="S26" s="668"/>
      <c r="T26" s="667"/>
      <c r="U26" s="668"/>
      <c r="V26" s="667"/>
      <c r="W26" s="668"/>
      <c r="X26" s="1265"/>
      <c r="Y26" s="3448"/>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55"/>
      <c r="Q27" s="1263" t="str">
        <f t="shared" ref="Q27:Q47" si="11">B27</f>
        <v>楼层</v>
      </c>
      <c r="R27" s="667" t="s">
        <v>14</v>
      </c>
      <c r="S27" s="668">
        <f>F27</f>
        <v>100</v>
      </c>
      <c r="T27" s="667" t="s">
        <v>14</v>
      </c>
      <c r="U27" s="668">
        <f>H27</f>
        <v>100</v>
      </c>
      <c r="V27" s="667" t="s">
        <v>14</v>
      </c>
      <c r="W27" s="668">
        <f>J27</f>
        <v>100</v>
      </c>
      <c r="X27" s="1265"/>
      <c r="Y27" s="3448"/>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55"/>
      <c r="Q28" s="530" t="str">
        <f t="shared" si="11"/>
        <v>朝向</v>
      </c>
      <c r="R28" s="664" t="s">
        <v>14</v>
      </c>
      <c r="S28" s="665">
        <f>F28</f>
        <v>100</v>
      </c>
      <c r="T28" s="664" t="s">
        <v>14</v>
      </c>
      <c r="U28" s="665">
        <f>H28</f>
        <v>100</v>
      </c>
      <c r="V28" s="664" t="s">
        <v>14</v>
      </c>
      <c r="W28" s="665">
        <f>J28</f>
        <v>100</v>
      </c>
      <c r="X28" s="666"/>
      <c r="Y28" s="344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55"/>
      <c r="Q29" s="1263">
        <f t="shared" si="11"/>
        <v>111</v>
      </c>
      <c r="R29" s="667" t="s">
        <v>14</v>
      </c>
      <c r="S29" s="668">
        <f t="shared" ref="S29:S47" si="12">F29</f>
        <v>100</v>
      </c>
      <c r="T29" s="667" t="s">
        <v>14</v>
      </c>
      <c r="U29" s="668">
        <f t="shared" ref="U29:U47" si="13">H29</f>
        <v>100</v>
      </c>
      <c r="V29" s="667" t="s">
        <v>14</v>
      </c>
      <c r="W29" s="668">
        <f t="shared" ref="W29:W47" si="14">J29</f>
        <v>100</v>
      </c>
      <c r="X29" s="1265"/>
      <c r="Y29" s="344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55"/>
      <c r="Q30" s="1263">
        <f t="shared" si="11"/>
        <v>111</v>
      </c>
      <c r="R30" s="667" t="s">
        <v>14</v>
      </c>
      <c r="S30" s="668">
        <f t="shared" si="12"/>
        <v>100</v>
      </c>
      <c r="T30" s="667" t="s">
        <v>14</v>
      </c>
      <c r="U30" s="668">
        <f t="shared" si="13"/>
        <v>100</v>
      </c>
      <c r="V30" s="667" t="s">
        <v>14</v>
      </c>
      <c r="W30" s="668">
        <f t="shared" si="14"/>
        <v>100</v>
      </c>
      <c r="X30" s="1265"/>
      <c r="Y30" s="344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55"/>
      <c r="Q31" s="1263">
        <f t="shared" si="11"/>
        <v>111</v>
      </c>
      <c r="R31" s="667" t="s">
        <v>14</v>
      </c>
      <c r="S31" s="668">
        <f t="shared" si="12"/>
        <v>100</v>
      </c>
      <c r="T31" s="667" t="s">
        <v>14</v>
      </c>
      <c r="U31" s="668">
        <f t="shared" si="13"/>
        <v>100</v>
      </c>
      <c r="V31" s="667" t="s">
        <v>14</v>
      </c>
      <c r="W31" s="668">
        <f t="shared" si="14"/>
        <v>100</v>
      </c>
      <c r="X31" s="1265"/>
      <c r="Y31" s="344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55"/>
      <c r="Q32" s="1263">
        <f t="shared" si="11"/>
        <v>111</v>
      </c>
      <c r="R32" s="667" t="s">
        <v>14</v>
      </c>
      <c r="S32" s="668">
        <f t="shared" si="12"/>
        <v>100</v>
      </c>
      <c r="T32" s="667" t="s">
        <v>14</v>
      </c>
      <c r="U32" s="668">
        <f t="shared" si="13"/>
        <v>100</v>
      </c>
      <c r="V32" s="667" t="s">
        <v>14</v>
      </c>
      <c r="W32" s="668">
        <f t="shared" si="14"/>
        <v>100</v>
      </c>
      <c r="X32" s="1265"/>
      <c r="Y32" s="3448"/>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49" t="s">
        <v>1696</v>
      </c>
      <c r="Q33" s="1263" t="str">
        <f t="shared" si="11"/>
        <v>建筑类型</v>
      </c>
      <c r="R33" s="667" t="s">
        <v>14</v>
      </c>
      <c r="S33" s="668">
        <f t="shared" si="12"/>
        <v>100</v>
      </c>
      <c r="T33" s="667" t="s">
        <v>14</v>
      </c>
      <c r="U33" s="668">
        <f t="shared" si="13"/>
        <v>100</v>
      </c>
      <c r="V33" s="667" t="s">
        <v>14</v>
      </c>
      <c r="W33" s="668">
        <f t="shared" si="14"/>
        <v>100</v>
      </c>
      <c r="X33" s="1265"/>
      <c r="Y33" s="3452"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50"/>
      <c r="Q34" s="531" t="str">
        <f t="shared" si="11"/>
        <v>项目建筑规模</v>
      </c>
      <c r="R34" s="669" t="s">
        <v>14</v>
      </c>
      <c r="S34" s="670" t="e">
        <f t="shared" si="12"/>
        <v>#N/A</v>
      </c>
      <c r="T34" s="669" t="s">
        <v>14</v>
      </c>
      <c r="U34" s="670" t="e">
        <f t="shared" si="13"/>
        <v>#N/A</v>
      </c>
      <c r="V34" s="669" t="s">
        <v>14</v>
      </c>
      <c r="W34" s="670" t="e">
        <f t="shared" si="14"/>
        <v>#N/A</v>
      </c>
      <c r="X34" s="671"/>
      <c r="Y34" s="3452"/>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50"/>
      <c r="Q35" s="1263" t="str">
        <f t="shared" si="11"/>
        <v>建筑结构</v>
      </c>
      <c r="R35" s="667" t="s">
        <v>14</v>
      </c>
      <c r="S35" s="668">
        <f t="shared" si="12"/>
        <v>100</v>
      </c>
      <c r="T35" s="667" t="s">
        <v>14</v>
      </c>
      <c r="U35" s="668">
        <f t="shared" si="13"/>
        <v>100</v>
      </c>
      <c r="V35" s="667" t="s">
        <v>14</v>
      </c>
      <c r="W35" s="668">
        <f t="shared" si="14"/>
        <v>100</v>
      </c>
      <c r="X35" s="1265"/>
      <c r="Y35" s="345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50"/>
      <c r="Q36" s="1263" t="str">
        <f t="shared" si="11"/>
        <v>公共部分装修</v>
      </c>
      <c r="R36" s="667" t="s">
        <v>14</v>
      </c>
      <c r="S36" s="668">
        <f t="shared" si="12"/>
        <v>100</v>
      </c>
      <c r="T36" s="667" t="s">
        <v>14</v>
      </c>
      <c r="U36" s="668">
        <f t="shared" si="13"/>
        <v>100</v>
      </c>
      <c r="V36" s="667" t="s">
        <v>14</v>
      </c>
      <c r="W36" s="668">
        <f t="shared" si="14"/>
        <v>100</v>
      </c>
      <c r="X36" s="1265"/>
      <c r="Y36" s="3452"/>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50"/>
      <c r="Q37" s="1263" t="str">
        <f t="shared" si="11"/>
        <v>成新度</v>
      </c>
      <c r="R37" s="667" t="s">
        <v>14</v>
      </c>
      <c r="S37" s="668" t="e">
        <f t="shared" si="12"/>
        <v>#N/A</v>
      </c>
      <c r="T37" s="667" t="s">
        <v>14</v>
      </c>
      <c r="U37" s="668" t="e">
        <f t="shared" si="13"/>
        <v>#N/A</v>
      </c>
      <c r="V37" s="667" t="s">
        <v>14</v>
      </c>
      <c r="W37" s="668" t="e">
        <f t="shared" si="14"/>
        <v>#N/A</v>
      </c>
      <c r="X37" s="1265"/>
      <c r="Y37" s="3452"/>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50"/>
      <c r="Q38" s="530" t="str">
        <f t="shared" si="11"/>
        <v>写字楼等级</v>
      </c>
      <c r="R38" s="664" t="s">
        <v>14</v>
      </c>
      <c r="S38" s="665">
        <f t="shared" si="12"/>
        <v>100</v>
      </c>
      <c r="T38" s="664" t="s">
        <v>14</v>
      </c>
      <c r="U38" s="665">
        <f t="shared" si="13"/>
        <v>100</v>
      </c>
      <c r="V38" s="664" t="s">
        <v>14</v>
      </c>
      <c r="W38" s="665">
        <f t="shared" si="14"/>
        <v>100</v>
      </c>
      <c r="X38" s="666"/>
      <c r="Y38" s="345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50" t="s">
        <v>1696</v>
      </c>
      <c r="Q39" s="1263" t="str">
        <f t="shared" si="11"/>
        <v>物业管理</v>
      </c>
      <c r="R39" s="667" t="s">
        <v>14</v>
      </c>
      <c r="S39" s="668">
        <f t="shared" si="12"/>
        <v>100</v>
      </c>
      <c r="T39" s="667" t="s">
        <v>14</v>
      </c>
      <c r="U39" s="668">
        <f t="shared" si="13"/>
        <v>100</v>
      </c>
      <c r="V39" s="667" t="s">
        <v>14</v>
      </c>
      <c r="W39" s="668">
        <f t="shared" si="14"/>
        <v>100</v>
      </c>
      <c r="X39" s="1265"/>
      <c r="Y39" s="345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50"/>
      <c r="Q40" s="1263" t="str">
        <f t="shared" si="11"/>
        <v>市政基础设施</v>
      </c>
      <c r="R40" s="667" t="s">
        <v>14</v>
      </c>
      <c r="S40" s="668">
        <f t="shared" si="12"/>
        <v>100</v>
      </c>
      <c r="T40" s="667" t="s">
        <v>14</v>
      </c>
      <c r="U40" s="668">
        <f t="shared" si="13"/>
        <v>100</v>
      </c>
      <c r="V40" s="667" t="s">
        <v>14</v>
      </c>
      <c r="W40" s="668">
        <f t="shared" si="14"/>
        <v>100</v>
      </c>
      <c r="X40" s="1265"/>
      <c r="Y40" s="3452"/>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50"/>
      <c r="Q41" s="1263" t="str">
        <f t="shared" si="11"/>
        <v>层高</v>
      </c>
      <c r="R41" s="667" t="s">
        <v>14</v>
      </c>
      <c r="S41" s="668">
        <f t="shared" si="12"/>
        <v>100</v>
      </c>
      <c r="T41" s="667" t="s">
        <v>14</v>
      </c>
      <c r="U41" s="668">
        <f t="shared" si="13"/>
        <v>100</v>
      </c>
      <c r="V41" s="667" t="s">
        <v>14</v>
      </c>
      <c r="W41" s="668">
        <f t="shared" si="14"/>
        <v>100</v>
      </c>
      <c r="X41" s="1265"/>
      <c r="Y41" s="345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50"/>
      <c r="Q42" s="531" t="str">
        <f t="shared" si="11"/>
        <v>单套建筑面积</v>
      </c>
      <c r="R42" s="669" t="s">
        <v>14</v>
      </c>
      <c r="S42" s="670">
        <f t="shared" si="12"/>
        <v>100</v>
      </c>
      <c r="T42" s="669" t="s">
        <v>14</v>
      </c>
      <c r="U42" s="670">
        <f t="shared" si="13"/>
        <v>100</v>
      </c>
      <c r="V42" s="669" t="s">
        <v>14</v>
      </c>
      <c r="W42" s="670">
        <f t="shared" si="14"/>
        <v>100</v>
      </c>
      <c r="X42" s="671"/>
      <c r="Y42" s="3452"/>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50"/>
      <c r="Q43" s="1263" t="str">
        <f t="shared" si="11"/>
        <v>内部装修</v>
      </c>
      <c r="R43" s="667" t="s">
        <v>14</v>
      </c>
      <c r="S43" s="668">
        <f t="shared" si="12"/>
        <v>100</v>
      </c>
      <c r="T43" s="667" t="s">
        <v>14</v>
      </c>
      <c r="U43" s="668">
        <f t="shared" si="13"/>
        <v>100</v>
      </c>
      <c r="V43" s="667" t="s">
        <v>14</v>
      </c>
      <c r="W43" s="668">
        <f t="shared" si="14"/>
        <v>100</v>
      </c>
      <c r="X43" s="1265"/>
      <c r="Y43" s="3452"/>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50"/>
      <c r="Q44" s="1263" t="str">
        <f t="shared" si="11"/>
        <v>内部装修维护情况</v>
      </c>
      <c r="R44" s="667" t="s">
        <v>14</v>
      </c>
      <c r="S44" s="668">
        <f t="shared" si="12"/>
        <v>100</v>
      </c>
      <c r="T44" s="667" t="s">
        <v>14</v>
      </c>
      <c r="U44" s="668">
        <f t="shared" si="13"/>
        <v>100</v>
      </c>
      <c r="V44" s="667" t="s">
        <v>14</v>
      </c>
      <c r="W44" s="668">
        <f t="shared" si="14"/>
        <v>100</v>
      </c>
      <c r="X44" s="1265"/>
      <c r="Y44" s="345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50"/>
      <c r="Q45" s="530">
        <f t="shared" si="11"/>
        <v>111</v>
      </c>
      <c r="R45" s="664" t="s">
        <v>14</v>
      </c>
      <c r="S45" s="665">
        <f t="shared" si="12"/>
        <v>100</v>
      </c>
      <c r="T45" s="664" t="s">
        <v>14</v>
      </c>
      <c r="U45" s="665">
        <f t="shared" si="13"/>
        <v>100</v>
      </c>
      <c r="V45" s="664" t="s">
        <v>14</v>
      </c>
      <c r="W45" s="665">
        <f t="shared" si="14"/>
        <v>100</v>
      </c>
      <c r="X45" s="666"/>
      <c r="Y45" s="345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50"/>
      <c r="Q46" s="1263">
        <f t="shared" si="11"/>
        <v>111</v>
      </c>
      <c r="R46" s="667" t="s">
        <v>14</v>
      </c>
      <c r="S46" s="668">
        <f t="shared" si="12"/>
        <v>100</v>
      </c>
      <c r="T46" s="667" t="s">
        <v>14</v>
      </c>
      <c r="U46" s="668">
        <f t="shared" si="13"/>
        <v>100</v>
      </c>
      <c r="V46" s="667" t="s">
        <v>14</v>
      </c>
      <c r="W46" s="668">
        <f t="shared" si="14"/>
        <v>100</v>
      </c>
      <c r="X46" s="1265"/>
      <c r="Y46" s="345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51"/>
      <c r="Q47" s="1263">
        <f t="shared" si="11"/>
        <v>111</v>
      </c>
      <c r="R47" s="667" t="s">
        <v>14</v>
      </c>
      <c r="S47" s="668">
        <f t="shared" si="12"/>
        <v>100</v>
      </c>
      <c r="T47" s="667" t="s">
        <v>14</v>
      </c>
      <c r="U47" s="668">
        <f t="shared" si="13"/>
        <v>100</v>
      </c>
      <c r="V47" s="667" t="s">
        <v>14</v>
      </c>
      <c r="W47" s="668">
        <f t="shared" si="14"/>
        <v>100</v>
      </c>
      <c r="X47" s="1265"/>
      <c r="Y47" s="3453"/>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4"/>
      <c r="M48" s="2487"/>
      <c r="N48" s="2487"/>
      <c r="O48" s="2487"/>
      <c r="P48" s="3456" t="str">
        <f>A48</f>
        <v>成交单价（元/平方米）</v>
      </c>
      <c r="Q48" s="3445"/>
      <c r="R48" s="3446">
        <f>E48</f>
        <v>0</v>
      </c>
      <c r="S48" s="3446"/>
      <c r="T48" s="3446">
        <f>G48</f>
        <v>0</v>
      </c>
      <c r="U48" s="3446"/>
      <c r="V48" s="3446">
        <f>I48</f>
        <v>0</v>
      </c>
      <c r="W48" s="3446"/>
      <c r="X48" s="385"/>
      <c r="Y48" s="673"/>
      <c r="Z48" s="385"/>
      <c r="AA48" s="385"/>
      <c r="AB48" s="385"/>
      <c r="AC48" s="555"/>
    </row>
    <row r="49" spans="1:29" ht="14.5" thickBot="1">
      <c r="A49" s="423" t="s">
        <v>1793</v>
      </c>
      <c r="B49" s="424"/>
      <c r="C49" s="1082" t="e">
        <f>R50</f>
        <v>#DIV/0!</v>
      </c>
      <c r="D49" s="2141" t="s">
        <v>2136</v>
      </c>
      <c r="E49" s="1083" t="e">
        <f>R49</f>
        <v>#DIV/0!</v>
      </c>
      <c r="F49" s="2142"/>
      <c r="G49" s="1082" t="e">
        <f>T49</f>
        <v>#DIV/0!</v>
      </c>
      <c r="H49" s="2142"/>
      <c r="I49" s="1083" t="e">
        <f>V49</f>
        <v>#DIV/0!</v>
      </c>
      <c r="J49" s="2142"/>
      <c r="K49" s="2144">
        <f>F49+H49+J49</f>
        <v>0</v>
      </c>
      <c r="L49" s="2494"/>
      <c r="M49" s="2487"/>
      <c r="N49" s="2487"/>
      <c r="O49" s="2487"/>
      <c r="P49" s="3456" t="str">
        <f>A49</f>
        <v>比较价值（元/平方米）</v>
      </c>
      <c r="Q49" s="3445"/>
      <c r="R49" s="3446" t="e">
        <f>IF(F1="售价",ROUND(PRODUCT(R48,AA7:AA47),0),ROUND(PRODUCT(R48,AA7:AA47),1))</f>
        <v>#DIV/0!</v>
      </c>
      <c r="S49" s="3446"/>
      <c r="T49" s="3446" t="e">
        <f>IF(F1="售价",ROUND(PRODUCT(T48,AB7:AB47),0),ROUND(PRODUCT(T48,AB7:AB47),1))</f>
        <v>#DIV/0!</v>
      </c>
      <c r="U49" s="3446"/>
      <c r="V49" s="3446" t="e">
        <f>IF(F1="售价",ROUND(PRODUCT(V48,AC7:AC47),0),ROUND(PRODUCT(V48,AC7:AC47),1))</f>
        <v>#DIV/0!</v>
      </c>
      <c r="W49" s="3446"/>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2026-1</v>
      </c>
      <c r="D59" s="1104">
        <f>EDATE(C59,-1)</f>
        <v>45992</v>
      </c>
      <c r="E59" s="1104">
        <f>EDATE(D59,-1)</f>
        <v>45962</v>
      </c>
      <c r="F59" s="1104">
        <f t="shared" ref="F59:O59" si="16">EDATE(E59,-1)</f>
        <v>45931</v>
      </c>
      <c r="G59" s="1104">
        <f t="shared" si="16"/>
        <v>45901</v>
      </c>
      <c r="H59" s="1104">
        <f t="shared" si="16"/>
        <v>45870</v>
      </c>
      <c r="I59" s="1104">
        <f t="shared" si="16"/>
        <v>45839</v>
      </c>
      <c r="J59" s="1104">
        <f t="shared" si="16"/>
        <v>45809</v>
      </c>
      <c r="K59" s="1104">
        <f t="shared" si="16"/>
        <v>45778</v>
      </c>
      <c r="L59" s="1104">
        <f t="shared" si="16"/>
        <v>45748</v>
      </c>
      <c r="M59" s="1104">
        <f t="shared" si="16"/>
        <v>45717</v>
      </c>
      <c r="N59" s="1104">
        <f t="shared" si="16"/>
        <v>45689</v>
      </c>
      <c r="O59" s="1104">
        <f t="shared" si="16"/>
        <v>45658</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525.41000000000008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60" t="s">
        <v>1770</v>
      </c>
      <c r="D4" s="3461"/>
      <c r="E4" s="3462" t="s">
        <v>1771</v>
      </c>
      <c r="F4" s="3463"/>
      <c r="G4" s="3460" t="s">
        <v>1772</v>
      </c>
      <c r="H4" s="3461"/>
      <c r="I4" s="3460" t="s">
        <v>1773</v>
      </c>
      <c r="J4" s="3461"/>
      <c r="K4" s="537" t="s">
        <v>1774</v>
      </c>
      <c r="L4" s="860"/>
      <c r="M4" s="861"/>
      <c r="N4" s="861"/>
      <c r="O4" s="861"/>
      <c r="P4" s="3464" t="s">
        <v>1775</v>
      </c>
      <c r="Q4" s="3465"/>
      <c r="R4" s="3470" t="s">
        <v>1771</v>
      </c>
      <c r="S4" s="3471"/>
      <c r="T4" s="3470" t="s">
        <v>1772</v>
      </c>
      <c r="U4" s="3471"/>
      <c r="V4" s="3446" t="s">
        <v>1773</v>
      </c>
      <c r="W4" s="3446"/>
      <c r="X4" s="1265"/>
      <c r="Y4" s="3470" t="s">
        <v>1775</v>
      </c>
      <c r="Z4" s="3471"/>
      <c r="AA4" s="3457" t="s">
        <v>1771</v>
      </c>
      <c r="AB4" s="3458" t="s">
        <v>1772</v>
      </c>
      <c r="AC4" s="3457" t="s">
        <v>1773</v>
      </c>
    </row>
    <row r="5" spans="1:29">
      <c r="A5" s="348"/>
      <c r="B5" s="349"/>
      <c r="C5" s="3478" t="s">
        <v>1673</v>
      </c>
      <c r="D5" s="3479"/>
      <c r="E5" s="3485" t="s">
        <v>1674</v>
      </c>
      <c r="F5" s="3486"/>
      <c r="G5" s="3478" t="s">
        <v>1675</v>
      </c>
      <c r="H5" s="3479"/>
      <c r="I5" s="3478" t="s">
        <v>1676</v>
      </c>
      <c r="J5" s="3479"/>
      <c r="K5" s="537"/>
      <c r="L5" s="860"/>
      <c r="M5" s="861"/>
      <c r="N5" s="861"/>
      <c r="O5" s="861"/>
      <c r="P5" s="3466"/>
      <c r="Q5" s="3467"/>
      <c r="R5" s="3472"/>
      <c r="S5" s="3473"/>
      <c r="T5" s="3472"/>
      <c r="U5" s="3473"/>
      <c r="V5" s="3446"/>
      <c r="W5" s="3446"/>
      <c r="X5" s="1265"/>
      <c r="Y5" s="3472"/>
      <c r="Z5" s="3473"/>
      <c r="AA5" s="3458"/>
      <c r="AB5" s="3458"/>
      <c r="AC5" s="3458"/>
    </row>
    <row r="6" spans="1:29" ht="15" thickBot="1">
      <c r="A6" s="350"/>
      <c r="B6" s="351"/>
      <c r="C6" s="3476" t="s">
        <v>1677</v>
      </c>
      <c r="D6" s="3477"/>
      <c r="E6" s="3483" t="s">
        <v>1677</v>
      </c>
      <c r="F6" s="3484"/>
      <c r="G6" s="3476" t="s">
        <v>1677</v>
      </c>
      <c r="H6" s="3477"/>
      <c r="I6" s="3476" t="s">
        <v>1677</v>
      </c>
      <c r="J6" s="3477"/>
      <c r="K6" s="537" t="s">
        <v>1678</v>
      </c>
      <c r="L6" s="860"/>
      <c r="M6" s="861"/>
      <c r="N6" s="861"/>
      <c r="O6" s="861"/>
      <c r="P6" s="3468"/>
      <c r="Q6" s="3469"/>
      <c r="R6" s="3472"/>
      <c r="S6" s="3473"/>
      <c r="T6" s="3474"/>
      <c r="U6" s="3475"/>
      <c r="V6" s="3446"/>
      <c r="W6" s="3446"/>
      <c r="X6" s="1265"/>
      <c r="Y6" s="3474"/>
      <c r="Z6" s="3475"/>
      <c r="AA6" s="3459"/>
      <c r="AB6" s="3459"/>
      <c r="AC6" s="3459"/>
    </row>
    <row r="7" spans="1:29" s="102" customFormat="1" ht="14.5" thickBot="1">
      <c r="A7" s="352" t="s">
        <v>1679</v>
      </c>
      <c r="B7" s="353"/>
      <c r="C7" s="354">
        <f>'数据-取费表'!B2</f>
        <v>46026</v>
      </c>
      <c r="D7" s="355">
        <v>100</v>
      </c>
      <c r="E7" s="356"/>
      <c r="F7" s="357">
        <f>SUMIF(52:52,YEAR(E7)&amp;"-"&amp;MONTH(E7),53:53)</f>
        <v>0</v>
      </c>
      <c r="G7" s="356"/>
      <c r="H7" s="355">
        <f>SUMIF(52:52,YEAR(G7)&amp;"-"&amp;MONTH(G7),53:53)</f>
        <v>0</v>
      </c>
      <c r="I7" s="356"/>
      <c r="J7" s="355">
        <f>SUMIF(52:52,YEAR(I7)&amp;"-"&amp;MONTH(I7),53:53)</f>
        <v>0</v>
      </c>
      <c r="K7" s="38"/>
      <c r="L7" s="862"/>
      <c r="M7" s="863"/>
      <c r="N7" s="863"/>
      <c r="O7" s="863"/>
      <c r="P7" s="3480" t="s">
        <v>1680</v>
      </c>
      <c r="Q7" s="3482"/>
      <c r="R7" s="664" t="s">
        <v>14</v>
      </c>
      <c r="S7" s="665">
        <f t="shared" ref="S7:S15" si="0">F7</f>
        <v>0</v>
      </c>
      <c r="T7" s="664" t="s">
        <v>14</v>
      </c>
      <c r="U7" s="665">
        <f t="shared" ref="U7:U15" si="1">H7</f>
        <v>0</v>
      </c>
      <c r="V7" s="664" t="s">
        <v>14</v>
      </c>
      <c r="W7" s="665">
        <f t="shared" ref="W7:W15" si="2">J7</f>
        <v>0</v>
      </c>
      <c r="X7" s="666"/>
      <c r="Y7" s="3480" t="s">
        <v>1680</v>
      </c>
      <c r="Z7" s="3481"/>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80" t="s">
        <v>1683</v>
      </c>
      <c r="Q8" s="3481"/>
      <c r="R8" s="664" t="s">
        <v>14</v>
      </c>
      <c r="S8" s="665">
        <f t="shared" si="0"/>
        <v>100</v>
      </c>
      <c r="T8" s="664" t="s">
        <v>14</v>
      </c>
      <c r="U8" s="665">
        <f t="shared" si="1"/>
        <v>100</v>
      </c>
      <c r="V8" s="664" t="s">
        <v>14</v>
      </c>
      <c r="W8" s="665">
        <f t="shared" si="2"/>
        <v>100</v>
      </c>
      <c r="X8" s="666"/>
      <c r="Y8" s="3480" t="s">
        <v>1683</v>
      </c>
      <c r="Z8" s="348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4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5"/>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5"/>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5"/>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5"/>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7" t="s">
        <v>1691</v>
      </c>
      <c r="Q15" s="1263" t="str">
        <f t="shared" si="6"/>
        <v>产业集聚程度</v>
      </c>
      <c r="R15" s="667" t="s">
        <v>14</v>
      </c>
      <c r="S15" s="668">
        <f t="shared" si="0"/>
        <v>100</v>
      </c>
      <c r="T15" s="667" t="s">
        <v>14</v>
      </c>
      <c r="U15" s="668">
        <f t="shared" si="1"/>
        <v>100</v>
      </c>
      <c r="V15" s="667" t="s">
        <v>14</v>
      </c>
      <c r="W15" s="668">
        <f t="shared" si="2"/>
        <v>100</v>
      </c>
      <c r="X15" s="1265"/>
      <c r="Y15" s="344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48"/>
      <c r="Q16" s="1263"/>
      <c r="R16" s="667"/>
      <c r="S16" s="668"/>
      <c r="T16" s="667"/>
      <c r="U16" s="668"/>
      <c r="V16" s="667"/>
      <c r="W16" s="668"/>
      <c r="X16" s="1265"/>
      <c r="Y16" s="344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8"/>
      <c r="Q17" s="1263" t="str">
        <f>B17</f>
        <v>交通便捷度</v>
      </c>
      <c r="R17" s="667" t="s">
        <v>14</v>
      </c>
      <c r="S17" s="668">
        <f>F17</f>
        <v>100</v>
      </c>
      <c r="T17" s="667" t="s">
        <v>14</v>
      </c>
      <c r="U17" s="668">
        <f>H17</f>
        <v>100</v>
      </c>
      <c r="V17" s="667" t="s">
        <v>14</v>
      </c>
      <c r="W17" s="668">
        <f>J17</f>
        <v>100</v>
      </c>
      <c r="X17" s="1265"/>
      <c r="Y17" s="344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48"/>
      <c r="Q18" s="1263"/>
      <c r="R18" s="667"/>
      <c r="S18" s="668"/>
      <c r="T18" s="667"/>
      <c r="U18" s="668"/>
      <c r="V18" s="667"/>
      <c r="W18" s="668"/>
      <c r="X18" s="1265"/>
      <c r="Y18" s="344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8"/>
      <c r="Q19" s="1263" t="str">
        <f>B19</f>
        <v>公共配套设施</v>
      </c>
      <c r="R19" s="667" t="s">
        <v>14</v>
      </c>
      <c r="S19" s="668">
        <f>F19</f>
        <v>100</v>
      </c>
      <c r="T19" s="667" t="s">
        <v>14</v>
      </c>
      <c r="U19" s="668">
        <f>H19</f>
        <v>100</v>
      </c>
      <c r="V19" s="667" t="s">
        <v>14</v>
      </c>
      <c r="W19" s="668">
        <f>J19</f>
        <v>100</v>
      </c>
      <c r="X19" s="1265"/>
      <c r="Y19" s="344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48"/>
      <c r="Q20" s="1263"/>
      <c r="R20" s="667"/>
      <c r="S20" s="668"/>
      <c r="T20" s="667"/>
      <c r="U20" s="668"/>
      <c r="V20" s="667"/>
      <c r="W20" s="668"/>
      <c r="X20" s="1265"/>
      <c r="Y20" s="344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8"/>
      <c r="Q21" s="1263" t="str">
        <f>B21</f>
        <v>基础设施水平</v>
      </c>
      <c r="R21" s="667" t="s">
        <v>14</v>
      </c>
      <c r="S21" s="668">
        <f>F21</f>
        <v>100</v>
      </c>
      <c r="T21" s="667" t="s">
        <v>14</v>
      </c>
      <c r="U21" s="668">
        <f>H21</f>
        <v>100</v>
      </c>
      <c r="V21" s="667" t="s">
        <v>14</v>
      </c>
      <c r="W21" s="668">
        <f>J21</f>
        <v>100</v>
      </c>
      <c r="X21" s="1265"/>
      <c r="Y21" s="344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48"/>
      <c r="Q22" s="1263"/>
      <c r="R22" s="667"/>
      <c r="S22" s="668"/>
      <c r="T22" s="667"/>
      <c r="U22" s="668"/>
      <c r="V22" s="667"/>
      <c r="W22" s="668"/>
      <c r="X22" s="1265"/>
      <c r="Y22" s="344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8"/>
      <c r="Q23" s="1263" t="str">
        <f>B23</f>
        <v>环境质量</v>
      </c>
      <c r="R23" s="667" t="s">
        <v>14</v>
      </c>
      <c r="S23" s="668">
        <f>F23</f>
        <v>100</v>
      </c>
      <c r="T23" s="667" t="s">
        <v>14</v>
      </c>
      <c r="U23" s="668">
        <f>H23</f>
        <v>100</v>
      </c>
      <c r="V23" s="667" t="s">
        <v>14</v>
      </c>
      <c r="W23" s="668">
        <f>J23</f>
        <v>100</v>
      </c>
      <c r="X23" s="1265"/>
      <c r="Y23" s="344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48"/>
      <c r="Q24" s="1263"/>
      <c r="R24" s="667"/>
      <c r="S24" s="668"/>
      <c r="T24" s="667"/>
      <c r="U24" s="668"/>
      <c r="V24" s="667"/>
      <c r="W24" s="668"/>
      <c r="X24" s="1265"/>
      <c r="Y24" s="344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8"/>
      <c r="Q25" s="1263">
        <f>B25</f>
        <v>111</v>
      </c>
      <c r="R25" s="667" t="s">
        <v>14</v>
      </c>
      <c r="S25" s="668">
        <f>F25</f>
        <v>100</v>
      </c>
      <c r="T25" s="667" t="s">
        <v>14</v>
      </c>
      <c r="U25" s="668">
        <f>H25</f>
        <v>100</v>
      </c>
      <c r="V25" s="667" t="s">
        <v>14</v>
      </c>
      <c r="W25" s="668">
        <f>J25</f>
        <v>100</v>
      </c>
      <c r="X25" s="1265"/>
      <c r="Y25" s="344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8"/>
      <c r="Q26" s="1263">
        <f t="shared" ref="Q26:Q40" si="11">B26</f>
        <v>111</v>
      </c>
      <c r="R26" s="667" t="s">
        <v>14</v>
      </c>
      <c r="S26" s="668">
        <f>F26</f>
        <v>100</v>
      </c>
      <c r="T26" s="667" t="s">
        <v>14</v>
      </c>
      <c r="U26" s="668">
        <f>H26</f>
        <v>100</v>
      </c>
      <c r="V26" s="667" t="s">
        <v>14</v>
      </c>
      <c r="W26" s="668">
        <f>J26</f>
        <v>100</v>
      </c>
      <c r="X26" s="1265"/>
      <c r="Y26" s="344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8"/>
      <c r="Q27" s="530">
        <f t="shared" si="11"/>
        <v>111</v>
      </c>
      <c r="R27" s="664" t="s">
        <v>14</v>
      </c>
      <c r="S27" s="665">
        <f>F27</f>
        <v>100</v>
      </c>
      <c r="T27" s="664" t="s">
        <v>14</v>
      </c>
      <c r="U27" s="665">
        <f>H27</f>
        <v>100</v>
      </c>
      <c r="V27" s="664" t="s">
        <v>14</v>
      </c>
      <c r="W27" s="665">
        <f>J27</f>
        <v>100</v>
      </c>
      <c r="X27" s="666"/>
      <c r="Y27" s="344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8"/>
      <c r="Q28" s="1263">
        <f t="shared" si="11"/>
        <v>111</v>
      </c>
      <c r="R28" s="667" t="s">
        <v>14</v>
      </c>
      <c r="S28" s="668">
        <f t="shared" ref="S28:S40" si="12">F28</f>
        <v>100</v>
      </c>
      <c r="T28" s="667" t="s">
        <v>14</v>
      </c>
      <c r="U28" s="668">
        <f t="shared" ref="U28:U40" si="13">H28</f>
        <v>100</v>
      </c>
      <c r="V28" s="667" t="s">
        <v>14</v>
      </c>
      <c r="W28" s="668">
        <f t="shared" ref="W28:W40" si="14">J28</f>
        <v>100</v>
      </c>
      <c r="X28" s="1265"/>
      <c r="Y28" s="344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48" t="s">
        <v>1696</v>
      </c>
      <c r="Q29" s="1263" t="str">
        <f t="shared" si="11"/>
        <v>建筑类型</v>
      </c>
      <c r="R29" s="667" t="s">
        <v>14</v>
      </c>
      <c r="S29" s="668">
        <f t="shared" si="12"/>
        <v>100</v>
      </c>
      <c r="T29" s="667" t="s">
        <v>14</v>
      </c>
      <c r="U29" s="668">
        <f t="shared" si="13"/>
        <v>100</v>
      </c>
      <c r="V29" s="667" t="s">
        <v>14</v>
      </c>
      <c r="W29" s="668">
        <f t="shared" si="14"/>
        <v>100</v>
      </c>
      <c r="X29" s="1265"/>
      <c r="Y29" s="345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2"/>
      <c r="Q30" s="531" t="str">
        <f t="shared" si="11"/>
        <v>项目建筑规模</v>
      </c>
      <c r="R30" s="669" t="s">
        <v>14</v>
      </c>
      <c r="S30" s="670" t="e">
        <f t="shared" si="12"/>
        <v>#N/A</v>
      </c>
      <c r="T30" s="669" t="s">
        <v>14</v>
      </c>
      <c r="U30" s="670" t="e">
        <f t="shared" si="13"/>
        <v>#N/A</v>
      </c>
      <c r="V30" s="669" t="s">
        <v>14</v>
      </c>
      <c r="W30" s="670" t="e">
        <f t="shared" si="14"/>
        <v>#N/A</v>
      </c>
      <c r="X30" s="671"/>
      <c r="Y30" s="345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2"/>
      <c r="Q31" s="1263" t="str">
        <f t="shared" si="11"/>
        <v>建筑结构</v>
      </c>
      <c r="R31" s="667" t="s">
        <v>14</v>
      </c>
      <c r="S31" s="668">
        <f t="shared" si="12"/>
        <v>100</v>
      </c>
      <c r="T31" s="667" t="s">
        <v>14</v>
      </c>
      <c r="U31" s="668">
        <f t="shared" si="13"/>
        <v>100</v>
      </c>
      <c r="V31" s="667" t="s">
        <v>14</v>
      </c>
      <c r="W31" s="668">
        <f t="shared" si="14"/>
        <v>100</v>
      </c>
      <c r="X31" s="1265"/>
      <c r="Y31" s="345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2"/>
      <c r="Q32" s="1263" t="str">
        <f t="shared" si="11"/>
        <v>公共部分装修</v>
      </c>
      <c r="R32" s="667" t="s">
        <v>14</v>
      </c>
      <c r="S32" s="668">
        <f t="shared" si="12"/>
        <v>100</v>
      </c>
      <c r="T32" s="667" t="s">
        <v>14</v>
      </c>
      <c r="U32" s="668">
        <f t="shared" si="13"/>
        <v>100</v>
      </c>
      <c r="V32" s="667" t="s">
        <v>14</v>
      </c>
      <c r="W32" s="668">
        <f t="shared" si="14"/>
        <v>100</v>
      </c>
      <c r="X32" s="1265"/>
      <c r="Y32" s="345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2"/>
      <c r="Q33" s="1263" t="str">
        <f t="shared" si="11"/>
        <v>成新度</v>
      </c>
      <c r="R33" s="667" t="s">
        <v>14</v>
      </c>
      <c r="S33" s="668" t="e">
        <f t="shared" si="12"/>
        <v>#N/A</v>
      </c>
      <c r="T33" s="667" t="s">
        <v>14</v>
      </c>
      <c r="U33" s="668" t="e">
        <f t="shared" si="13"/>
        <v>#N/A</v>
      </c>
      <c r="V33" s="667" t="s">
        <v>14</v>
      </c>
      <c r="W33" s="668" t="e">
        <f t="shared" si="14"/>
        <v>#N/A</v>
      </c>
      <c r="X33" s="1265"/>
      <c r="Y33" s="345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2"/>
      <c r="Q34" s="530" t="str">
        <f t="shared" si="11"/>
        <v>物业管理</v>
      </c>
      <c r="R34" s="664" t="s">
        <v>14</v>
      </c>
      <c r="S34" s="665">
        <f t="shared" si="12"/>
        <v>100</v>
      </c>
      <c r="T34" s="664" t="s">
        <v>14</v>
      </c>
      <c r="U34" s="665">
        <f t="shared" si="13"/>
        <v>100</v>
      </c>
      <c r="V34" s="664" t="s">
        <v>14</v>
      </c>
      <c r="W34" s="665">
        <f t="shared" si="14"/>
        <v>100</v>
      </c>
      <c r="X34" s="666"/>
      <c r="Y34" s="345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2" t="s">
        <v>1696</v>
      </c>
      <c r="Q35" s="1263" t="str">
        <f t="shared" si="11"/>
        <v>市政基础设施</v>
      </c>
      <c r="R35" s="667" t="s">
        <v>14</v>
      </c>
      <c r="S35" s="668">
        <f t="shared" si="12"/>
        <v>100</v>
      </c>
      <c r="T35" s="667" t="s">
        <v>14</v>
      </c>
      <c r="U35" s="668">
        <f t="shared" si="13"/>
        <v>100</v>
      </c>
      <c r="V35" s="667" t="s">
        <v>14</v>
      </c>
      <c r="W35" s="668">
        <f t="shared" si="14"/>
        <v>100</v>
      </c>
      <c r="X35" s="1265"/>
      <c r="Y35" s="345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2"/>
      <c r="Q36" s="1263" t="str">
        <f t="shared" si="11"/>
        <v>内部装修</v>
      </c>
      <c r="R36" s="667" t="s">
        <v>14</v>
      </c>
      <c r="S36" s="668">
        <f t="shared" si="12"/>
        <v>100</v>
      </c>
      <c r="T36" s="667" t="s">
        <v>14</v>
      </c>
      <c r="U36" s="668">
        <f t="shared" si="13"/>
        <v>100</v>
      </c>
      <c r="V36" s="667" t="s">
        <v>14</v>
      </c>
      <c r="W36" s="668">
        <f t="shared" si="14"/>
        <v>100</v>
      </c>
      <c r="X36" s="1265"/>
      <c r="Y36" s="345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2"/>
      <c r="Q37" s="1263" t="str">
        <f t="shared" si="11"/>
        <v>内部装修状况</v>
      </c>
      <c r="R37" s="667" t="s">
        <v>14</v>
      </c>
      <c r="S37" s="668">
        <f t="shared" si="12"/>
        <v>100</v>
      </c>
      <c r="T37" s="667" t="s">
        <v>14</v>
      </c>
      <c r="U37" s="668">
        <f t="shared" si="13"/>
        <v>100</v>
      </c>
      <c r="V37" s="667" t="s">
        <v>14</v>
      </c>
      <c r="W37" s="668">
        <f t="shared" si="14"/>
        <v>100</v>
      </c>
      <c r="X37" s="1265"/>
      <c r="Y37" s="345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2"/>
      <c r="Q38" s="531">
        <f t="shared" si="11"/>
        <v>111</v>
      </c>
      <c r="R38" s="669" t="s">
        <v>14</v>
      </c>
      <c r="S38" s="670">
        <f t="shared" si="12"/>
        <v>100</v>
      </c>
      <c r="T38" s="669" t="s">
        <v>14</v>
      </c>
      <c r="U38" s="670">
        <f t="shared" si="13"/>
        <v>100</v>
      </c>
      <c r="V38" s="669" t="s">
        <v>14</v>
      </c>
      <c r="W38" s="670">
        <f t="shared" si="14"/>
        <v>100</v>
      </c>
      <c r="X38" s="671"/>
      <c r="Y38" s="345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2"/>
      <c r="Q39" s="1263">
        <f t="shared" si="11"/>
        <v>111</v>
      </c>
      <c r="R39" s="667" t="s">
        <v>14</v>
      </c>
      <c r="S39" s="668">
        <f t="shared" si="12"/>
        <v>100</v>
      </c>
      <c r="T39" s="667" t="s">
        <v>14</v>
      </c>
      <c r="U39" s="668">
        <f t="shared" si="13"/>
        <v>100</v>
      </c>
      <c r="V39" s="667" t="s">
        <v>14</v>
      </c>
      <c r="W39" s="668">
        <f t="shared" si="14"/>
        <v>100</v>
      </c>
      <c r="X39" s="1265"/>
      <c r="Y39" s="345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3"/>
      <c r="Q40" s="1263">
        <f t="shared" si="11"/>
        <v>111</v>
      </c>
      <c r="R40" s="667" t="s">
        <v>14</v>
      </c>
      <c r="S40" s="668">
        <f t="shared" si="12"/>
        <v>100</v>
      </c>
      <c r="T40" s="667" t="s">
        <v>14</v>
      </c>
      <c r="U40" s="668">
        <f t="shared" si="13"/>
        <v>100</v>
      </c>
      <c r="V40" s="667" t="s">
        <v>14</v>
      </c>
      <c r="W40" s="668">
        <f t="shared" si="14"/>
        <v>100</v>
      </c>
      <c r="X40" s="1265"/>
      <c r="Y40" s="345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45" t="str">
        <f>A41</f>
        <v>成交单价（元/平方米）</v>
      </c>
      <c r="Q41" s="3445"/>
      <c r="R41" s="3446">
        <f>E41</f>
        <v>0</v>
      </c>
      <c r="S41" s="3446"/>
      <c r="T41" s="3446">
        <f>G41</f>
        <v>0</v>
      </c>
      <c r="U41" s="3446"/>
      <c r="V41" s="3446">
        <f>I41</f>
        <v>0</v>
      </c>
      <c r="W41" s="3446"/>
      <c r="X41" s="385"/>
      <c r="Y41" s="673"/>
      <c r="Z41" s="385"/>
      <c r="AA41" s="385"/>
      <c r="AB41" s="385"/>
      <c r="AC41" s="385"/>
    </row>
    <row r="42" spans="1:29" ht="14.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45" t="str">
        <f>A42</f>
        <v>比较价值（元/平方米）</v>
      </c>
      <c r="Q42" s="3445"/>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2026-1</v>
      </c>
      <c r="D52" s="1104">
        <f>EDATE(C52,-1)</f>
        <v>45992</v>
      </c>
      <c r="E52" s="1104">
        <f t="shared" ref="E52:O52" si="16">EDATE(D52,-1)</f>
        <v>45962</v>
      </c>
      <c r="F52" s="1104">
        <f t="shared" si="16"/>
        <v>45931</v>
      </c>
      <c r="G52" s="1104">
        <f t="shared" si="16"/>
        <v>45901</v>
      </c>
      <c r="H52" s="1104">
        <f t="shared" si="16"/>
        <v>45870</v>
      </c>
      <c r="I52" s="1104">
        <f t="shared" si="16"/>
        <v>45839</v>
      </c>
      <c r="J52" s="1104">
        <f t="shared" si="16"/>
        <v>45809</v>
      </c>
      <c r="K52" s="1104">
        <f t="shared" si="16"/>
        <v>45778</v>
      </c>
      <c r="L52" s="1104">
        <f t="shared" si="16"/>
        <v>45748</v>
      </c>
      <c r="M52" s="1104">
        <f t="shared" si="16"/>
        <v>45717</v>
      </c>
      <c r="N52" s="1104">
        <f t="shared" si="16"/>
        <v>45689</v>
      </c>
      <c r="O52" s="1104">
        <f t="shared" si="16"/>
        <v>45658</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3329</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60" t="s">
        <v>1770</v>
      </c>
      <c r="D4" s="3461"/>
      <c r="E4" s="3462" t="s">
        <v>1771</v>
      </c>
      <c r="F4" s="3463"/>
      <c r="G4" s="3460" t="s">
        <v>1772</v>
      </c>
      <c r="H4" s="3461"/>
      <c r="I4" s="3460" t="s">
        <v>1773</v>
      </c>
      <c r="J4" s="3461"/>
      <c r="K4" s="537" t="s">
        <v>1774</v>
      </c>
      <c r="L4" s="2486"/>
      <c r="M4" s="2487"/>
      <c r="N4" s="2487"/>
      <c r="O4" s="2487"/>
      <c r="P4" s="3464" t="s">
        <v>1775</v>
      </c>
      <c r="Q4" s="3465"/>
      <c r="R4" s="3470" t="s">
        <v>1771</v>
      </c>
      <c r="S4" s="3471"/>
      <c r="T4" s="3470" t="s">
        <v>1772</v>
      </c>
      <c r="U4" s="3471"/>
      <c r="V4" s="3446" t="s">
        <v>1773</v>
      </c>
      <c r="W4" s="3446"/>
      <c r="X4" s="1265"/>
      <c r="Y4" s="3470" t="s">
        <v>1775</v>
      </c>
      <c r="Z4" s="3471"/>
      <c r="AA4" s="3457" t="s">
        <v>1771</v>
      </c>
      <c r="AB4" s="3458" t="s">
        <v>1772</v>
      </c>
      <c r="AC4" s="3457" t="s">
        <v>1773</v>
      </c>
    </row>
    <row r="5" spans="1:29">
      <c r="A5" s="348"/>
      <c r="B5" s="349"/>
      <c r="C5" s="3478" t="s">
        <v>1673</v>
      </c>
      <c r="D5" s="3479"/>
      <c r="E5" s="3485" t="s">
        <v>1674</v>
      </c>
      <c r="F5" s="3486"/>
      <c r="G5" s="3478" t="s">
        <v>1675</v>
      </c>
      <c r="H5" s="3479"/>
      <c r="I5" s="3478" t="s">
        <v>1676</v>
      </c>
      <c r="J5" s="3479"/>
      <c r="K5" s="537"/>
      <c r="L5" s="2486"/>
      <c r="M5" s="2487"/>
      <c r="N5" s="2487"/>
      <c r="O5" s="2487"/>
      <c r="P5" s="3466"/>
      <c r="Q5" s="3467"/>
      <c r="R5" s="3472"/>
      <c r="S5" s="3473"/>
      <c r="T5" s="3472"/>
      <c r="U5" s="3473"/>
      <c r="V5" s="3446"/>
      <c r="W5" s="3446"/>
      <c r="X5" s="1265"/>
      <c r="Y5" s="3472"/>
      <c r="Z5" s="3473"/>
      <c r="AA5" s="3458"/>
      <c r="AB5" s="3458"/>
      <c r="AC5" s="3458"/>
    </row>
    <row r="6" spans="1:29" ht="15" thickBot="1">
      <c r="A6" s="350"/>
      <c r="B6" s="351"/>
      <c r="C6" s="3476" t="s">
        <v>1677</v>
      </c>
      <c r="D6" s="3477"/>
      <c r="E6" s="3483" t="s">
        <v>1677</v>
      </c>
      <c r="F6" s="3484"/>
      <c r="G6" s="3476" t="s">
        <v>1677</v>
      </c>
      <c r="H6" s="3477"/>
      <c r="I6" s="3476" t="s">
        <v>1677</v>
      </c>
      <c r="J6" s="3477"/>
      <c r="K6" s="537" t="s">
        <v>1678</v>
      </c>
      <c r="L6" s="2486"/>
      <c r="M6" s="2487"/>
      <c r="N6" s="2487"/>
      <c r="O6" s="2487"/>
      <c r="P6" s="3468"/>
      <c r="Q6" s="3469"/>
      <c r="R6" s="3472"/>
      <c r="S6" s="3473"/>
      <c r="T6" s="3474"/>
      <c r="U6" s="3475"/>
      <c r="V6" s="3446"/>
      <c r="W6" s="3446"/>
      <c r="X6" s="1265"/>
      <c r="Y6" s="3474"/>
      <c r="Z6" s="3475"/>
      <c r="AA6" s="3459"/>
      <c r="AB6" s="3459"/>
      <c r="AC6" s="3459"/>
    </row>
    <row r="7" spans="1:29" s="102" customFormat="1" ht="14.5" thickBot="1">
      <c r="A7" s="352" t="s">
        <v>1679</v>
      </c>
      <c r="B7" s="353"/>
      <c r="C7" s="354">
        <f>'数据-取费表'!B2</f>
        <v>46026</v>
      </c>
      <c r="D7" s="355">
        <v>100</v>
      </c>
      <c r="E7" s="356"/>
      <c r="F7" s="357">
        <f>SUMIF(48:48,YEAR(E7)&amp;"-"&amp;MONTH(E7),49:49)</f>
        <v>0</v>
      </c>
      <c r="G7" s="356"/>
      <c r="H7" s="355">
        <f>SUMIF(48:48,YEAR(G7)&amp;"-"&amp;MONTH(G7),49:49)</f>
        <v>0</v>
      </c>
      <c r="I7" s="356"/>
      <c r="J7" s="355">
        <f>SUMIF(48:48,YEAR(I7)&amp;"-"&amp;MONTH(I7),49:49)</f>
        <v>0</v>
      </c>
      <c r="K7" s="38"/>
      <c r="L7" s="2488"/>
      <c r="M7" s="2440"/>
      <c r="N7" s="2440"/>
      <c r="O7" s="2440"/>
      <c r="P7" s="3480" t="s">
        <v>1680</v>
      </c>
      <c r="Q7" s="3482"/>
      <c r="R7" s="664" t="s">
        <v>14</v>
      </c>
      <c r="S7" s="665">
        <f t="shared" ref="S7:S14" si="0">F7</f>
        <v>0</v>
      </c>
      <c r="T7" s="664" t="s">
        <v>14</v>
      </c>
      <c r="U7" s="665">
        <f t="shared" ref="U7:U14" si="1">H7</f>
        <v>0</v>
      </c>
      <c r="V7" s="664" t="s">
        <v>14</v>
      </c>
      <c r="W7" s="665">
        <f t="shared" ref="W7:W14" si="2">J7</f>
        <v>0</v>
      </c>
      <c r="X7" s="666"/>
      <c r="Y7" s="3480" t="s">
        <v>1680</v>
      </c>
      <c r="Z7" s="3481"/>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80" t="s">
        <v>1683</v>
      </c>
      <c r="Q8" s="3481"/>
      <c r="R8" s="664" t="s">
        <v>14</v>
      </c>
      <c r="S8" s="665">
        <f t="shared" si="0"/>
        <v>100</v>
      </c>
      <c r="T8" s="664" t="s">
        <v>14</v>
      </c>
      <c r="U8" s="665">
        <f t="shared" si="1"/>
        <v>100</v>
      </c>
      <c r="V8" s="664" t="s">
        <v>14</v>
      </c>
      <c r="W8" s="665">
        <f t="shared" si="2"/>
        <v>100</v>
      </c>
      <c r="X8" s="666"/>
      <c r="Y8" s="3480" t="s">
        <v>1683</v>
      </c>
      <c r="Z8" s="348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45"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4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45"/>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45"/>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45"/>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47" t="s">
        <v>1691</v>
      </c>
      <c r="Q14" s="1263" t="str">
        <f t="shared" si="6"/>
        <v>交通便捷度</v>
      </c>
      <c r="R14" s="667" t="s">
        <v>14</v>
      </c>
      <c r="S14" s="668">
        <f t="shared" si="0"/>
        <v>100</v>
      </c>
      <c r="T14" s="667" t="s">
        <v>14</v>
      </c>
      <c r="U14" s="668">
        <f t="shared" si="1"/>
        <v>100</v>
      </c>
      <c r="V14" s="667" t="s">
        <v>14</v>
      </c>
      <c r="W14" s="668">
        <f t="shared" si="2"/>
        <v>100</v>
      </c>
      <c r="X14" s="1265"/>
      <c r="Y14" s="344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48"/>
      <c r="Q15" s="1263"/>
      <c r="R15" s="667"/>
      <c r="S15" s="668"/>
      <c r="T15" s="667"/>
      <c r="U15" s="668"/>
      <c r="V15" s="667"/>
      <c r="W15" s="668"/>
      <c r="X15" s="1265"/>
      <c r="Y15" s="344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48"/>
      <c r="Q16" s="1263" t="str">
        <f>B16</f>
        <v>公共配套设施</v>
      </c>
      <c r="R16" s="667" t="s">
        <v>14</v>
      </c>
      <c r="S16" s="668">
        <f>F16</f>
        <v>100</v>
      </c>
      <c r="T16" s="667" t="s">
        <v>14</v>
      </c>
      <c r="U16" s="668">
        <f>H16</f>
        <v>100</v>
      </c>
      <c r="V16" s="667" t="s">
        <v>14</v>
      </c>
      <c r="W16" s="668">
        <f>J16</f>
        <v>100</v>
      </c>
      <c r="X16" s="1265"/>
      <c r="Y16" s="344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48"/>
      <c r="Q17" s="1263"/>
      <c r="R17" s="667"/>
      <c r="S17" s="668"/>
      <c r="T17" s="667"/>
      <c r="U17" s="668"/>
      <c r="V17" s="667"/>
      <c r="W17" s="668"/>
      <c r="X17" s="1265"/>
      <c r="Y17" s="344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48"/>
      <c r="Q18" s="1263" t="str">
        <f>B18</f>
        <v>基础设施水平</v>
      </c>
      <c r="R18" s="667" t="s">
        <v>14</v>
      </c>
      <c r="S18" s="668">
        <f>F18</f>
        <v>100</v>
      </c>
      <c r="T18" s="667" t="s">
        <v>14</v>
      </c>
      <c r="U18" s="668">
        <f>H18</f>
        <v>100</v>
      </c>
      <c r="V18" s="667" t="s">
        <v>14</v>
      </c>
      <c r="W18" s="668">
        <f>J18</f>
        <v>100</v>
      </c>
      <c r="X18" s="1265"/>
      <c r="Y18" s="344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48"/>
      <c r="Q19" s="1263"/>
      <c r="R19" s="667"/>
      <c r="S19" s="668"/>
      <c r="T19" s="667"/>
      <c r="U19" s="668"/>
      <c r="V19" s="667"/>
      <c r="W19" s="668"/>
      <c r="X19" s="1265"/>
      <c r="Y19" s="344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48"/>
      <c r="Q20" s="1263" t="str">
        <f>B20</f>
        <v>自然及人文环境</v>
      </c>
      <c r="R20" s="667" t="s">
        <v>14</v>
      </c>
      <c r="S20" s="668">
        <f>F20</f>
        <v>100</v>
      </c>
      <c r="T20" s="667" t="s">
        <v>14</v>
      </c>
      <c r="U20" s="668">
        <f>H20</f>
        <v>100</v>
      </c>
      <c r="V20" s="667" t="s">
        <v>14</v>
      </c>
      <c r="W20" s="668">
        <f>J20</f>
        <v>100</v>
      </c>
      <c r="X20" s="1265"/>
      <c r="Y20" s="344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48"/>
      <c r="Q21" s="1263"/>
      <c r="R21" s="667"/>
      <c r="S21" s="668"/>
      <c r="T21" s="667"/>
      <c r="U21" s="668"/>
      <c r="V21" s="667"/>
      <c r="W21" s="668"/>
      <c r="X21" s="1265"/>
      <c r="Y21" s="344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48"/>
      <c r="Q22" s="1263" t="str">
        <f>B22</f>
        <v>楼层</v>
      </c>
      <c r="R22" s="667" t="s">
        <v>14</v>
      </c>
      <c r="S22" s="668">
        <f>F22</f>
        <v>100</v>
      </c>
      <c r="T22" s="667" t="s">
        <v>14</v>
      </c>
      <c r="U22" s="668">
        <f>H22</f>
        <v>100</v>
      </c>
      <c r="V22" s="667" t="s">
        <v>14</v>
      </c>
      <c r="W22" s="668">
        <f>J22</f>
        <v>100</v>
      </c>
      <c r="X22" s="1265"/>
      <c r="Y22" s="344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48"/>
      <c r="Q23" s="1263">
        <f>B23</f>
        <v>111</v>
      </c>
      <c r="R23" s="667" t="s">
        <v>14</v>
      </c>
      <c r="S23" s="668">
        <f>F23</f>
        <v>100</v>
      </c>
      <c r="T23" s="667" t="s">
        <v>14</v>
      </c>
      <c r="U23" s="668">
        <f>H23</f>
        <v>100</v>
      </c>
      <c r="V23" s="667" t="s">
        <v>14</v>
      </c>
      <c r="W23" s="668">
        <f>J23</f>
        <v>100</v>
      </c>
      <c r="X23" s="1265"/>
      <c r="Y23" s="344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48"/>
      <c r="Q24" s="1263">
        <f t="shared" ref="Q24:Q36" si="11">B24</f>
        <v>111</v>
      </c>
      <c r="R24" s="667" t="s">
        <v>14</v>
      </c>
      <c r="S24" s="668">
        <f>F24</f>
        <v>100</v>
      </c>
      <c r="T24" s="667" t="s">
        <v>14</v>
      </c>
      <c r="U24" s="668">
        <f>H24</f>
        <v>100</v>
      </c>
      <c r="V24" s="667" t="s">
        <v>14</v>
      </c>
      <c r="W24" s="668">
        <f>J24</f>
        <v>100</v>
      </c>
      <c r="X24" s="1265"/>
      <c r="Y24" s="344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48"/>
      <c r="Q25" s="530">
        <f t="shared" si="11"/>
        <v>111</v>
      </c>
      <c r="R25" s="664" t="s">
        <v>14</v>
      </c>
      <c r="S25" s="665">
        <f>F25</f>
        <v>100</v>
      </c>
      <c r="T25" s="664" t="s">
        <v>14</v>
      </c>
      <c r="U25" s="665">
        <f>H25</f>
        <v>100</v>
      </c>
      <c r="V25" s="664" t="s">
        <v>14</v>
      </c>
      <c r="W25" s="665">
        <f>J25</f>
        <v>100</v>
      </c>
      <c r="X25" s="666"/>
      <c r="Y25" s="344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52"/>
      <c r="Q27" s="531" t="str">
        <f t="shared" si="11"/>
        <v>项目停车位配比</v>
      </c>
      <c r="R27" s="669" t="s">
        <v>14</v>
      </c>
      <c r="S27" s="670">
        <f t="shared" si="12"/>
        <v>100</v>
      </c>
      <c r="T27" s="669" t="s">
        <v>14</v>
      </c>
      <c r="U27" s="670">
        <f t="shared" si="13"/>
        <v>100</v>
      </c>
      <c r="V27" s="669" t="s">
        <v>14</v>
      </c>
      <c r="W27" s="670">
        <f t="shared" si="14"/>
        <v>100</v>
      </c>
      <c r="X27" s="671"/>
      <c r="Y27" s="345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52"/>
      <c r="Q28" s="1263" t="str">
        <f t="shared" si="11"/>
        <v>公共部分装修</v>
      </c>
      <c r="R28" s="667" t="s">
        <v>14</v>
      </c>
      <c r="S28" s="668">
        <f t="shared" si="12"/>
        <v>100</v>
      </c>
      <c r="T28" s="667" t="s">
        <v>14</v>
      </c>
      <c r="U28" s="668">
        <f t="shared" si="13"/>
        <v>100</v>
      </c>
      <c r="V28" s="667" t="s">
        <v>14</v>
      </c>
      <c r="W28" s="668">
        <f t="shared" si="14"/>
        <v>100</v>
      </c>
      <c r="X28" s="1265"/>
      <c r="Y28" s="345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52"/>
      <c r="Q29" s="1263" t="str">
        <f t="shared" si="11"/>
        <v>成新率</v>
      </c>
      <c r="R29" s="667" t="s">
        <v>14</v>
      </c>
      <c r="S29" s="668" t="e">
        <f t="shared" si="12"/>
        <v>#N/A</v>
      </c>
      <c r="T29" s="667" t="s">
        <v>14</v>
      </c>
      <c r="U29" s="668" t="e">
        <f t="shared" si="13"/>
        <v>#N/A</v>
      </c>
      <c r="V29" s="667" t="s">
        <v>14</v>
      </c>
      <c r="W29" s="668" t="e">
        <f t="shared" si="14"/>
        <v>#N/A</v>
      </c>
      <c r="X29" s="1265"/>
      <c r="Y29" s="345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52"/>
      <c r="Q30" s="1263" t="str">
        <f t="shared" si="11"/>
        <v>物业等级</v>
      </c>
      <c r="R30" s="667" t="s">
        <v>14</v>
      </c>
      <c r="S30" s="668">
        <f t="shared" si="12"/>
        <v>100</v>
      </c>
      <c r="T30" s="667" t="s">
        <v>14</v>
      </c>
      <c r="U30" s="668">
        <f t="shared" si="13"/>
        <v>100</v>
      </c>
      <c r="V30" s="667" t="s">
        <v>14</v>
      </c>
      <c r="W30" s="668">
        <f t="shared" si="14"/>
        <v>100</v>
      </c>
      <c r="X30" s="1265"/>
      <c r="Y30" s="345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52"/>
      <c r="Q31" s="530" t="str">
        <f t="shared" si="11"/>
        <v>停车位面积</v>
      </c>
      <c r="R31" s="664" t="s">
        <v>14</v>
      </c>
      <c r="S31" s="665" t="e">
        <f t="shared" si="12"/>
        <v>#N/A</v>
      </c>
      <c r="T31" s="664" t="s">
        <v>14</v>
      </c>
      <c r="U31" s="665" t="e">
        <f t="shared" si="13"/>
        <v>#N/A</v>
      </c>
      <c r="V31" s="664" t="s">
        <v>14</v>
      </c>
      <c r="W31" s="665" t="e">
        <f t="shared" si="14"/>
        <v>#N/A</v>
      </c>
      <c r="X31" s="666"/>
      <c r="Y31" s="345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52" t="s">
        <v>1696</v>
      </c>
      <c r="Q32" s="1263" t="str">
        <f t="shared" si="11"/>
        <v>车位类型</v>
      </c>
      <c r="R32" s="667" t="s">
        <v>14</v>
      </c>
      <c r="S32" s="668">
        <f t="shared" si="12"/>
        <v>100</v>
      </c>
      <c r="T32" s="667" t="s">
        <v>14</v>
      </c>
      <c r="U32" s="668">
        <f t="shared" si="13"/>
        <v>100</v>
      </c>
      <c r="V32" s="667" t="s">
        <v>14</v>
      </c>
      <c r="W32" s="668">
        <f t="shared" si="14"/>
        <v>100</v>
      </c>
      <c r="X32" s="1265"/>
      <c r="Y32" s="345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52"/>
      <c r="Q33" s="1263" t="str">
        <f t="shared" si="11"/>
        <v>是否直接入户</v>
      </c>
      <c r="R33" s="667" t="s">
        <v>14</v>
      </c>
      <c r="S33" s="668">
        <f t="shared" si="12"/>
        <v>100</v>
      </c>
      <c r="T33" s="667" t="s">
        <v>14</v>
      </c>
      <c r="U33" s="668">
        <f t="shared" si="13"/>
        <v>100</v>
      </c>
      <c r="V33" s="667" t="s">
        <v>14</v>
      </c>
      <c r="W33" s="668">
        <f t="shared" si="14"/>
        <v>100</v>
      </c>
      <c r="X33" s="1265"/>
      <c r="Y33" s="345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52"/>
      <c r="Q34" s="1263">
        <f t="shared" si="11"/>
        <v>111</v>
      </c>
      <c r="R34" s="667" t="s">
        <v>14</v>
      </c>
      <c r="S34" s="668">
        <f t="shared" si="12"/>
        <v>100</v>
      </c>
      <c r="T34" s="667" t="s">
        <v>14</v>
      </c>
      <c r="U34" s="668">
        <f t="shared" si="13"/>
        <v>100</v>
      </c>
      <c r="V34" s="667" t="s">
        <v>14</v>
      </c>
      <c r="W34" s="668">
        <f t="shared" si="14"/>
        <v>100</v>
      </c>
      <c r="X34" s="1265"/>
      <c r="Y34" s="345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52"/>
      <c r="Q35" s="531">
        <f t="shared" si="11"/>
        <v>111</v>
      </c>
      <c r="R35" s="669" t="s">
        <v>14</v>
      </c>
      <c r="S35" s="670">
        <f t="shared" si="12"/>
        <v>100</v>
      </c>
      <c r="T35" s="669" t="s">
        <v>14</v>
      </c>
      <c r="U35" s="670">
        <f t="shared" si="13"/>
        <v>100</v>
      </c>
      <c r="V35" s="669" t="s">
        <v>14</v>
      </c>
      <c r="W35" s="670">
        <f t="shared" si="14"/>
        <v>100</v>
      </c>
      <c r="X35" s="671"/>
      <c r="Y35" s="345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52"/>
      <c r="Q36" s="1263">
        <f t="shared" si="11"/>
        <v>111</v>
      </c>
      <c r="R36" s="667" t="s">
        <v>14</v>
      </c>
      <c r="S36" s="668">
        <f t="shared" si="12"/>
        <v>100</v>
      </c>
      <c r="T36" s="667" t="s">
        <v>14</v>
      </c>
      <c r="U36" s="668">
        <f t="shared" si="13"/>
        <v>100</v>
      </c>
      <c r="V36" s="667" t="s">
        <v>14</v>
      </c>
      <c r="W36" s="668">
        <f t="shared" si="14"/>
        <v>100</v>
      </c>
      <c r="X36" s="1265"/>
      <c r="Y36" s="3452"/>
      <c r="Z36" s="1264">
        <f t="shared" si="15"/>
        <v>111</v>
      </c>
      <c r="AA36" s="1264">
        <f t="shared" si="3"/>
        <v>1</v>
      </c>
      <c r="AB36" s="1264">
        <f t="shared" si="4"/>
        <v>1</v>
      </c>
      <c r="AC36" s="1264">
        <f t="shared" si="5"/>
        <v>1</v>
      </c>
    </row>
    <row r="37" spans="1:29">
      <c r="A37" s="416" t="s">
        <v>1844</v>
      </c>
      <c r="B37" s="1821" t="s">
        <v>3350</v>
      </c>
      <c r="C37" s="1081" t="s">
        <v>0</v>
      </c>
      <c r="D37" s="418"/>
      <c r="E37" s="419"/>
      <c r="F37" s="420"/>
      <c r="G37" s="421"/>
      <c r="H37" s="422"/>
      <c r="I37" s="419"/>
      <c r="J37" s="422"/>
      <c r="K37" s="545"/>
      <c r="L37" s="2494"/>
      <c r="M37" s="2487"/>
      <c r="N37" s="2487"/>
      <c r="O37" s="2487"/>
      <c r="P37" s="3445" t="str">
        <f>A37</f>
        <v>成交单价</v>
      </c>
      <c r="Q37" s="3445"/>
      <c r="R37" s="3446">
        <f>E37</f>
        <v>0</v>
      </c>
      <c r="S37" s="3446"/>
      <c r="T37" s="3446">
        <f>G37</f>
        <v>0</v>
      </c>
      <c r="U37" s="3446"/>
      <c r="V37" s="3446">
        <f>I37</f>
        <v>0</v>
      </c>
      <c r="W37" s="3446"/>
      <c r="X37" s="385"/>
      <c r="Y37" s="673"/>
      <c r="Z37" s="385"/>
      <c r="AA37" s="385"/>
      <c r="AB37" s="385"/>
      <c r="AC37" s="385"/>
    </row>
    <row r="38" spans="1:29" ht="14.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4"/>
      <c r="M38" s="2487"/>
      <c r="N38" s="2487"/>
      <c r="O38" s="2487"/>
      <c r="P38" s="3445" t="str">
        <f>A38</f>
        <v>比较价值（元/平方米）</v>
      </c>
      <c r="Q38" s="3445"/>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442" t="str">
        <f>A39</f>
        <v>估价对象XX用房的比较价值（楼面单价，元/平方米）</v>
      </c>
      <c r="Q39" s="3443"/>
      <c r="R39" s="3549" t="e">
        <f>IF(F1="售价",ROUND(IF(D38="简单平均",AVERAGE(R38:W38),R38*F38+T38*H38+V38*J38),0),ROUND(IF(D38="简单平均",AVERAGE(R38:V38),R38*F38+T38*H38+V38*J38),1))</f>
        <v>#DIV/0!</v>
      </c>
      <c r="S39" s="3549"/>
      <c r="T39" s="3549"/>
      <c r="U39" s="3549"/>
      <c r="V39" s="3549"/>
      <c r="W39" s="354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2026-1</v>
      </c>
      <c r="D48" s="1104">
        <f>EDATE(C48,-1)</f>
        <v>45992</v>
      </c>
      <c r="E48" s="1104">
        <f t="shared" ref="E48:O48" si="16">EDATE(D48,-1)</f>
        <v>45962</v>
      </c>
      <c r="F48" s="1104">
        <f t="shared" si="16"/>
        <v>45931</v>
      </c>
      <c r="G48" s="1104">
        <f t="shared" si="16"/>
        <v>45901</v>
      </c>
      <c r="H48" s="1104">
        <f t="shared" si="16"/>
        <v>45870</v>
      </c>
      <c r="I48" s="1104">
        <f t="shared" si="16"/>
        <v>45839</v>
      </c>
      <c r="J48" s="1104">
        <f t="shared" si="16"/>
        <v>45809</v>
      </c>
      <c r="K48" s="1104">
        <f t="shared" si="16"/>
        <v>45778</v>
      </c>
      <c r="L48" s="1104">
        <f t="shared" si="16"/>
        <v>45748</v>
      </c>
      <c r="M48" s="1104">
        <f t="shared" si="16"/>
        <v>45717</v>
      </c>
      <c r="N48" s="1104">
        <f t="shared" si="16"/>
        <v>45689</v>
      </c>
      <c r="O48" s="1104">
        <f t="shared" si="16"/>
        <v>45658</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60" t="s">
        <v>1770</v>
      </c>
      <c r="D4" s="3461"/>
      <c r="E4" s="3462" t="s">
        <v>1771</v>
      </c>
      <c r="F4" s="3463"/>
      <c r="G4" s="3460" t="s">
        <v>1772</v>
      </c>
      <c r="H4" s="3461"/>
      <c r="I4" s="3460" t="s">
        <v>1773</v>
      </c>
      <c r="J4" s="3461"/>
      <c r="K4" s="537" t="s">
        <v>1774</v>
      </c>
      <c r="L4" s="2486"/>
      <c r="M4" s="2487"/>
      <c r="N4" s="2487"/>
      <c r="O4" s="2487"/>
      <c r="P4" s="3464" t="s">
        <v>1775</v>
      </c>
      <c r="Q4" s="3465"/>
      <c r="R4" s="3470" t="s">
        <v>1771</v>
      </c>
      <c r="S4" s="3471"/>
      <c r="T4" s="3470" t="s">
        <v>1772</v>
      </c>
      <c r="U4" s="3471"/>
      <c r="V4" s="3446" t="s">
        <v>1773</v>
      </c>
      <c r="W4" s="3446"/>
      <c r="X4" s="1265"/>
      <c r="Y4" s="3470" t="s">
        <v>1775</v>
      </c>
      <c r="Z4" s="3471"/>
      <c r="AA4" s="3457" t="s">
        <v>1771</v>
      </c>
      <c r="AB4" s="3458" t="s">
        <v>1772</v>
      </c>
      <c r="AC4" s="3457" t="s">
        <v>1773</v>
      </c>
    </row>
    <row r="5" spans="1:29">
      <c r="A5" s="348"/>
      <c r="B5" s="349"/>
      <c r="C5" s="3478" t="s">
        <v>1673</v>
      </c>
      <c r="D5" s="3479"/>
      <c r="E5" s="3485" t="s">
        <v>1674</v>
      </c>
      <c r="F5" s="3486"/>
      <c r="G5" s="3478" t="s">
        <v>1675</v>
      </c>
      <c r="H5" s="3479"/>
      <c r="I5" s="3478" t="s">
        <v>1676</v>
      </c>
      <c r="J5" s="3479"/>
      <c r="K5" s="537"/>
      <c r="L5" s="2486"/>
      <c r="M5" s="2487"/>
      <c r="N5" s="2487"/>
      <c r="O5" s="2487"/>
      <c r="P5" s="3466"/>
      <c r="Q5" s="3467"/>
      <c r="R5" s="3472"/>
      <c r="S5" s="3473"/>
      <c r="T5" s="3472"/>
      <c r="U5" s="3473"/>
      <c r="V5" s="3446"/>
      <c r="W5" s="3446"/>
      <c r="X5" s="1265"/>
      <c r="Y5" s="3472"/>
      <c r="Z5" s="3473"/>
      <c r="AA5" s="3458"/>
      <c r="AB5" s="3458"/>
      <c r="AC5" s="3458"/>
    </row>
    <row r="6" spans="1:29" ht="15" thickBot="1">
      <c r="A6" s="350"/>
      <c r="B6" s="351"/>
      <c r="C6" s="3476" t="s">
        <v>1677</v>
      </c>
      <c r="D6" s="3477"/>
      <c r="E6" s="3483" t="s">
        <v>1677</v>
      </c>
      <c r="F6" s="3484"/>
      <c r="G6" s="3476" t="s">
        <v>1677</v>
      </c>
      <c r="H6" s="3477"/>
      <c r="I6" s="3476" t="s">
        <v>1677</v>
      </c>
      <c r="J6" s="3477"/>
      <c r="K6" s="537" t="s">
        <v>1678</v>
      </c>
      <c r="L6" s="2486"/>
      <c r="M6" s="2487"/>
      <c r="N6" s="2487"/>
      <c r="O6" s="2487"/>
      <c r="P6" s="3468"/>
      <c r="Q6" s="3469"/>
      <c r="R6" s="3472"/>
      <c r="S6" s="3473"/>
      <c r="T6" s="3474"/>
      <c r="U6" s="3475"/>
      <c r="V6" s="3446"/>
      <c r="W6" s="3446"/>
      <c r="X6" s="1265"/>
      <c r="Y6" s="3474"/>
      <c r="Z6" s="3475"/>
      <c r="AA6" s="3459"/>
      <c r="AB6" s="3459"/>
      <c r="AC6" s="3459"/>
    </row>
    <row r="7" spans="1:29" s="102" customFormat="1" ht="14.5" thickBot="1">
      <c r="A7" s="352" t="s">
        <v>1679</v>
      </c>
      <c r="B7" s="353"/>
      <c r="C7" s="354">
        <f>'数据-取费表'!B2</f>
        <v>46026</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80" t="s">
        <v>1680</v>
      </c>
      <c r="Q7" s="3482"/>
      <c r="R7" s="664" t="s">
        <v>14</v>
      </c>
      <c r="S7" s="665">
        <f t="shared" ref="S7:S14" si="0">F7</f>
        <v>0</v>
      </c>
      <c r="T7" s="664" t="s">
        <v>14</v>
      </c>
      <c r="U7" s="665">
        <f t="shared" ref="U7:U14" si="1">H7</f>
        <v>0</v>
      </c>
      <c r="V7" s="664" t="s">
        <v>14</v>
      </c>
      <c r="W7" s="665">
        <f t="shared" ref="W7:W14" si="2">J7</f>
        <v>0</v>
      </c>
      <c r="X7" s="666"/>
      <c r="Y7" s="3480" t="s">
        <v>1680</v>
      </c>
      <c r="Z7" s="3481"/>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80" t="s">
        <v>1683</v>
      </c>
      <c r="Q8" s="3481"/>
      <c r="R8" s="664" t="s">
        <v>14</v>
      </c>
      <c r="S8" s="665">
        <f t="shared" si="0"/>
        <v>100</v>
      </c>
      <c r="T8" s="664" t="s">
        <v>14</v>
      </c>
      <c r="U8" s="665">
        <f t="shared" si="1"/>
        <v>100</v>
      </c>
      <c r="V8" s="664" t="s">
        <v>14</v>
      </c>
      <c r="W8" s="665">
        <f t="shared" si="2"/>
        <v>100</v>
      </c>
      <c r="X8" s="666"/>
      <c r="Y8" s="3480" t="s">
        <v>1683</v>
      </c>
      <c r="Z8" s="348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45"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4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45"/>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45"/>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45"/>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47" t="s">
        <v>1691</v>
      </c>
      <c r="Q14" s="1263" t="str">
        <f t="shared" si="6"/>
        <v>交通便捷度</v>
      </c>
      <c r="R14" s="667" t="s">
        <v>14</v>
      </c>
      <c r="S14" s="668">
        <f t="shared" si="0"/>
        <v>100</v>
      </c>
      <c r="T14" s="667" t="s">
        <v>14</v>
      </c>
      <c r="U14" s="668">
        <f t="shared" si="1"/>
        <v>100</v>
      </c>
      <c r="V14" s="667" t="s">
        <v>14</v>
      </c>
      <c r="W14" s="668">
        <f t="shared" si="2"/>
        <v>100</v>
      </c>
      <c r="X14" s="1265"/>
      <c r="Y14" s="344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48"/>
      <c r="Q15" s="1263"/>
      <c r="R15" s="667"/>
      <c r="S15" s="668"/>
      <c r="T15" s="667"/>
      <c r="U15" s="668"/>
      <c r="V15" s="667"/>
      <c r="W15" s="668"/>
      <c r="X15" s="1265"/>
      <c r="Y15" s="344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48"/>
      <c r="Q16" s="1263" t="str">
        <f>B16</f>
        <v>公共配套设施</v>
      </c>
      <c r="R16" s="667" t="s">
        <v>14</v>
      </c>
      <c r="S16" s="668">
        <f>F16</f>
        <v>100</v>
      </c>
      <c r="T16" s="667" t="s">
        <v>14</v>
      </c>
      <c r="U16" s="668">
        <f>H16</f>
        <v>100</v>
      </c>
      <c r="V16" s="667" t="s">
        <v>14</v>
      </c>
      <c r="W16" s="668">
        <f>J16</f>
        <v>100</v>
      </c>
      <c r="X16" s="1265"/>
      <c r="Y16" s="344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48"/>
      <c r="Q17" s="1263"/>
      <c r="R17" s="667"/>
      <c r="S17" s="668"/>
      <c r="T17" s="667"/>
      <c r="U17" s="668"/>
      <c r="V17" s="667"/>
      <c r="W17" s="668"/>
      <c r="X17" s="1265"/>
      <c r="Y17" s="344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48"/>
      <c r="Q18" s="1263" t="str">
        <f>B18</f>
        <v>基础设施水平</v>
      </c>
      <c r="R18" s="667" t="s">
        <v>14</v>
      </c>
      <c r="S18" s="668">
        <f>F18</f>
        <v>100</v>
      </c>
      <c r="T18" s="667" t="s">
        <v>14</v>
      </c>
      <c r="U18" s="668">
        <f>H18</f>
        <v>100</v>
      </c>
      <c r="V18" s="667" t="s">
        <v>14</v>
      </c>
      <c r="W18" s="668">
        <f>J18</f>
        <v>100</v>
      </c>
      <c r="X18" s="1265"/>
      <c r="Y18" s="344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48"/>
      <c r="Q19" s="1263"/>
      <c r="R19" s="667"/>
      <c r="S19" s="668"/>
      <c r="T19" s="667"/>
      <c r="U19" s="668"/>
      <c r="V19" s="667"/>
      <c r="W19" s="668"/>
      <c r="X19" s="1265"/>
      <c r="Y19" s="344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48"/>
      <c r="Q20" s="1263" t="str">
        <f>B20</f>
        <v>自然及人文环境</v>
      </c>
      <c r="R20" s="667" t="s">
        <v>14</v>
      </c>
      <c r="S20" s="668">
        <f>F20</f>
        <v>100</v>
      </c>
      <c r="T20" s="667" t="s">
        <v>14</v>
      </c>
      <c r="U20" s="668">
        <f>H20</f>
        <v>100</v>
      </c>
      <c r="V20" s="667" t="s">
        <v>14</v>
      </c>
      <c r="W20" s="668">
        <f>J20</f>
        <v>100</v>
      </c>
      <c r="X20" s="1265"/>
      <c r="Y20" s="344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48"/>
      <c r="Q21" s="1263"/>
      <c r="R21" s="667"/>
      <c r="S21" s="668"/>
      <c r="T21" s="667"/>
      <c r="U21" s="668"/>
      <c r="V21" s="667"/>
      <c r="W21" s="668"/>
      <c r="X21" s="1265"/>
      <c r="Y21" s="344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48"/>
      <c r="Q22" s="1263" t="str">
        <f>B22</f>
        <v>楼层</v>
      </c>
      <c r="R22" s="667" t="s">
        <v>14</v>
      </c>
      <c r="S22" s="668">
        <f>F22</f>
        <v>100</v>
      </c>
      <c r="T22" s="667" t="s">
        <v>14</v>
      </c>
      <c r="U22" s="668">
        <f>H22</f>
        <v>100</v>
      </c>
      <c r="V22" s="667" t="s">
        <v>14</v>
      </c>
      <c r="W22" s="668">
        <f>J22</f>
        <v>100</v>
      </c>
      <c r="X22" s="1265"/>
      <c r="Y22" s="344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48"/>
      <c r="Q23" s="1263">
        <f>B23</f>
        <v>111</v>
      </c>
      <c r="R23" s="667" t="s">
        <v>14</v>
      </c>
      <c r="S23" s="668">
        <f>F23</f>
        <v>100</v>
      </c>
      <c r="T23" s="667" t="s">
        <v>14</v>
      </c>
      <c r="U23" s="668">
        <f>H23</f>
        <v>100</v>
      </c>
      <c r="V23" s="667" t="s">
        <v>14</v>
      </c>
      <c r="W23" s="668">
        <f>J23</f>
        <v>100</v>
      </c>
      <c r="X23" s="1265"/>
      <c r="Y23" s="344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48"/>
      <c r="Q24" s="1263">
        <f t="shared" ref="Q24:Q34" si="11">B24</f>
        <v>111</v>
      </c>
      <c r="R24" s="667" t="s">
        <v>14</v>
      </c>
      <c r="S24" s="668">
        <f>F24</f>
        <v>100</v>
      </c>
      <c r="T24" s="667" t="s">
        <v>14</v>
      </c>
      <c r="U24" s="668">
        <f>H24</f>
        <v>100</v>
      </c>
      <c r="V24" s="667" t="s">
        <v>14</v>
      </c>
      <c r="W24" s="668">
        <f>J24</f>
        <v>100</v>
      </c>
      <c r="X24" s="1265"/>
      <c r="Y24" s="344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48"/>
      <c r="Q25" s="530">
        <f t="shared" si="11"/>
        <v>111</v>
      </c>
      <c r="R25" s="664" t="s">
        <v>14</v>
      </c>
      <c r="S25" s="665">
        <f>F25</f>
        <v>100</v>
      </c>
      <c r="T25" s="664" t="s">
        <v>14</v>
      </c>
      <c r="U25" s="665">
        <f>H25</f>
        <v>100</v>
      </c>
      <c r="V25" s="664" t="s">
        <v>14</v>
      </c>
      <c r="W25" s="665">
        <f>J25</f>
        <v>100</v>
      </c>
      <c r="X25" s="666"/>
      <c r="Y25" s="344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5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52"/>
      <c r="Q27" s="531" t="str">
        <f t="shared" si="11"/>
        <v>成新率</v>
      </c>
      <c r="R27" s="669" t="s">
        <v>14</v>
      </c>
      <c r="S27" s="670" t="e">
        <f t="shared" si="12"/>
        <v>#N/A</v>
      </c>
      <c r="T27" s="669" t="s">
        <v>14</v>
      </c>
      <c r="U27" s="670" t="e">
        <f t="shared" si="13"/>
        <v>#N/A</v>
      </c>
      <c r="V27" s="669" t="s">
        <v>14</v>
      </c>
      <c r="W27" s="670" t="e">
        <f t="shared" si="14"/>
        <v>#N/A</v>
      </c>
      <c r="X27" s="671"/>
      <c r="Y27" s="345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52"/>
      <c r="Q28" s="1263" t="str">
        <f t="shared" si="11"/>
        <v>物业等级</v>
      </c>
      <c r="R28" s="667" t="s">
        <v>14</v>
      </c>
      <c r="S28" s="668">
        <f t="shared" si="12"/>
        <v>100</v>
      </c>
      <c r="T28" s="667" t="s">
        <v>14</v>
      </c>
      <c r="U28" s="668">
        <f t="shared" si="13"/>
        <v>100</v>
      </c>
      <c r="V28" s="667" t="s">
        <v>14</v>
      </c>
      <c r="W28" s="668">
        <f t="shared" si="14"/>
        <v>100</v>
      </c>
      <c r="X28" s="1265"/>
      <c r="Y28" s="345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52"/>
      <c r="Q29" s="1263" t="str">
        <f t="shared" si="11"/>
        <v>有无电梯</v>
      </c>
      <c r="R29" s="667" t="s">
        <v>14</v>
      </c>
      <c r="S29" s="668">
        <f t="shared" si="12"/>
        <v>100</v>
      </c>
      <c r="T29" s="667" t="s">
        <v>14</v>
      </c>
      <c r="U29" s="668">
        <f t="shared" si="13"/>
        <v>100</v>
      </c>
      <c r="V29" s="667" t="s">
        <v>14</v>
      </c>
      <c r="W29" s="668">
        <f t="shared" si="14"/>
        <v>100</v>
      </c>
      <c r="X29" s="1265"/>
      <c r="Y29" s="345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52"/>
      <c r="Q30" s="1263" t="str">
        <f t="shared" si="11"/>
        <v>建筑面积</v>
      </c>
      <c r="R30" s="667" t="s">
        <v>14</v>
      </c>
      <c r="S30" s="668" t="e">
        <f t="shared" si="12"/>
        <v>#N/A</v>
      </c>
      <c r="T30" s="667" t="s">
        <v>14</v>
      </c>
      <c r="U30" s="668" t="e">
        <f t="shared" si="13"/>
        <v>#N/A</v>
      </c>
      <c r="V30" s="667" t="s">
        <v>14</v>
      </c>
      <c r="W30" s="668" t="e">
        <f t="shared" si="14"/>
        <v>#N/A</v>
      </c>
      <c r="X30" s="1265"/>
      <c r="Y30" s="345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52"/>
      <c r="Q31" s="530" t="str">
        <f t="shared" si="11"/>
        <v>是否封闭</v>
      </c>
      <c r="R31" s="664" t="s">
        <v>14</v>
      </c>
      <c r="S31" s="665">
        <f t="shared" si="12"/>
        <v>100</v>
      </c>
      <c r="T31" s="664" t="s">
        <v>14</v>
      </c>
      <c r="U31" s="665">
        <f t="shared" si="13"/>
        <v>100</v>
      </c>
      <c r="V31" s="664" t="s">
        <v>14</v>
      </c>
      <c r="W31" s="665">
        <f t="shared" si="14"/>
        <v>100</v>
      </c>
      <c r="X31" s="666"/>
      <c r="Y31" s="345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52" t="s">
        <v>1696</v>
      </c>
      <c r="Q32" s="1263">
        <f t="shared" si="11"/>
        <v>111</v>
      </c>
      <c r="R32" s="667" t="s">
        <v>14</v>
      </c>
      <c r="S32" s="668">
        <f t="shared" si="12"/>
        <v>100</v>
      </c>
      <c r="T32" s="667" t="s">
        <v>14</v>
      </c>
      <c r="U32" s="668">
        <f t="shared" si="13"/>
        <v>100</v>
      </c>
      <c r="V32" s="667" t="s">
        <v>14</v>
      </c>
      <c r="W32" s="668">
        <f t="shared" si="14"/>
        <v>100</v>
      </c>
      <c r="X32" s="1265"/>
      <c r="Y32" s="345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52"/>
      <c r="Q33" s="1263">
        <f t="shared" si="11"/>
        <v>111</v>
      </c>
      <c r="R33" s="667" t="s">
        <v>14</v>
      </c>
      <c r="S33" s="668">
        <f t="shared" si="12"/>
        <v>100</v>
      </c>
      <c r="T33" s="667" t="s">
        <v>14</v>
      </c>
      <c r="U33" s="668">
        <f t="shared" si="13"/>
        <v>100</v>
      </c>
      <c r="V33" s="667" t="s">
        <v>14</v>
      </c>
      <c r="W33" s="668">
        <f t="shared" si="14"/>
        <v>100</v>
      </c>
      <c r="X33" s="1265"/>
      <c r="Y33" s="345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52"/>
      <c r="Q34" s="1263">
        <f t="shared" si="11"/>
        <v>111</v>
      </c>
      <c r="R34" s="667" t="s">
        <v>14</v>
      </c>
      <c r="S34" s="668">
        <f t="shared" si="12"/>
        <v>100</v>
      </c>
      <c r="T34" s="667" t="s">
        <v>14</v>
      </c>
      <c r="U34" s="668">
        <f t="shared" si="13"/>
        <v>100</v>
      </c>
      <c r="V34" s="667" t="s">
        <v>14</v>
      </c>
      <c r="W34" s="668">
        <f t="shared" si="14"/>
        <v>100</v>
      </c>
      <c r="X34" s="1265"/>
      <c r="Y34" s="345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445" t="str">
        <f>A35</f>
        <v>成交单价（元/平方米）</v>
      </c>
      <c r="Q35" s="3445"/>
      <c r="R35" s="3446">
        <f>E35</f>
        <v>0</v>
      </c>
      <c r="S35" s="3446"/>
      <c r="T35" s="3446">
        <f>G35</f>
        <v>0</v>
      </c>
      <c r="U35" s="3446"/>
      <c r="V35" s="3446">
        <f>I35</f>
        <v>0</v>
      </c>
      <c r="W35" s="3446"/>
      <c r="X35" s="385"/>
      <c r="Y35" s="673"/>
      <c r="Z35" s="385"/>
      <c r="AA35" s="385"/>
      <c r="AB35" s="385"/>
      <c r="AC35" s="385"/>
    </row>
    <row r="36" spans="1:30" ht="14.5" thickBot="1">
      <c r="A36" s="423" t="s">
        <v>1793</v>
      </c>
      <c r="B36" s="424"/>
      <c r="C36" s="1082" t="e">
        <f>R37</f>
        <v>#DIV/0!</v>
      </c>
      <c r="D36" s="2141" t="s">
        <v>2136</v>
      </c>
      <c r="E36" s="1083" t="e">
        <f>R36</f>
        <v>#DIV/0!</v>
      </c>
      <c r="F36" s="2142"/>
      <c r="G36" s="1082" t="e">
        <f>T36</f>
        <v>#DIV/0!</v>
      </c>
      <c r="H36" s="2142"/>
      <c r="I36" s="1083" t="e">
        <f>V36</f>
        <v>#DIV/0!</v>
      </c>
      <c r="J36" s="2142"/>
      <c r="K36" s="2144">
        <f>F36+H36+J36</f>
        <v>0</v>
      </c>
      <c r="L36" s="2494"/>
      <c r="M36" s="2487"/>
      <c r="N36" s="2487"/>
      <c r="O36" s="2487"/>
      <c r="P36" s="3445" t="str">
        <f>A36</f>
        <v>比较价值（元/平方米）</v>
      </c>
      <c r="Q36" s="3445"/>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442" t="str">
        <f>A37</f>
        <v>估价对象XX用房的比较价值（楼面单价，元/平方米）</v>
      </c>
      <c r="Q37" s="3443"/>
      <c r="R37" s="3549" t="e">
        <f>IF(F1="售价",ROUND(IF(D36="简单平均",AVERAGE(R36:W36),R36*F36+T36*H36+V36*J36),0),ROUND(IF(D36="简单平均",AVERAGE(R36:V36),R36*F36+T36*H36+V36*J36),1))</f>
        <v>#DIV/0!</v>
      </c>
      <c r="S37" s="3549"/>
      <c r="T37" s="3549"/>
      <c r="U37" s="3549"/>
      <c r="V37" s="3549"/>
      <c r="W37" s="354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2026-1</v>
      </c>
      <c r="D46" s="1104">
        <f>EDATE(C46,-1)</f>
        <v>45992</v>
      </c>
      <c r="E46" s="1104">
        <f t="shared" ref="E46:O46" si="16">EDATE(D46,-1)</f>
        <v>45962</v>
      </c>
      <c r="F46" s="1104">
        <f t="shared" si="16"/>
        <v>45931</v>
      </c>
      <c r="G46" s="1104">
        <f t="shared" si="16"/>
        <v>45901</v>
      </c>
      <c r="H46" s="1104">
        <f t="shared" si="16"/>
        <v>45870</v>
      </c>
      <c r="I46" s="1104">
        <f t="shared" si="16"/>
        <v>45839</v>
      </c>
      <c r="J46" s="1104">
        <f t="shared" si="16"/>
        <v>45809</v>
      </c>
      <c r="K46" s="1104">
        <f t="shared" si="16"/>
        <v>45778</v>
      </c>
      <c r="L46" s="1104">
        <f t="shared" si="16"/>
        <v>45748</v>
      </c>
      <c r="M46" s="1104">
        <f t="shared" si="16"/>
        <v>45717</v>
      </c>
      <c r="N46" s="1104">
        <f t="shared" si="16"/>
        <v>45689</v>
      </c>
      <c r="O46" s="1104">
        <f t="shared" si="16"/>
        <v>45658</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60" t="s">
        <v>1770</v>
      </c>
      <c r="D4" s="3461"/>
      <c r="E4" s="3462" t="s">
        <v>1771</v>
      </c>
      <c r="F4" s="3463"/>
      <c r="G4" s="3460" t="s">
        <v>1772</v>
      </c>
      <c r="H4" s="3461"/>
      <c r="I4" s="3460" t="s">
        <v>1773</v>
      </c>
      <c r="J4" s="3461"/>
      <c r="K4" s="537" t="s">
        <v>1774</v>
      </c>
      <c r="L4" s="2486"/>
      <c r="M4" s="2487"/>
      <c r="N4" s="2487"/>
      <c r="O4" s="2487"/>
      <c r="P4" s="3464" t="s">
        <v>1775</v>
      </c>
      <c r="Q4" s="3465"/>
      <c r="R4" s="3470" t="s">
        <v>1771</v>
      </c>
      <c r="S4" s="3471"/>
      <c r="T4" s="3470" t="s">
        <v>1772</v>
      </c>
      <c r="U4" s="3471"/>
      <c r="V4" s="3446" t="s">
        <v>1773</v>
      </c>
      <c r="W4" s="3446"/>
      <c r="X4" s="1265"/>
      <c r="Y4" s="3470" t="s">
        <v>1775</v>
      </c>
      <c r="Z4" s="3471"/>
      <c r="AA4" s="3457" t="s">
        <v>1771</v>
      </c>
      <c r="AB4" s="3458" t="s">
        <v>1772</v>
      </c>
      <c r="AC4" s="3457" t="s">
        <v>1773</v>
      </c>
    </row>
    <row r="5" spans="1:29">
      <c r="A5" s="348"/>
      <c r="B5" s="349"/>
      <c r="C5" s="3478" t="s">
        <v>1673</v>
      </c>
      <c r="D5" s="3479"/>
      <c r="E5" s="3485" t="s">
        <v>1674</v>
      </c>
      <c r="F5" s="3486"/>
      <c r="G5" s="3478" t="s">
        <v>1675</v>
      </c>
      <c r="H5" s="3479"/>
      <c r="I5" s="3478" t="s">
        <v>1676</v>
      </c>
      <c r="J5" s="3479"/>
      <c r="K5" s="537"/>
      <c r="L5" s="2486"/>
      <c r="M5" s="2487"/>
      <c r="N5" s="2487"/>
      <c r="O5" s="2487"/>
      <c r="P5" s="3466"/>
      <c r="Q5" s="3467"/>
      <c r="R5" s="3472"/>
      <c r="S5" s="3473"/>
      <c r="T5" s="3472"/>
      <c r="U5" s="3473"/>
      <c r="V5" s="3446"/>
      <c r="W5" s="3446"/>
      <c r="X5" s="1265"/>
      <c r="Y5" s="3472"/>
      <c r="Z5" s="3473"/>
      <c r="AA5" s="3458"/>
      <c r="AB5" s="3458"/>
      <c r="AC5" s="3458"/>
    </row>
    <row r="6" spans="1:29" ht="15" thickBot="1">
      <c r="A6" s="350"/>
      <c r="B6" s="351"/>
      <c r="C6" s="3476" t="s">
        <v>1677</v>
      </c>
      <c r="D6" s="3477"/>
      <c r="E6" s="3483" t="s">
        <v>1677</v>
      </c>
      <c r="F6" s="3484"/>
      <c r="G6" s="3476" t="s">
        <v>1677</v>
      </c>
      <c r="H6" s="3477"/>
      <c r="I6" s="3476" t="s">
        <v>1677</v>
      </c>
      <c r="J6" s="3477"/>
      <c r="K6" s="537" t="s">
        <v>1678</v>
      </c>
      <c r="L6" s="2486"/>
      <c r="M6" s="2487"/>
      <c r="N6" s="2487"/>
      <c r="O6" s="2487"/>
      <c r="P6" s="3468"/>
      <c r="Q6" s="3469"/>
      <c r="R6" s="3472"/>
      <c r="S6" s="3473"/>
      <c r="T6" s="3474"/>
      <c r="U6" s="3475"/>
      <c r="V6" s="3446"/>
      <c r="W6" s="3446"/>
      <c r="X6" s="1265"/>
      <c r="Y6" s="3474"/>
      <c r="Z6" s="3475"/>
      <c r="AA6" s="3459"/>
      <c r="AB6" s="3459"/>
      <c r="AC6" s="3459"/>
    </row>
    <row r="7" spans="1:29" s="102" customFormat="1" ht="14.5" thickBot="1">
      <c r="A7" s="352" t="s">
        <v>1679</v>
      </c>
      <c r="B7" s="353"/>
      <c r="C7" s="354">
        <f>'数据-取费表'!B2</f>
        <v>46026</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80" t="s">
        <v>1680</v>
      </c>
      <c r="Q7" s="3482"/>
      <c r="R7" s="664" t="s">
        <v>14</v>
      </c>
      <c r="S7" s="665">
        <f t="shared" ref="S7:S15" si="0">F7</f>
        <v>0</v>
      </c>
      <c r="T7" s="664" t="s">
        <v>14</v>
      </c>
      <c r="U7" s="665">
        <f t="shared" ref="U7:U15" si="1">H7</f>
        <v>0</v>
      </c>
      <c r="V7" s="664" t="s">
        <v>14</v>
      </c>
      <c r="W7" s="665">
        <f t="shared" ref="W7:W15" si="2">J7</f>
        <v>0</v>
      </c>
      <c r="X7" s="666"/>
      <c r="Y7" s="3480" t="s">
        <v>1680</v>
      </c>
      <c r="Z7" s="3481"/>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80" t="s">
        <v>1683</v>
      </c>
      <c r="Q8" s="3481"/>
      <c r="R8" s="664" t="s">
        <v>14</v>
      </c>
      <c r="S8" s="665">
        <f t="shared" si="0"/>
        <v>0</v>
      </c>
      <c r="T8" s="664" t="s">
        <v>14</v>
      </c>
      <c r="U8" s="665">
        <f t="shared" si="1"/>
        <v>0</v>
      </c>
      <c r="V8" s="664" t="s">
        <v>14</v>
      </c>
      <c r="W8" s="665">
        <f t="shared" si="2"/>
        <v>0</v>
      </c>
      <c r="X8" s="666"/>
      <c r="Y8" s="3480" t="s">
        <v>1683</v>
      </c>
      <c r="Z8" s="348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4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147</v>
      </c>
      <c r="G10" s="402"/>
      <c r="H10" s="119">
        <f>ROUND(100/'数据-取费表'!G16,0)</f>
        <v>147</v>
      </c>
      <c r="I10" s="402"/>
      <c r="J10" s="119">
        <f>ROUND(100/'数据-取费表'!G16,0)</f>
        <v>147</v>
      </c>
      <c r="K10" s="592"/>
      <c r="L10" s="2489"/>
      <c r="M10" s="2490"/>
      <c r="N10" s="2490"/>
      <c r="O10" s="2541"/>
      <c r="P10" s="3445"/>
      <c r="Q10" s="530" t="str">
        <f t="shared" si="6"/>
        <v>土地使用年限（年）</v>
      </c>
      <c r="R10" s="664" t="s">
        <v>14</v>
      </c>
      <c r="S10" s="665">
        <f t="shared" si="0"/>
        <v>147</v>
      </c>
      <c r="T10" s="664" t="s">
        <v>14</v>
      </c>
      <c r="U10" s="665">
        <f t="shared" si="1"/>
        <v>147</v>
      </c>
      <c r="V10" s="664" t="s">
        <v>14</v>
      </c>
      <c r="W10" s="665">
        <f t="shared" si="2"/>
        <v>147</v>
      </c>
      <c r="X10" s="666"/>
      <c r="Y10" s="3320"/>
      <c r="Z10" s="50" t="str">
        <f t="shared" si="7"/>
        <v>土地使用年限（年）</v>
      </c>
      <c r="AA10" s="50">
        <f t="shared" si="3"/>
        <v>0.68027210884353739</v>
      </c>
      <c r="AB10" s="50">
        <f t="shared" si="4"/>
        <v>0.68027210884353739</v>
      </c>
      <c r="AC10" s="50">
        <f t="shared" si="5"/>
        <v>0.68027210884353739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45"/>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45"/>
      <c r="Q12" s="530" t="str">
        <f t="shared" si="6"/>
        <v>配建</v>
      </c>
      <c r="R12" s="664" t="s">
        <v>14</v>
      </c>
      <c r="S12" s="665">
        <f t="shared" si="0"/>
        <v>100</v>
      </c>
      <c r="T12" s="664" t="s">
        <v>14</v>
      </c>
      <c r="U12" s="665">
        <f t="shared" si="1"/>
        <v>100</v>
      </c>
      <c r="V12" s="664" t="s">
        <v>14</v>
      </c>
      <c r="W12" s="665">
        <f t="shared" si="2"/>
        <v>100</v>
      </c>
      <c r="X12" s="666"/>
      <c r="Y12" s="3320"/>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45"/>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45"/>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47" t="s">
        <v>1691</v>
      </c>
      <c r="Q15" s="1263" t="str">
        <f t="shared" si="6"/>
        <v>居住社区成熟度</v>
      </c>
      <c r="R15" s="667" t="s">
        <v>14</v>
      </c>
      <c r="S15" s="668">
        <f t="shared" si="0"/>
        <v>100</v>
      </c>
      <c r="T15" s="667" t="s">
        <v>14</v>
      </c>
      <c r="U15" s="668">
        <f t="shared" si="1"/>
        <v>100</v>
      </c>
      <c r="V15" s="667" t="s">
        <v>14</v>
      </c>
      <c r="W15" s="668">
        <f t="shared" si="2"/>
        <v>100</v>
      </c>
      <c r="X15" s="1265"/>
      <c r="Y15" s="344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48"/>
      <c r="Q16" s="1263"/>
      <c r="R16" s="667"/>
      <c r="S16" s="668"/>
      <c r="T16" s="667"/>
      <c r="U16" s="668"/>
      <c r="V16" s="667"/>
      <c r="W16" s="668"/>
      <c r="X16" s="1265"/>
      <c r="Y16" s="344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48"/>
      <c r="Q17" s="1263" t="str">
        <f>B17</f>
        <v>商业繁华度</v>
      </c>
      <c r="R17" s="667" t="s">
        <v>14</v>
      </c>
      <c r="S17" s="668">
        <f>F17</f>
        <v>100</v>
      </c>
      <c r="T17" s="667" t="s">
        <v>14</v>
      </c>
      <c r="U17" s="668">
        <f>H17</f>
        <v>100</v>
      </c>
      <c r="V17" s="667" t="s">
        <v>14</v>
      </c>
      <c r="W17" s="668">
        <f>J17</f>
        <v>100</v>
      </c>
      <c r="X17" s="1265"/>
      <c r="Y17" s="344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48"/>
      <c r="Q18" s="1263"/>
      <c r="R18" s="667"/>
      <c r="S18" s="668"/>
      <c r="T18" s="667"/>
      <c r="U18" s="668"/>
      <c r="V18" s="667"/>
      <c r="W18" s="668"/>
      <c r="X18" s="1265"/>
      <c r="Y18" s="344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48"/>
      <c r="Q19" s="1263" t="str">
        <f>B19</f>
        <v>办公集聚程度</v>
      </c>
      <c r="R19" s="667" t="s">
        <v>14</v>
      </c>
      <c r="S19" s="668">
        <f>F19</f>
        <v>100</v>
      </c>
      <c r="T19" s="667" t="s">
        <v>14</v>
      </c>
      <c r="U19" s="668">
        <f>H19</f>
        <v>100</v>
      </c>
      <c r="V19" s="667" t="s">
        <v>14</v>
      </c>
      <c r="W19" s="668">
        <f>J19</f>
        <v>100</v>
      </c>
      <c r="X19" s="1265"/>
      <c r="Y19" s="344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48"/>
      <c r="Q20" s="1263"/>
      <c r="R20" s="667"/>
      <c r="S20" s="668"/>
      <c r="T20" s="667"/>
      <c r="U20" s="668"/>
      <c r="V20" s="667"/>
      <c r="W20" s="668"/>
      <c r="X20" s="1265"/>
      <c r="Y20" s="344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48"/>
      <c r="Q21" s="1263" t="str">
        <f>B21</f>
        <v>交通便捷度</v>
      </c>
      <c r="R21" s="667" t="s">
        <v>14</v>
      </c>
      <c r="S21" s="668">
        <f>F21</f>
        <v>100</v>
      </c>
      <c r="T21" s="667" t="s">
        <v>14</v>
      </c>
      <c r="U21" s="668">
        <f>H21</f>
        <v>100</v>
      </c>
      <c r="V21" s="667" t="s">
        <v>14</v>
      </c>
      <c r="W21" s="668">
        <f>J21</f>
        <v>100</v>
      </c>
      <c r="X21" s="1265"/>
      <c r="Y21" s="344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48"/>
      <c r="Q22" s="1263"/>
      <c r="R22" s="667"/>
      <c r="S22" s="668"/>
      <c r="T22" s="667"/>
      <c r="U22" s="668"/>
      <c r="V22" s="667"/>
      <c r="W22" s="668"/>
      <c r="X22" s="1265"/>
      <c r="Y22" s="344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48"/>
      <c r="Q23" s="1263" t="str">
        <f t="shared" ref="Q23:Q37" si="8">B23</f>
        <v>区域土地利用方向</v>
      </c>
      <c r="R23" s="667" t="s">
        <v>14</v>
      </c>
      <c r="S23" s="668">
        <f>F23</f>
        <v>100</v>
      </c>
      <c r="T23" s="667" t="s">
        <v>14</v>
      </c>
      <c r="U23" s="668">
        <f>H23</f>
        <v>100</v>
      </c>
      <c r="V23" s="667" t="s">
        <v>14</v>
      </c>
      <c r="W23" s="668">
        <f>J23</f>
        <v>100</v>
      </c>
      <c r="X23" s="1265"/>
      <c r="Y23" s="344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48"/>
      <c r="Q24" s="1263"/>
      <c r="R24" s="667"/>
      <c r="S24" s="668"/>
      <c r="T24" s="667"/>
      <c r="U24" s="668"/>
      <c r="V24" s="667"/>
      <c r="W24" s="668"/>
      <c r="X24" s="1265"/>
      <c r="Y24" s="344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48"/>
      <c r="Q25" s="1263" t="str">
        <f t="shared" si="8"/>
        <v>自然及人文环境状况</v>
      </c>
      <c r="R25" s="667" t="s">
        <v>14</v>
      </c>
      <c r="S25" s="668">
        <f>F25</f>
        <v>100</v>
      </c>
      <c r="T25" s="667" t="s">
        <v>14</v>
      </c>
      <c r="U25" s="668">
        <f>H25</f>
        <v>100</v>
      </c>
      <c r="V25" s="667" t="s">
        <v>14</v>
      </c>
      <c r="W25" s="668">
        <f>J25</f>
        <v>100</v>
      </c>
      <c r="X25" s="1265"/>
      <c r="Y25" s="344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48"/>
      <c r="Q26" s="1263"/>
      <c r="R26" s="667"/>
      <c r="S26" s="668"/>
      <c r="T26" s="667"/>
      <c r="U26" s="668"/>
      <c r="V26" s="667"/>
      <c r="W26" s="668"/>
      <c r="X26" s="1265"/>
      <c r="Y26" s="344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48"/>
      <c r="Q27" s="530" t="str">
        <f t="shared" si="8"/>
        <v>公共配套设施</v>
      </c>
      <c r="R27" s="664" t="s">
        <v>14</v>
      </c>
      <c r="S27" s="665">
        <f>F27</f>
        <v>100</v>
      </c>
      <c r="T27" s="664" t="s">
        <v>14</v>
      </c>
      <c r="U27" s="665">
        <f>H27</f>
        <v>100</v>
      </c>
      <c r="V27" s="664" t="s">
        <v>14</v>
      </c>
      <c r="W27" s="665">
        <f>J27</f>
        <v>100</v>
      </c>
      <c r="X27" s="666"/>
      <c r="Y27" s="344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48"/>
      <c r="Q28" s="530"/>
      <c r="R28" s="664"/>
      <c r="S28" s="665"/>
      <c r="T28" s="664"/>
      <c r="U28" s="665"/>
      <c r="V28" s="664"/>
      <c r="W28" s="665"/>
      <c r="X28" s="666"/>
      <c r="Y28" s="344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48"/>
      <c r="Q29" s="530" t="str">
        <f t="shared" ref="Q29" si="9">B29</f>
        <v>基础设施水平</v>
      </c>
      <c r="R29" s="664" t="s">
        <v>14</v>
      </c>
      <c r="S29" s="665">
        <f>F29</f>
        <v>100</v>
      </c>
      <c r="T29" s="664" t="s">
        <v>14</v>
      </c>
      <c r="U29" s="665">
        <f>H29</f>
        <v>100</v>
      </c>
      <c r="V29" s="664" t="s">
        <v>14</v>
      </c>
      <c r="W29" s="665">
        <f>J29</f>
        <v>100</v>
      </c>
      <c r="X29" s="666"/>
      <c r="Y29" s="344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48"/>
      <c r="Q30" s="530"/>
      <c r="R30" s="664"/>
      <c r="S30" s="665"/>
      <c r="T30" s="664"/>
      <c r="U30" s="665"/>
      <c r="V30" s="664"/>
      <c r="W30" s="665"/>
      <c r="X30" s="666"/>
      <c r="Y30" s="344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4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48"/>
      <c r="Q32" s="1263" t="str">
        <f t="shared" si="8"/>
        <v>毗邻道路的类型与等级</v>
      </c>
      <c r="R32" s="667" t="s">
        <v>14</v>
      </c>
      <c r="S32" s="668">
        <f t="shared" si="10"/>
        <v>100</v>
      </c>
      <c r="T32" s="667" t="s">
        <v>14</v>
      </c>
      <c r="U32" s="668">
        <f t="shared" si="11"/>
        <v>100</v>
      </c>
      <c r="V32" s="667" t="s">
        <v>14</v>
      </c>
      <c r="W32" s="668">
        <f t="shared" si="12"/>
        <v>100</v>
      </c>
      <c r="X32" s="1265"/>
      <c r="Y32" s="344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48"/>
      <c r="Q33" s="1263"/>
      <c r="R33" s="667"/>
      <c r="S33" s="668"/>
      <c r="T33" s="667"/>
      <c r="U33" s="668"/>
      <c r="V33" s="667"/>
      <c r="W33" s="668"/>
      <c r="X33" s="1265"/>
      <c r="Y33" s="344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48"/>
      <c r="Q34" s="1263" t="str">
        <f t="shared" si="8"/>
        <v>土地级别</v>
      </c>
      <c r="R34" s="667" t="s">
        <v>14</v>
      </c>
      <c r="S34" s="668">
        <f t="shared" si="10"/>
        <v>100</v>
      </c>
      <c r="T34" s="667" t="s">
        <v>14</v>
      </c>
      <c r="U34" s="668">
        <f t="shared" si="11"/>
        <v>100</v>
      </c>
      <c r="V34" s="667" t="s">
        <v>14</v>
      </c>
      <c r="W34" s="668">
        <f t="shared" si="12"/>
        <v>100</v>
      </c>
      <c r="X34" s="1265"/>
      <c r="Y34" s="344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48"/>
      <c r="Q35" s="1263">
        <f t="shared" si="8"/>
        <v>111</v>
      </c>
      <c r="R35" s="667" t="s">
        <v>14</v>
      </c>
      <c r="S35" s="668">
        <f t="shared" si="10"/>
        <v>100</v>
      </c>
      <c r="T35" s="667" t="s">
        <v>14</v>
      </c>
      <c r="U35" s="668">
        <f t="shared" si="11"/>
        <v>100</v>
      </c>
      <c r="V35" s="667" t="s">
        <v>14</v>
      </c>
      <c r="W35" s="668">
        <f t="shared" si="12"/>
        <v>100</v>
      </c>
      <c r="X35" s="1265"/>
      <c r="Y35" s="344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48" t="s">
        <v>1696</v>
      </c>
      <c r="Q36" s="1263">
        <f t="shared" si="8"/>
        <v>111</v>
      </c>
      <c r="R36" s="667" t="s">
        <v>14</v>
      </c>
      <c r="S36" s="668">
        <f t="shared" si="10"/>
        <v>100</v>
      </c>
      <c r="T36" s="667" t="s">
        <v>14</v>
      </c>
      <c r="U36" s="668">
        <f t="shared" si="11"/>
        <v>100</v>
      </c>
      <c r="V36" s="667" t="s">
        <v>14</v>
      </c>
      <c r="W36" s="668">
        <f t="shared" si="12"/>
        <v>100</v>
      </c>
      <c r="X36" s="1265"/>
      <c r="Y36" s="345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52"/>
      <c r="Q37" s="1263">
        <f t="shared" si="8"/>
        <v>111</v>
      </c>
      <c r="R37" s="669" t="s">
        <v>14</v>
      </c>
      <c r="S37" s="670">
        <f t="shared" si="10"/>
        <v>100</v>
      </c>
      <c r="T37" s="669" t="s">
        <v>14</v>
      </c>
      <c r="U37" s="670">
        <f t="shared" si="11"/>
        <v>100</v>
      </c>
      <c r="V37" s="669" t="s">
        <v>14</v>
      </c>
      <c r="W37" s="670">
        <f t="shared" si="12"/>
        <v>100</v>
      </c>
      <c r="X37" s="671"/>
      <c r="Y37" s="345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52"/>
      <c r="Q38" s="1263" t="str">
        <f>B38</f>
        <v>宗地面积</v>
      </c>
      <c r="R38" s="667" t="s">
        <v>14</v>
      </c>
      <c r="S38" s="668" t="e">
        <f t="shared" si="10"/>
        <v>#N/A</v>
      </c>
      <c r="T38" s="667" t="s">
        <v>14</v>
      </c>
      <c r="U38" s="668" t="e">
        <f t="shared" si="11"/>
        <v>#N/A</v>
      </c>
      <c r="V38" s="667" t="s">
        <v>14</v>
      </c>
      <c r="W38" s="668" t="e">
        <f t="shared" si="12"/>
        <v>#N/A</v>
      </c>
      <c r="X38" s="1265"/>
      <c r="Y38" s="345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52"/>
      <c r="Q39" s="1263" t="str">
        <f t="shared" ref="Q39:Q45" si="14">B39</f>
        <v>宗地形状</v>
      </c>
      <c r="R39" s="667" t="s">
        <v>14</v>
      </c>
      <c r="S39" s="668">
        <f t="shared" si="10"/>
        <v>100</v>
      </c>
      <c r="T39" s="667" t="s">
        <v>14</v>
      </c>
      <c r="U39" s="668">
        <f t="shared" si="11"/>
        <v>100</v>
      </c>
      <c r="V39" s="667" t="s">
        <v>14</v>
      </c>
      <c r="W39" s="668">
        <f t="shared" si="12"/>
        <v>100</v>
      </c>
      <c r="X39" s="1265"/>
      <c r="Y39" s="345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52"/>
      <c r="Q40" s="1263" t="str">
        <f t="shared" si="14"/>
        <v>临街宽度及深度</v>
      </c>
      <c r="R40" s="667" t="s">
        <v>14</v>
      </c>
      <c r="S40" s="668">
        <f t="shared" si="10"/>
        <v>100</v>
      </c>
      <c r="T40" s="667" t="s">
        <v>14</v>
      </c>
      <c r="U40" s="668">
        <f t="shared" si="11"/>
        <v>100</v>
      </c>
      <c r="V40" s="667" t="s">
        <v>14</v>
      </c>
      <c r="W40" s="668">
        <f t="shared" si="12"/>
        <v>100</v>
      </c>
      <c r="X40" s="1265"/>
      <c r="Y40" s="345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52"/>
      <c r="Q41" s="1263" t="str">
        <f t="shared" si="14"/>
        <v>宗地开发程度</v>
      </c>
      <c r="R41" s="664" t="s">
        <v>14</v>
      </c>
      <c r="S41" s="665">
        <f t="shared" si="10"/>
        <v>100</v>
      </c>
      <c r="T41" s="664" t="s">
        <v>14</v>
      </c>
      <c r="U41" s="665">
        <f t="shared" si="11"/>
        <v>100</v>
      </c>
      <c r="V41" s="664" t="s">
        <v>14</v>
      </c>
      <c r="W41" s="665">
        <f t="shared" si="12"/>
        <v>100</v>
      </c>
      <c r="X41" s="666"/>
      <c r="Y41" s="345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52" t="s">
        <v>1696</v>
      </c>
      <c r="Q42" s="1263" t="str">
        <f t="shared" si="14"/>
        <v>工程地质条件</v>
      </c>
      <c r="R42" s="667" t="s">
        <v>14</v>
      </c>
      <c r="S42" s="668">
        <f t="shared" si="10"/>
        <v>100</v>
      </c>
      <c r="T42" s="667" t="s">
        <v>14</v>
      </c>
      <c r="U42" s="668">
        <f t="shared" si="11"/>
        <v>100</v>
      </c>
      <c r="V42" s="667" t="s">
        <v>14</v>
      </c>
      <c r="W42" s="668">
        <f t="shared" si="12"/>
        <v>100</v>
      </c>
      <c r="X42" s="1265"/>
      <c r="Y42" s="345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52"/>
      <c r="Q43" s="1263">
        <f t="shared" si="14"/>
        <v>111</v>
      </c>
      <c r="R43" s="667" t="s">
        <v>14</v>
      </c>
      <c r="S43" s="668">
        <f t="shared" si="10"/>
        <v>100</v>
      </c>
      <c r="T43" s="667" t="s">
        <v>14</v>
      </c>
      <c r="U43" s="668">
        <f t="shared" si="11"/>
        <v>100</v>
      </c>
      <c r="V43" s="667" t="s">
        <v>14</v>
      </c>
      <c r="W43" s="668">
        <f t="shared" si="12"/>
        <v>100</v>
      </c>
      <c r="X43" s="1265"/>
      <c r="Y43" s="345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52"/>
      <c r="Q44" s="1263">
        <f t="shared" si="14"/>
        <v>111</v>
      </c>
      <c r="R44" s="667" t="s">
        <v>14</v>
      </c>
      <c r="S44" s="668">
        <f t="shared" si="10"/>
        <v>100</v>
      </c>
      <c r="T44" s="667" t="s">
        <v>14</v>
      </c>
      <c r="U44" s="668">
        <f t="shared" si="11"/>
        <v>100</v>
      </c>
      <c r="V44" s="667" t="s">
        <v>14</v>
      </c>
      <c r="W44" s="668">
        <f t="shared" si="12"/>
        <v>100</v>
      </c>
      <c r="X44" s="1265"/>
      <c r="Y44" s="345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52"/>
      <c r="Q45" s="1263">
        <f t="shared" si="14"/>
        <v>111</v>
      </c>
      <c r="R45" s="669" t="s">
        <v>14</v>
      </c>
      <c r="S45" s="670">
        <f t="shared" si="10"/>
        <v>100</v>
      </c>
      <c r="T45" s="669" t="s">
        <v>14</v>
      </c>
      <c r="U45" s="670">
        <f t="shared" si="11"/>
        <v>100</v>
      </c>
      <c r="V45" s="669" t="s">
        <v>14</v>
      </c>
      <c r="W45" s="670">
        <f t="shared" si="12"/>
        <v>100</v>
      </c>
      <c r="X45" s="671"/>
      <c r="Y45" s="345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445" t="str">
        <f>A46</f>
        <v>成交单价</v>
      </c>
      <c r="Q46" s="3445"/>
      <c r="R46" s="3446">
        <f>E46</f>
        <v>0</v>
      </c>
      <c r="S46" s="3446"/>
      <c r="T46" s="3446">
        <f>G46</f>
        <v>0</v>
      </c>
      <c r="U46" s="3446"/>
      <c r="V46" s="3446">
        <f>I46</f>
        <v>0</v>
      </c>
      <c r="W46" s="3446"/>
      <c r="X46" s="385"/>
      <c r="Y46" s="673"/>
      <c r="Z46" s="385"/>
      <c r="AA46" s="385"/>
      <c r="AB46" s="385"/>
      <c r="AC46" s="385"/>
    </row>
    <row r="47" spans="1:29" ht="14.5" thickBot="1">
      <c r="A47" s="423" t="s">
        <v>1793</v>
      </c>
      <c r="B47" s="603"/>
      <c r="C47" s="426" t="e">
        <f>R48</f>
        <v>#DIV/0!</v>
      </c>
      <c r="D47" s="2141" t="s">
        <v>2136</v>
      </c>
      <c r="E47" s="426" t="e">
        <f>R47</f>
        <v>#DIV/0!</v>
      </c>
      <c r="F47" s="2142"/>
      <c r="G47" s="425" t="e">
        <f>T47</f>
        <v>#DIV/0!</v>
      </c>
      <c r="H47" s="2142"/>
      <c r="I47" s="426" t="e">
        <f>V47</f>
        <v>#DIV/0!</v>
      </c>
      <c r="J47" s="2142"/>
      <c r="K47" s="2144">
        <f>F47+H47+J47</f>
        <v>0</v>
      </c>
      <c r="L47" s="2494"/>
      <c r="M47" s="2487"/>
      <c r="N47" s="2487"/>
      <c r="O47" s="2487"/>
      <c r="P47" s="3445" t="str">
        <f>A47</f>
        <v>比较价值（元/平方米）</v>
      </c>
      <c r="Q47" s="3445"/>
      <c r="R47" s="3550" t="e">
        <f>ROUND(PRODUCT(R46,AA7:AA45),0)</f>
        <v>#DIV/0!</v>
      </c>
      <c r="S47" s="3550"/>
      <c r="T47" s="3550" t="e">
        <f>ROUND(PRODUCT(T46,AB7:AB45),0)</f>
        <v>#DIV/0!</v>
      </c>
      <c r="U47" s="3550"/>
      <c r="V47" s="3550" t="e">
        <f>ROUND(PRODUCT(V46,AC7:AC45),0)</f>
        <v>#DIV/0!</v>
      </c>
      <c r="W47" s="3550"/>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442" t="str">
        <f>A48</f>
        <v>估价对象XX用房的比较价值（楼面单价，元/平方米）</v>
      </c>
      <c r="Q48" s="3443"/>
      <c r="R48" s="3551" t="e">
        <f>ROUND(IF(D47="简单平均",AVERAGE(R47:W47),R47*F47+T47*H47+V47*J47),0)</f>
        <v>#DIV/0!</v>
      </c>
      <c r="S48" s="3551"/>
      <c r="T48" s="3551"/>
      <c r="U48" s="3551"/>
      <c r="V48" s="3551"/>
      <c r="W48" s="355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60" t="s">
        <v>1887</v>
      </c>
      <c r="H55" s="355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525.41000000000008</v>
      </c>
      <c r="F56" s="833" t="e">
        <f t="shared" ref="F56:F64" si="15">ROUND(B56*E56/10000,0)</f>
        <v>#DIV/0!</v>
      </c>
      <c r="G56" s="3456"/>
      <c r="H56" s="344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525.41000000000008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2026-1-1</v>
      </c>
      <c r="D67" s="656">
        <f>EDATE(C67,-3)</f>
        <v>45931</v>
      </c>
      <c r="E67" s="656">
        <f>EDATE(D67,-3)</f>
        <v>45839</v>
      </c>
      <c r="F67" s="656">
        <f t="shared" ref="F67:O67" si="18">EDATE(E67,-3)</f>
        <v>45748</v>
      </c>
      <c r="G67" s="656">
        <f t="shared" si="18"/>
        <v>45658</v>
      </c>
      <c r="H67" s="656">
        <f t="shared" si="18"/>
        <v>45566</v>
      </c>
      <c r="I67" s="656">
        <f t="shared" si="18"/>
        <v>45474</v>
      </c>
      <c r="J67" s="656">
        <f t="shared" si="18"/>
        <v>45383</v>
      </c>
      <c r="K67" s="656">
        <f t="shared" si="18"/>
        <v>45292</v>
      </c>
      <c r="L67" s="656">
        <f t="shared" si="18"/>
        <v>45200</v>
      </c>
      <c r="M67" s="656">
        <f t="shared" si="18"/>
        <v>45108</v>
      </c>
      <c r="N67" s="656">
        <f t="shared" si="18"/>
        <v>45017</v>
      </c>
      <c r="O67" s="656">
        <f t="shared" si="18"/>
        <v>44927</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2026-1</v>
      </c>
      <c r="D69" s="1101" t="str">
        <f>YEAR(D67)&amp;"-"&amp;ROUNDUP(MONTH(D67)/3,0)</f>
        <v>2025-4</v>
      </c>
      <c r="E69" s="1101" t="str">
        <f t="shared" ref="E69:O69" si="19">YEAR(E67)&amp;"-"&amp;ROUNDUP(MONTH(E67)/3,0)</f>
        <v>2025-3</v>
      </c>
      <c r="F69" s="1101" t="str">
        <f t="shared" si="19"/>
        <v>2025-2</v>
      </c>
      <c r="G69" s="1101" t="str">
        <f t="shared" si="19"/>
        <v>2025-1</v>
      </c>
      <c r="H69" s="1101" t="str">
        <f t="shared" si="19"/>
        <v>2024-4</v>
      </c>
      <c r="I69" s="1101" t="str">
        <f t="shared" si="19"/>
        <v>2024-3</v>
      </c>
      <c r="J69" s="1101" t="str">
        <f t="shared" si="19"/>
        <v>2024-2</v>
      </c>
      <c r="K69" s="1101" t="str">
        <f t="shared" si="19"/>
        <v>2024-1</v>
      </c>
      <c r="L69" s="1101" t="str">
        <f t="shared" si="19"/>
        <v>2023-4</v>
      </c>
      <c r="M69" s="1101" t="str">
        <f t="shared" si="19"/>
        <v>2023-3</v>
      </c>
      <c r="N69" s="1101" t="str">
        <f t="shared" si="19"/>
        <v>2023-2</v>
      </c>
      <c r="O69" s="1101" t="str">
        <f t="shared" si="19"/>
        <v>2023-1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估价结果一览表（市场价值不需“结果表-1”）</v>
      </c>
      <c r="B3" s="3237"/>
      <c r="C3" s="3237"/>
      <c r="D3" s="3237"/>
      <c r="E3" s="3237"/>
    </row>
    <row r="4" spans="1:5" ht="18.5" thickBot="1">
      <c r="A4" s="1391"/>
      <c r="B4" s="3235" t="s">
        <v>917</v>
      </c>
      <c r="C4" s="3235"/>
      <c r="D4" s="3235"/>
      <c r="E4" s="1391"/>
    </row>
    <row r="5" spans="1:5" ht="16" thickTop="1">
      <c r="B5" s="3233" t="s">
        <v>909</v>
      </c>
      <c r="C5" s="1392" t="s">
        <v>910</v>
      </c>
      <c r="D5" s="797" t="e">
        <f ca="1">结果表!H101</f>
        <v>#REF!</v>
      </c>
    </row>
    <row r="6" spans="1:5" ht="15.5">
      <c r="B6" s="3233"/>
      <c r="C6" s="1392" t="s">
        <v>911</v>
      </c>
      <c r="D6" s="797" t="e">
        <f ca="1">NUMBERSTRING(INT(D5*10000),2)&amp;"元整"</f>
        <v>#REF!</v>
      </c>
    </row>
    <row r="7" spans="1:5" ht="15.5">
      <c r="B7" s="3238"/>
      <c r="C7" s="1393" t="s">
        <v>912</v>
      </c>
      <c r="D7" s="798" t="e">
        <f ca="1">结果表!H102</f>
        <v>#REF!</v>
      </c>
    </row>
    <row r="8" spans="1:5" ht="15.5">
      <c r="B8" s="3239" t="str">
        <f>结果表!E103</f>
        <v>2.估价师知悉的法定优先受偿款</v>
      </c>
      <c r="C8" s="1394" t="s">
        <v>913</v>
      </c>
      <c r="D8" s="798">
        <f>结果表!H103</f>
        <v>0</v>
      </c>
    </row>
    <row r="9" spans="1:5" ht="15.5">
      <c r="B9" s="3241"/>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232" t="str">
        <f>结果表!E107</f>
        <v>3.房地产抵押价值</v>
      </c>
      <c r="C13" s="1397" t="s">
        <v>910</v>
      </c>
      <c r="D13" s="800" t="e">
        <f ca="1">结果表!H107</f>
        <v>#REF!</v>
      </c>
    </row>
    <row r="14" spans="1:5" ht="15.5">
      <c r="B14" s="3233"/>
      <c r="C14" s="1392" t="s">
        <v>911</v>
      </c>
      <c r="D14" s="797" t="e">
        <f ca="1">NUMBERSTRING(INT(D13*10000),2)&amp;"元整"</f>
        <v>#REF!</v>
      </c>
    </row>
    <row r="15" spans="1:5" ht="15.5">
      <c r="B15" s="3238"/>
      <c r="C15" s="1393" t="s">
        <v>921</v>
      </c>
      <c r="D15" s="806" t="e">
        <f ca="1">结果表!H108</f>
        <v>#REF!</v>
      </c>
    </row>
    <row r="16" spans="1:5" ht="15">
      <c r="B16" s="3239" t="str">
        <f>结果表!E109</f>
        <v>——</v>
      </c>
      <c r="C16" s="1397" t="s">
        <v>922</v>
      </c>
      <c r="D16" s="1398" t="str">
        <f>结果表!H109</f>
        <v>——</v>
      </c>
    </row>
    <row r="17" spans="1:5" ht="15.5">
      <c r="B17" s="3240"/>
      <c r="C17" s="1392" t="s">
        <v>923</v>
      </c>
      <c r="D17" s="797" t="e">
        <f>NUMBERSTRING(INT(D16*10000),2)&amp;"元整"</f>
        <v>#VALUE!</v>
      </c>
    </row>
    <row r="18" spans="1:5" ht="15.5">
      <c r="B18" s="3241"/>
      <c r="C18" s="1393" t="s">
        <v>912</v>
      </c>
      <c r="D18" s="806" t="str">
        <f>结果表!H110</f>
        <v>——</v>
      </c>
    </row>
    <row r="19" spans="1:5" ht="15.5">
      <c r="B19" s="3232" t="str">
        <f>结果表!E111</f>
        <v>——</v>
      </c>
      <c r="C19" s="1397" t="s">
        <v>910</v>
      </c>
      <c r="D19" s="798" t="str">
        <f>结果表!H111</f>
        <v>——</v>
      </c>
    </row>
    <row r="20" spans="1:5" ht="15.5">
      <c r="B20" s="3233"/>
      <c r="C20" s="1392" t="s">
        <v>923</v>
      </c>
      <c r="D20" s="797" t="e">
        <f>NUMBERSTRING(INT(D19*10000),2)&amp;"元整"</f>
        <v>#VALUE!</v>
      </c>
    </row>
    <row r="21" spans="1:5" ht="16" thickBot="1">
      <c r="B21" s="3234"/>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60" t="s">
        <v>1770</v>
      </c>
      <c r="D4" s="3461"/>
      <c r="E4" s="3462" t="s">
        <v>1771</v>
      </c>
      <c r="F4" s="3463"/>
      <c r="G4" s="3460" t="s">
        <v>1772</v>
      </c>
      <c r="H4" s="3461"/>
      <c r="I4" s="3460" t="s">
        <v>1773</v>
      </c>
      <c r="J4" s="3461"/>
      <c r="K4" s="537" t="s">
        <v>1774</v>
      </c>
      <c r="L4" s="2486"/>
      <c r="M4" s="2487"/>
      <c r="N4" s="2487"/>
      <c r="O4" s="2487"/>
      <c r="P4" s="3464" t="s">
        <v>1775</v>
      </c>
      <c r="Q4" s="3465"/>
      <c r="R4" s="3470" t="s">
        <v>1771</v>
      </c>
      <c r="S4" s="3471"/>
      <c r="T4" s="3470" t="s">
        <v>1772</v>
      </c>
      <c r="U4" s="3471"/>
      <c r="V4" s="3446" t="s">
        <v>1773</v>
      </c>
      <c r="W4" s="3446"/>
      <c r="X4" s="1265"/>
      <c r="Y4" s="3470" t="s">
        <v>1775</v>
      </c>
      <c r="Z4" s="3471"/>
      <c r="AA4" s="3457" t="s">
        <v>1771</v>
      </c>
      <c r="AB4" s="3458" t="s">
        <v>1772</v>
      </c>
      <c r="AC4" s="3457" t="s">
        <v>1773</v>
      </c>
    </row>
    <row r="5" spans="1:29">
      <c r="A5" s="348"/>
      <c r="B5" s="349"/>
      <c r="C5" s="3478" t="s">
        <v>1673</v>
      </c>
      <c r="D5" s="3479"/>
      <c r="E5" s="3485" t="s">
        <v>1674</v>
      </c>
      <c r="F5" s="3486"/>
      <c r="G5" s="3478" t="s">
        <v>1675</v>
      </c>
      <c r="H5" s="3479"/>
      <c r="I5" s="3478" t="s">
        <v>1676</v>
      </c>
      <c r="J5" s="3479"/>
      <c r="K5" s="537"/>
      <c r="L5" s="2486"/>
      <c r="M5" s="2487"/>
      <c r="N5" s="2487"/>
      <c r="O5" s="2487"/>
      <c r="P5" s="3466"/>
      <c r="Q5" s="3467"/>
      <c r="R5" s="3472"/>
      <c r="S5" s="3473"/>
      <c r="T5" s="3472"/>
      <c r="U5" s="3473"/>
      <c r="V5" s="3446"/>
      <c r="W5" s="3446"/>
      <c r="X5" s="1265"/>
      <c r="Y5" s="3472"/>
      <c r="Z5" s="3473"/>
      <c r="AA5" s="3458"/>
      <c r="AB5" s="3458"/>
      <c r="AC5" s="3458"/>
    </row>
    <row r="6" spans="1:29" ht="15" thickBot="1">
      <c r="A6" s="350"/>
      <c r="B6" s="351"/>
      <c r="C6" s="3553" t="s">
        <v>1919</v>
      </c>
      <c r="D6" s="3554"/>
      <c r="E6" s="3555" t="s">
        <v>1919</v>
      </c>
      <c r="F6" s="3556"/>
      <c r="G6" s="3553" t="s">
        <v>1919</v>
      </c>
      <c r="H6" s="3554"/>
      <c r="I6" s="3553" t="s">
        <v>1919</v>
      </c>
      <c r="J6" s="3554"/>
      <c r="K6" s="537" t="s">
        <v>1678</v>
      </c>
      <c r="L6" s="2486"/>
      <c r="M6" s="2487"/>
      <c r="N6" s="2487"/>
      <c r="O6" s="2487"/>
      <c r="P6" s="3468"/>
      <c r="Q6" s="3469"/>
      <c r="R6" s="3472"/>
      <c r="S6" s="3473"/>
      <c r="T6" s="3474"/>
      <c r="U6" s="3475"/>
      <c r="V6" s="3446"/>
      <c r="W6" s="3446"/>
      <c r="X6" s="1265"/>
      <c r="Y6" s="3474"/>
      <c r="Z6" s="3475"/>
      <c r="AA6" s="3459"/>
      <c r="AB6" s="3459"/>
      <c r="AC6" s="3459"/>
    </row>
    <row r="7" spans="1:29" s="102" customFormat="1" ht="14.5" thickBot="1">
      <c r="A7" s="352" t="s">
        <v>1679</v>
      </c>
      <c r="B7" s="353"/>
      <c r="C7" s="354">
        <f>'数据-取费表'!B2</f>
        <v>46026</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80" t="s">
        <v>1680</v>
      </c>
      <c r="Q7" s="3482"/>
      <c r="R7" s="664" t="s">
        <v>14</v>
      </c>
      <c r="S7" s="665">
        <f t="shared" ref="S7:S15" si="0">F7</f>
        <v>0</v>
      </c>
      <c r="T7" s="664" t="s">
        <v>14</v>
      </c>
      <c r="U7" s="665">
        <f t="shared" ref="U7:U15" si="1">H7</f>
        <v>0</v>
      </c>
      <c r="V7" s="664" t="s">
        <v>14</v>
      </c>
      <c r="W7" s="665">
        <f t="shared" ref="W7:W15" si="2">J7</f>
        <v>0</v>
      </c>
      <c r="X7" s="666"/>
      <c r="Y7" s="3480" t="s">
        <v>1680</v>
      </c>
      <c r="Z7" s="3481"/>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80" t="s">
        <v>1683</v>
      </c>
      <c r="Q8" s="3481"/>
      <c r="R8" s="664" t="s">
        <v>14</v>
      </c>
      <c r="S8" s="665">
        <f t="shared" si="0"/>
        <v>0</v>
      </c>
      <c r="T8" s="664" t="s">
        <v>14</v>
      </c>
      <c r="U8" s="665">
        <f t="shared" si="1"/>
        <v>0</v>
      </c>
      <c r="V8" s="664" t="s">
        <v>14</v>
      </c>
      <c r="W8" s="665">
        <f t="shared" si="2"/>
        <v>0</v>
      </c>
      <c r="X8" s="666"/>
      <c r="Y8" s="3480" t="s">
        <v>1683</v>
      </c>
      <c r="Z8" s="348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4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147</v>
      </c>
      <c r="G10" s="371"/>
      <c r="H10" s="119">
        <f>ROUND(100/'数据-取费表'!G16,0)</f>
        <v>147</v>
      </c>
      <c r="I10" s="371"/>
      <c r="J10" s="119">
        <f>ROUND(100/'数据-取费表'!G16,0)</f>
        <v>147</v>
      </c>
      <c r="K10" s="592"/>
      <c r="L10" s="2489"/>
      <c r="M10" s="2490"/>
      <c r="N10" s="2490"/>
      <c r="O10" s="2541"/>
      <c r="P10" s="3445"/>
      <c r="Q10" s="530" t="str">
        <f t="shared" si="6"/>
        <v>土地使用年限（年）</v>
      </c>
      <c r="R10" s="664" t="s">
        <v>14</v>
      </c>
      <c r="S10" s="665">
        <f t="shared" si="0"/>
        <v>147</v>
      </c>
      <c r="T10" s="664" t="s">
        <v>14</v>
      </c>
      <c r="U10" s="665">
        <f t="shared" si="1"/>
        <v>147</v>
      </c>
      <c r="V10" s="664" t="s">
        <v>14</v>
      </c>
      <c r="W10" s="665">
        <f t="shared" si="2"/>
        <v>147</v>
      </c>
      <c r="X10" s="666"/>
      <c r="Y10" s="3320"/>
      <c r="Z10" s="50" t="str">
        <f t="shared" si="7"/>
        <v>土地使用年限（年）</v>
      </c>
      <c r="AA10" s="50">
        <f t="shared" si="3"/>
        <v>0.68027210884353739</v>
      </c>
      <c r="AB10" s="50">
        <f t="shared" si="4"/>
        <v>0.68027210884353739</v>
      </c>
      <c r="AC10" s="50">
        <f t="shared" si="5"/>
        <v>0.68027210884353739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45"/>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45"/>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45"/>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45"/>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47" t="s">
        <v>1691</v>
      </c>
      <c r="Q15" s="1263" t="str">
        <f t="shared" si="6"/>
        <v>产业集聚程度</v>
      </c>
      <c r="R15" s="667" t="s">
        <v>14</v>
      </c>
      <c r="S15" s="668">
        <f t="shared" si="0"/>
        <v>100</v>
      </c>
      <c r="T15" s="667" t="s">
        <v>14</v>
      </c>
      <c r="U15" s="668">
        <f t="shared" si="1"/>
        <v>100</v>
      </c>
      <c r="V15" s="667" t="s">
        <v>14</v>
      </c>
      <c r="W15" s="668">
        <f t="shared" si="2"/>
        <v>100</v>
      </c>
      <c r="X15" s="1265"/>
      <c r="Y15" s="344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48"/>
      <c r="Q16" s="1263"/>
      <c r="R16" s="667"/>
      <c r="S16" s="668"/>
      <c r="T16" s="667"/>
      <c r="U16" s="668"/>
      <c r="V16" s="667"/>
      <c r="W16" s="668"/>
      <c r="X16" s="1265"/>
      <c r="Y16" s="344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48"/>
      <c r="Q17" s="1263" t="str">
        <f>B17</f>
        <v>交通便捷度</v>
      </c>
      <c r="R17" s="667" t="s">
        <v>14</v>
      </c>
      <c r="S17" s="668">
        <f>F17</f>
        <v>100</v>
      </c>
      <c r="T17" s="667" t="s">
        <v>14</v>
      </c>
      <c r="U17" s="668">
        <f>H17</f>
        <v>100</v>
      </c>
      <c r="V17" s="667" t="s">
        <v>14</v>
      </c>
      <c r="W17" s="668">
        <f>J17</f>
        <v>100</v>
      </c>
      <c r="X17" s="1265"/>
      <c r="Y17" s="344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48"/>
      <c r="Q18" s="1263"/>
      <c r="R18" s="667"/>
      <c r="S18" s="668"/>
      <c r="T18" s="667"/>
      <c r="U18" s="668"/>
      <c r="V18" s="667"/>
      <c r="W18" s="668"/>
      <c r="X18" s="1265"/>
      <c r="Y18" s="344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48"/>
      <c r="Q19" s="1263" t="str">
        <f t="shared" ref="Q19:Q33" si="8">B19</f>
        <v>区域土地利用方向</v>
      </c>
      <c r="R19" s="667" t="s">
        <v>14</v>
      </c>
      <c r="S19" s="668">
        <f>F19</f>
        <v>100</v>
      </c>
      <c r="T19" s="667" t="s">
        <v>14</v>
      </c>
      <c r="U19" s="668">
        <f>H19</f>
        <v>100</v>
      </c>
      <c r="V19" s="667" t="s">
        <v>14</v>
      </c>
      <c r="W19" s="668">
        <f>J19</f>
        <v>100</v>
      </c>
      <c r="X19" s="1265"/>
      <c r="Y19" s="344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48"/>
      <c r="Q20" s="1263"/>
      <c r="R20" s="667"/>
      <c r="S20" s="668"/>
      <c r="T20" s="667"/>
      <c r="U20" s="668"/>
      <c r="V20" s="667"/>
      <c r="W20" s="668"/>
      <c r="X20" s="1265"/>
      <c r="Y20" s="344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48"/>
      <c r="Q21" s="1263" t="str">
        <f t="shared" si="8"/>
        <v>环境状况</v>
      </c>
      <c r="R21" s="667" t="s">
        <v>14</v>
      </c>
      <c r="S21" s="668">
        <f>F21</f>
        <v>100</v>
      </c>
      <c r="T21" s="667" t="s">
        <v>14</v>
      </c>
      <c r="U21" s="668">
        <f>H21</f>
        <v>100</v>
      </c>
      <c r="V21" s="667" t="s">
        <v>14</v>
      </c>
      <c r="W21" s="668">
        <f>J21</f>
        <v>100</v>
      </c>
      <c r="X21" s="1265"/>
      <c r="Y21" s="344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48"/>
      <c r="Q22" s="1263"/>
      <c r="R22" s="667"/>
      <c r="S22" s="668"/>
      <c r="T22" s="667"/>
      <c r="U22" s="668"/>
      <c r="V22" s="667"/>
      <c r="W22" s="668"/>
      <c r="X22" s="1265"/>
      <c r="Y22" s="344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48"/>
      <c r="Q23" s="530" t="str">
        <f t="shared" si="8"/>
        <v>公共配套设施</v>
      </c>
      <c r="R23" s="664" t="s">
        <v>14</v>
      </c>
      <c r="S23" s="665">
        <f>F23</f>
        <v>100</v>
      </c>
      <c r="T23" s="664" t="s">
        <v>14</v>
      </c>
      <c r="U23" s="665">
        <f>H23</f>
        <v>100</v>
      </c>
      <c r="V23" s="664" t="s">
        <v>14</v>
      </c>
      <c r="W23" s="665">
        <f>J23</f>
        <v>100</v>
      </c>
      <c r="X23" s="666"/>
      <c r="Y23" s="344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48"/>
      <c r="Q24" s="530"/>
      <c r="R24" s="664"/>
      <c r="S24" s="665"/>
      <c r="T24" s="664"/>
      <c r="U24" s="665"/>
      <c r="V24" s="664"/>
      <c r="W24" s="665"/>
      <c r="X24" s="666"/>
      <c r="Y24" s="344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48"/>
      <c r="Q25" s="530" t="str">
        <f t="shared" ref="Q25" si="9">B25</f>
        <v>基础设施水平</v>
      </c>
      <c r="R25" s="664" t="s">
        <v>14</v>
      </c>
      <c r="S25" s="665">
        <f>F25</f>
        <v>100</v>
      </c>
      <c r="T25" s="664" t="s">
        <v>14</v>
      </c>
      <c r="U25" s="665">
        <f>H25</f>
        <v>100</v>
      </c>
      <c r="V25" s="664" t="s">
        <v>14</v>
      </c>
      <c r="W25" s="665">
        <f>J25</f>
        <v>100</v>
      </c>
      <c r="X25" s="666"/>
      <c r="Y25" s="344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48"/>
      <c r="Q26" s="530"/>
      <c r="R26" s="664"/>
      <c r="S26" s="665"/>
      <c r="T26" s="664"/>
      <c r="U26" s="665"/>
      <c r="V26" s="664"/>
      <c r="W26" s="665"/>
      <c r="X26" s="666"/>
      <c r="Y26" s="344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4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48"/>
      <c r="Q28" s="1263" t="str">
        <f t="shared" si="8"/>
        <v>毗邻道路的类型与等级</v>
      </c>
      <c r="R28" s="667" t="s">
        <v>14</v>
      </c>
      <c r="S28" s="668">
        <f t="shared" si="10"/>
        <v>100</v>
      </c>
      <c r="T28" s="667" t="s">
        <v>14</v>
      </c>
      <c r="U28" s="668">
        <f t="shared" si="11"/>
        <v>100</v>
      </c>
      <c r="V28" s="667" t="s">
        <v>14</v>
      </c>
      <c r="W28" s="668">
        <f t="shared" si="12"/>
        <v>100</v>
      </c>
      <c r="X28" s="1265"/>
      <c r="Y28" s="344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48"/>
      <c r="Q29" s="1263"/>
      <c r="R29" s="667"/>
      <c r="S29" s="668"/>
      <c r="T29" s="667"/>
      <c r="U29" s="668"/>
      <c r="V29" s="667"/>
      <c r="W29" s="668"/>
      <c r="X29" s="1265"/>
      <c r="Y29" s="344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48"/>
      <c r="Q30" s="1263" t="str">
        <f t="shared" si="8"/>
        <v>土地级别</v>
      </c>
      <c r="R30" s="667" t="s">
        <v>14</v>
      </c>
      <c r="S30" s="668">
        <f t="shared" si="10"/>
        <v>100</v>
      </c>
      <c r="T30" s="667" t="s">
        <v>14</v>
      </c>
      <c r="U30" s="668">
        <f t="shared" si="11"/>
        <v>100</v>
      </c>
      <c r="V30" s="667" t="s">
        <v>14</v>
      </c>
      <c r="W30" s="668">
        <f t="shared" si="12"/>
        <v>100</v>
      </c>
      <c r="X30" s="1265"/>
      <c r="Y30" s="344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48"/>
      <c r="Q31" s="1263">
        <f t="shared" si="8"/>
        <v>111</v>
      </c>
      <c r="R31" s="667" t="s">
        <v>14</v>
      </c>
      <c r="S31" s="668">
        <f t="shared" si="10"/>
        <v>100</v>
      </c>
      <c r="T31" s="667" t="s">
        <v>14</v>
      </c>
      <c r="U31" s="668">
        <f t="shared" si="11"/>
        <v>100</v>
      </c>
      <c r="V31" s="667" t="s">
        <v>14</v>
      </c>
      <c r="W31" s="668">
        <f t="shared" si="12"/>
        <v>100</v>
      </c>
      <c r="X31" s="1265"/>
      <c r="Y31" s="344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48" t="s">
        <v>1696</v>
      </c>
      <c r="Q32" s="1263">
        <f t="shared" si="8"/>
        <v>111</v>
      </c>
      <c r="R32" s="667" t="s">
        <v>14</v>
      </c>
      <c r="S32" s="668">
        <f t="shared" si="10"/>
        <v>100</v>
      </c>
      <c r="T32" s="667" t="s">
        <v>14</v>
      </c>
      <c r="U32" s="668">
        <f t="shared" si="11"/>
        <v>100</v>
      </c>
      <c r="V32" s="667" t="s">
        <v>14</v>
      </c>
      <c r="W32" s="668">
        <f t="shared" si="12"/>
        <v>100</v>
      </c>
      <c r="X32" s="1265"/>
      <c r="Y32" s="345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52"/>
      <c r="Q33" s="1263">
        <f t="shared" si="8"/>
        <v>111</v>
      </c>
      <c r="R33" s="669" t="s">
        <v>14</v>
      </c>
      <c r="S33" s="670">
        <f t="shared" si="10"/>
        <v>100</v>
      </c>
      <c r="T33" s="669" t="s">
        <v>14</v>
      </c>
      <c r="U33" s="670">
        <f t="shared" si="11"/>
        <v>100</v>
      </c>
      <c r="V33" s="669" t="s">
        <v>14</v>
      </c>
      <c r="W33" s="670">
        <f t="shared" si="12"/>
        <v>100</v>
      </c>
      <c r="X33" s="671"/>
      <c r="Y33" s="345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52"/>
      <c r="Q34" s="1263" t="str">
        <f>B34</f>
        <v>宗地面积</v>
      </c>
      <c r="R34" s="667" t="s">
        <v>14</v>
      </c>
      <c r="S34" s="668" t="e">
        <f t="shared" si="10"/>
        <v>#N/A</v>
      </c>
      <c r="T34" s="667" t="s">
        <v>14</v>
      </c>
      <c r="U34" s="668" t="e">
        <f t="shared" si="11"/>
        <v>#N/A</v>
      </c>
      <c r="V34" s="667" t="s">
        <v>14</v>
      </c>
      <c r="W34" s="668" t="e">
        <f t="shared" si="12"/>
        <v>#N/A</v>
      </c>
      <c r="X34" s="1265"/>
      <c r="Y34" s="345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52"/>
      <c r="Q35" s="1263" t="str">
        <f t="shared" ref="Q35:Q40" si="14">B35</f>
        <v>宗地形状</v>
      </c>
      <c r="R35" s="667" t="s">
        <v>14</v>
      </c>
      <c r="S35" s="668">
        <f t="shared" si="10"/>
        <v>100</v>
      </c>
      <c r="T35" s="667" t="s">
        <v>14</v>
      </c>
      <c r="U35" s="668">
        <f t="shared" si="11"/>
        <v>100</v>
      </c>
      <c r="V35" s="667" t="s">
        <v>14</v>
      </c>
      <c r="W35" s="668">
        <f t="shared" si="12"/>
        <v>100</v>
      </c>
      <c r="X35" s="1265"/>
      <c r="Y35" s="345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52"/>
      <c r="Q36" s="1263" t="str">
        <f t="shared" si="14"/>
        <v>宗地开发程度</v>
      </c>
      <c r="R36" s="664" t="s">
        <v>14</v>
      </c>
      <c r="S36" s="665">
        <f t="shared" si="10"/>
        <v>100</v>
      </c>
      <c r="T36" s="664" t="s">
        <v>14</v>
      </c>
      <c r="U36" s="665">
        <f t="shared" si="11"/>
        <v>100</v>
      </c>
      <c r="V36" s="664" t="s">
        <v>14</v>
      </c>
      <c r="W36" s="665">
        <f t="shared" si="12"/>
        <v>100</v>
      </c>
      <c r="X36" s="666"/>
      <c r="Y36" s="345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52" t="s">
        <v>1696</v>
      </c>
      <c r="Q37" s="1263" t="str">
        <f t="shared" si="14"/>
        <v>工程地质条件</v>
      </c>
      <c r="R37" s="667" t="s">
        <v>14</v>
      </c>
      <c r="S37" s="668">
        <f t="shared" si="10"/>
        <v>100</v>
      </c>
      <c r="T37" s="667" t="s">
        <v>14</v>
      </c>
      <c r="U37" s="668">
        <f t="shared" si="11"/>
        <v>100</v>
      </c>
      <c r="V37" s="667" t="s">
        <v>14</v>
      </c>
      <c r="W37" s="668">
        <f t="shared" si="12"/>
        <v>100</v>
      </c>
      <c r="X37" s="1265"/>
      <c r="Y37" s="345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52"/>
      <c r="Q38" s="1263">
        <f t="shared" si="14"/>
        <v>111</v>
      </c>
      <c r="R38" s="667" t="s">
        <v>14</v>
      </c>
      <c r="S38" s="668">
        <f t="shared" si="10"/>
        <v>100</v>
      </c>
      <c r="T38" s="667" t="s">
        <v>14</v>
      </c>
      <c r="U38" s="668">
        <f t="shared" si="11"/>
        <v>100</v>
      </c>
      <c r="V38" s="667" t="s">
        <v>14</v>
      </c>
      <c r="W38" s="668">
        <f t="shared" si="12"/>
        <v>100</v>
      </c>
      <c r="X38" s="1265"/>
      <c r="Y38" s="345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52"/>
      <c r="Q39" s="1263">
        <f t="shared" si="14"/>
        <v>111</v>
      </c>
      <c r="R39" s="667" t="s">
        <v>14</v>
      </c>
      <c r="S39" s="668">
        <f t="shared" si="10"/>
        <v>100</v>
      </c>
      <c r="T39" s="667" t="s">
        <v>14</v>
      </c>
      <c r="U39" s="668">
        <f t="shared" si="11"/>
        <v>100</v>
      </c>
      <c r="V39" s="667" t="s">
        <v>14</v>
      </c>
      <c r="W39" s="668">
        <f t="shared" si="12"/>
        <v>100</v>
      </c>
      <c r="X39" s="1265"/>
      <c r="Y39" s="345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52"/>
      <c r="Q40" s="1263">
        <f t="shared" si="14"/>
        <v>111</v>
      </c>
      <c r="R40" s="669" t="s">
        <v>14</v>
      </c>
      <c r="S40" s="670">
        <f t="shared" si="10"/>
        <v>100</v>
      </c>
      <c r="T40" s="669" t="s">
        <v>14</v>
      </c>
      <c r="U40" s="670">
        <f t="shared" si="11"/>
        <v>100</v>
      </c>
      <c r="V40" s="669" t="s">
        <v>14</v>
      </c>
      <c r="W40" s="670">
        <f t="shared" si="12"/>
        <v>100</v>
      </c>
      <c r="X40" s="671"/>
      <c r="Y40" s="345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445" t="str">
        <f>A41</f>
        <v>成交单价</v>
      </c>
      <c r="Q41" s="3445"/>
      <c r="R41" s="3446">
        <f>E41</f>
        <v>0</v>
      </c>
      <c r="S41" s="3446"/>
      <c r="T41" s="3446">
        <f>G41</f>
        <v>0</v>
      </c>
      <c r="U41" s="3446"/>
      <c r="V41" s="3446">
        <f>I41</f>
        <v>0</v>
      </c>
      <c r="W41" s="3446"/>
      <c r="X41" s="385"/>
      <c r="Y41" s="673"/>
      <c r="Z41" s="385"/>
      <c r="AA41" s="385"/>
      <c r="AB41" s="385"/>
      <c r="AC41" s="385"/>
    </row>
    <row r="42" spans="1:31" ht="14.5" thickBot="1">
      <c r="A42" s="423" t="s">
        <v>1793</v>
      </c>
      <c r="B42" s="603"/>
      <c r="C42" s="426" t="e">
        <f>R43</f>
        <v>#DIV/0!</v>
      </c>
      <c r="D42" s="2141" t="s">
        <v>2136</v>
      </c>
      <c r="E42" s="426" t="e">
        <f>R42</f>
        <v>#DIV/0!</v>
      </c>
      <c r="F42" s="2142"/>
      <c r="G42" s="425" t="e">
        <f>T42</f>
        <v>#DIV/0!</v>
      </c>
      <c r="H42" s="2142"/>
      <c r="I42" s="426" t="e">
        <f>V42</f>
        <v>#DIV/0!</v>
      </c>
      <c r="J42" s="2142"/>
      <c r="K42" s="2144">
        <f>F42+H42+J42</f>
        <v>0</v>
      </c>
      <c r="L42" s="2494"/>
      <c r="M42" s="2487"/>
      <c r="N42" s="2487"/>
      <c r="O42" s="2487"/>
      <c r="P42" s="3445" t="str">
        <f>A42</f>
        <v>比较价值（元/平方米）</v>
      </c>
      <c r="Q42" s="3445"/>
      <c r="R42" s="3550" t="e">
        <f>ROUND(PRODUCT(R41,AA7:AA40),0)</f>
        <v>#DIV/0!</v>
      </c>
      <c r="S42" s="3550"/>
      <c r="T42" s="3550" t="e">
        <f>ROUND(PRODUCT(T41,AB7:AB40),0)</f>
        <v>#DIV/0!</v>
      </c>
      <c r="U42" s="3550"/>
      <c r="V42" s="3550" t="e">
        <f>ROUND(PRODUCT(V41,AC7:AC40),0)</f>
        <v>#DIV/0!</v>
      </c>
      <c r="W42" s="3550"/>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442" t="str">
        <f>A43</f>
        <v>估价对象XX用房的比较价值（楼面单价，元/平方米）</v>
      </c>
      <c r="Q43" s="3443"/>
      <c r="R43" s="3551" t="e">
        <f>ROUND(IF(D42="简单平均",AVERAGE(R42:W42),R42*F42+T42*H42+V42*J42),0)</f>
        <v>#DIV/0!</v>
      </c>
      <c r="S43" s="3551"/>
      <c r="T43" s="3551"/>
      <c r="U43" s="3551"/>
      <c r="V43" s="3551"/>
      <c r="W43" s="355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60" t="s">
        <v>1887</v>
      </c>
      <c r="H50" s="355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525.41000000000008</v>
      </c>
      <c r="F51" s="611" t="e">
        <f t="shared" ref="F51:F60" si="15">ROUND(B51*E51/10000,0)</f>
        <v>#DIV/0!</v>
      </c>
      <c r="G51" s="3456"/>
      <c r="H51" s="344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2026-1-1</v>
      </c>
      <c r="D63" s="656">
        <f>EDATE(C63,-3)</f>
        <v>45931</v>
      </c>
      <c r="E63" s="656">
        <f>EDATE(D63,-3)</f>
        <v>45839</v>
      </c>
      <c r="F63" s="656">
        <f t="shared" ref="F63:O63" si="18">EDATE(E63,-3)</f>
        <v>45748</v>
      </c>
      <c r="G63" s="656">
        <f t="shared" si="18"/>
        <v>45658</v>
      </c>
      <c r="H63" s="656">
        <f t="shared" si="18"/>
        <v>45566</v>
      </c>
      <c r="I63" s="656">
        <f t="shared" si="18"/>
        <v>45474</v>
      </c>
      <c r="J63" s="656">
        <f t="shared" si="18"/>
        <v>45383</v>
      </c>
      <c r="K63" s="656">
        <f t="shared" si="18"/>
        <v>45292</v>
      </c>
      <c r="L63" s="656">
        <f t="shared" si="18"/>
        <v>45200</v>
      </c>
      <c r="M63" s="656">
        <f t="shared" si="18"/>
        <v>45108</v>
      </c>
      <c r="N63" s="656">
        <f t="shared" si="18"/>
        <v>45017</v>
      </c>
      <c r="O63" s="656">
        <f t="shared" si="18"/>
        <v>44927</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2026-1</v>
      </c>
      <c r="D65" s="1101" t="str">
        <f t="shared" ref="D65:O65" si="19">YEAR(D63)&amp;"-"&amp;ROUNDUP(MONTH(D63)/3,0)</f>
        <v>2025-4</v>
      </c>
      <c r="E65" s="1101" t="str">
        <f t="shared" si="19"/>
        <v>2025-3</v>
      </c>
      <c r="F65" s="1101" t="str">
        <f t="shared" si="19"/>
        <v>2025-2</v>
      </c>
      <c r="G65" s="1101" t="str">
        <f t="shared" si="19"/>
        <v>2025-1</v>
      </c>
      <c r="H65" s="1101" t="str">
        <f t="shared" si="19"/>
        <v>2024-4</v>
      </c>
      <c r="I65" s="1101" t="str">
        <f t="shared" si="19"/>
        <v>2024-3</v>
      </c>
      <c r="J65" s="1101" t="str">
        <f t="shared" si="19"/>
        <v>2024-2</v>
      </c>
      <c r="K65" s="1101" t="str">
        <f t="shared" si="19"/>
        <v>2024-1</v>
      </c>
      <c r="L65" s="1101" t="str">
        <f t="shared" si="19"/>
        <v>2023-4</v>
      </c>
      <c r="M65" s="1101" t="str">
        <f t="shared" si="19"/>
        <v>2023-3</v>
      </c>
      <c r="N65" s="1101" t="str">
        <f t="shared" si="19"/>
        <v>2023-2</v>
      </c>
      <c r="O65" s="1101" t="str">
        <f t="shared" si="19"/>
        <v>2023-1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570"/>
      <c r="B4" s="3571"/>
      <c r="C4" s="3571"/>
      <c r="D4" s="3572"/>
      <c r="E4" s="3572"/>
      <c r="F4" s="3572"/>
      <c r="G4" s="3572"/>
      <c r="H4" s="3572"/>
      <c r="I4" s="3572"/>
      <c r="J4" s="357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567" t="s">
        <v>1960</v>
      </c>
      <c r="X8" s="356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569"/>
      <c r="X9" s="3064" t="s">
        <v>3264</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56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3236</v>
      </c>
      <c r="B12" s="3013" t="s">
        <v>3237</v>
      </c>
      <c r="C12" s="3014"/>
      <c r="D12" s="3015" t="s">
        <v>3238</v>
      </c>
      <c r="E12" s="3016" t="s">
        <v>3239</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3240</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3241</v>
      </c>
      <c r="G14" s="3020" t="s">
        <v>3241</v>
      </c>
      <c r="H14" s="3020" t="s">
        <v>3241</v>
      </c>
      <c r="I14" s="3020" t="s">
        <v>3241</v>
      </c>
      <c r="J14" s="3020" t="s">
        <v>3241</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3242</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3243</v>
      </c>
      <c r="B17" s="3027" t="s">
        <v>3244</v>
      </c>
      <c r="C17" s="3036">
        <f>ROUND(IF(OR(E2="工业",E2="公共服务"),1,IF(AND(E18=0,E19=0),1,IF(AND(E18=J24,E19=G19),0.8,IF(E19=0,1+E17*(-0.2),1+E17*G17*(-0.2))))),4)</f>
        <v>1</v>
      </c>
      <c r="D17" s="3028" t="s">
        <v>3245</v>
      </c>
      <c r="E17" s="3036" t="e">
        <f>ROUND(G18/I18,2)</f>
        <v>#DIV/0!</v>
      </c>
      <c r="F17" s="3028" t="s">
        <v>3248</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3246</v>
      </c>
      <c r="E18" s="2357"/>
      <c r="F18" s="3030" t="s">
        <v>3249</v>
      </c>
      <c r="G18" s="3034">
        <f>ROUND(1-(1/(POWER(1+G24,E18))),4)</f>
        <v>0</v>
      </c>
      <c r="H18" s="3030" t="s">
        <v>3251</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3247</v>
      </c>
      <c r="E19" s="3043"/>
      <c r="F19" s="3044" t="s">
        <v>3250</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574" t="s">
        <v>3252</v>
      </c>
      <c r="B20" s="159" t="s">
        <v>1994</v>
      </c>
      <c r="C20" s="3031" t="e">
        <f>ROUND(IF(F21="与级别开发程度一致",0,(G21-E21)/C21),0)</f>
        <v>#DIV/0!</v>
      </c>
      <c r="D20" s="3046" t="s">
        <v>1998</v>
      </c>
      <c r="E20" s="3047"/>
      <c r="F20" s="3580" t="s">
        <v>1995</v>
      </c>
      <c r="G20" s="358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57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46026</v>
      </c>
      <c r="H23" s="3048"/>
      <c r="I23" s="3049" t="str">
        <f>IF(H23="季度增幅（自定义）",SUMIF(N25:N28,E2,O25:O28),"")</f>
        <v/>
      </c>
      <c r="J23" s="3141"/>
      <c r="K23" s="1061"/>
      <c r="L23" s="1897" t="s">
        <v>2004</v>
      </c>
      <c r="M23" s="1241">
        <f>ROUND(SUMIF(地价!B2:G2,E2,地价!B16:G16),0)</f>
        <v>0</v>
      </c>
      <c r="N23" s="1898" t="s">
        <v>2005</v>
      </c>
      <c r="O23" s="719">
        <f>ROUNDDOWN(DATEDIF(E23,G23,"M")/3,0)</f>
        <v>20</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3331</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3256</v>
      </c>
      <c r="G33" s="1941"/>
      <c r="H33" s="1941"/>
      <c r="I33" s="1941"/>
      <c r="J33" s="1942"/>
      <c r="K33" s="1056"/>
      <c r="L33" s="3053" t="s">
        <v>3259</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3260</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3261</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578"/>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3262</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579"/>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79"/>
      <c r="B39" s="1884" t="s">
        <v>3255</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2120</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3265</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3265</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3265</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3266</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2610</v>
      </c>
      <c r="B91" s="3079">
        <f>1+E93</f>
        <v>1</v>
      </c>
      <c r="C91" s="3072"/>
      <c r="D91" s="3073"/>
      <c r="E91" s="1675"/>
      <c r="F91" s="1675"/>
      <c r="G91" s="3074"/>
      <c r="H91" s="3075"/>
      <c r="I91" s="3076"/>
      <c r="J91" s="3077"/>
      <c r="K91" s="3077"/>
      <c r="L91" s="3077"/>
      <c r="M91" s="3077"/>
      <c r="N91" s="3077"/>
    </row>
    <row r="92" spans="1:37" ht="26">
      <c r="A92" s="3080" t="s">
        <v>3267</v>
      </c>
      <c r="B92" s="2310"/>
      <c r="C92" s="2310" t="s">
        <v>3276</v>
      </c>
      <c r="D92" s="2310" t="s">
        <v>3277</v>
      </c>
      <c r="E92" s="3052" t="s">
        <v>3278</v>
      </c>
      <c r="F92" s="3082" t="s">
        <v>3279</v>
      </c>
      <c r="G92" s="2310" t="s">
        <v>3280</v>
      </c>
      <c r="H92" s="3089" t="s">
        <v>3283</v>
      </c>
      <c r="I92" s="2310" t="s">
        <v>3284</v>
      </c>
      <c r="J92" s="2150" t="s">
        <v>3285</v>
      </c>
      <c r="K92" s="2150" t="s">
        <v>3286</v>
      </c>
      <c r="L92" s="2150" t="s">
        <v>3287</v>
      </c>
      <c r="M92" s="2150" t="s">
        <v>3288</v>
      </c>
      <c r="N92" s="2150" t="s">
        <v>3289</v>
      </c>
    </row>
    <row r="93" spans="1:37" ht="26">
      <c r="A93" s="3070" t="s">
        <v>3268</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3269</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3265</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3270</v>
      </c>
      <c r="B96" s="3086" t="s">
        <v>3281</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3271</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3272</v>
      </c>
      <c r="B98" s="3087" t="s">
        <v>3282</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3273</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3274</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3275</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576" t="s">
        <v>3290</v>
      </c>
      <c r="B103" s="3576"/>
      <c r="C103" s="3576"/>
      <c r="D103" s="3576"/>
      <c r="E103" s="3576"/>
      <c r="F103" s="3576"/>
      <c r="G103" s="3576"/>
      <c r="H103" s="3576"/>
      <c r="I103" s="3576"/>
      <c r="J103" s="3576"/>
      <c r="K103" s="1667"/>
      <c r="L103" s="1667"/>
      <c r="M103" s="1667"/>
      <c r="N103" s="1667"/>
    </row>
    <row r="104" spans="1:14" ht="13">
      <c r="A104" s="3577" t="s">
        <v>3291</v>
      </c>
      <c r="B104" s="3577" t="s">
        <v>3292</v>
      </c>
      <c r="C104" s="3090" t="s">
        <v>3293</v>
      </c>
      <c r="D104" s="3091"/>
      <c r="E104" s="3091"/>
      <c r="F104" s="3091"/>
      <c r="G104" s="3091"/>
      <c r="H104" s="3091"/>
      <c r="I104" s="3091"/>
      <c r="J104" s="3092"/>
      <c r="K104" s="3093"/>
      <c r="L104" s="3093"/>
      <c r="M104" s="3093"/>
      <c r="N104" s="3093"/>
    </row>
    <row r="105" spans="1:14" ht="13">
      <c r="A105" s="3577"/>
      <c r="B105" s="3577"/>
      <c r="C105" s="3094" t="s">
        <v>3294</v>
      </c>
      <c r="D105" s="3094" t="s">
        <v>3295</v>
      </c>
      <c r="E105" s="3094" t="s">
        <v>3296</v>
      </c>
      <c r="F105" s="3094" t="s">
        <v>3297</v>
      </c>
      <c r="G105" s="3094" t="s">
        <v>3298</v>
      </c>
      <c r="H105" s="3094" t="s">
        <v>3299</v>
      </c>
      <c r="I105" s="3094" t="s">
        <v>3300</v>
      </c>
      <c r="J105" s="3094" t="s">
        <v>3301</v>
      </c>
      <c r="K105" s="3094" t="s">
        <v>3302</v>
      </c>
      <c r="L105" s="3094" t="s">
        <v>3303</v>
      </c>
      <c r="M105" s="3094" t="s">
        <v>3304</v>
      </c>
      <c r="N105" s="3094" t="s">
        <v>3305</v>
      </c>
    </row>
    <row r="106" spans="1:14">
      <c r="A106" s="3563" t="s">
        <v>3306</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6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6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6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6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564"/>
      <c r="B111" s="3094" t="s">
        <v>3264</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6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566" t="s">
        <v>3307</v>
      </c>
      <c r="B113" s="3566"/>
      <c r="C113" s="3566"/>
      <c r="D113" s="3566"/>
      <c r="E113" s="3566"/>
      <c r="F113" s="3566"/>
      <c r="G113" s="3566"/>
      <c r="H113" s="3566"/>
      <c r="I113" s="3566"/>
      <c r="J113" s="356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3308</v>
      </c>
      <c r="B116" s="3114">
        <f>G3</f>
        <v>0</v>
      </c>
      <c r="C116" s="3099" t="s">
        <v>3309</v>
      </c>
      <c r="D116" s="3100">
        <f>SUMPRODUCT((A118:A122=F116)*(B117:M117=H116)*B118:M122)</f>
        <v>0</v>
      </c>
      <c r="E116" s="162" t="s">
        <v>3310</v>
      </c>
      <c r="F116" s="3101">
        <f>E2</f>
        <v>0</v>
      </c>
      <c r="G116" s="162" t="s">
        <v>3311</v>
      </c>
      <c r="H116" s="3101">
        <f>G2</f>
        <v>0</v>
      </c>
      <c r="I116" s="162"/>
      <c r="J116" s="3102"/>
      <c r="K116" s="3102"/>
      <c r="L116" s="3102"/>
      <c r="M116" s="3102"/>
      <c r="N116" s="3097"/>
    </row>
    <row r="117" spans="1:14" ht="13">
      <c r="A117" s="3103"/>
      <c r="B117" s="3104" t="s">
        <v>3312</v>
      </c>
      <c r="C117" s="3104" t="s">
        <v>3313</v>
      </c>
      <c r="D117" s="3104" t="s">
        <v>3314</v>
      </c>
      <c r="E117" s="3105" t="s">
        <v>3315</v>
      </c>
      <c r="F117" s="3105" t="s">
        <v>3316</v>
      </c>
      <c r="G117" s="3105" t="s">
        <v>3317</v>
      </c>
      <c r="H117" s="3106" t="s">
        <v>3318</v>
      </c>
      <c r="I117" s="3106" t="s">
        <v>3319</v>
      </c>
      <c r="J117" s="3107" t="s">
        <v>3320</v>
      </c>
      <c r="K117" s="3107" t="s">
        <v>3321</v>
      </c>
      <c r="L117" s="3107" t="s">
        <v>3322</v>
      </c>
      <c r="M117" s="3108" t="s">
        <v>3323</v>
      </c>
      <c r="N117" s="3097"/>
    </row>
    <row r="118" spans="1:14" ht="13">
      <c r="A118" s="3057" t="s">
        <v>3324</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3325</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3326</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3327</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2610</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593" t="s">
        <v>2605</v>
      </c>
      <c r="B20" s="3586" t="s">
        <v>2626</v>
      </c>
      <c r="C20" s="3168" t="s">
        <v>2437</v>
      </c>
      <c r="D20" s="3168"/>
      <c r="E20" s="2844">
        <v>1</v>
      </c>
      <c r="F20" s="2845" t="s">
        <v>2438</v>
      </c>
      <c r="G20" s="2845"/>
    </row>
    <row r="21" spans="1:13" ht="19.5" customHeight="1">
      <c r="A21" s="3594"/>
      <c r="B21" s="3582"/>
      <c r="C21" s="2857" t="s">
        <v>2439</v>
      </c>
      <c r="D21" s="2857"/>
      <c r="E21" s="2848">
        <v>1</v>
      </c>
      <c r="F21" s="2845" t="s">
        <v>2440</v>
      </c>
      <c r="G21" s="2845"/>
    </row>
    <row r="22" spans="1:13" ht="19.5" customHeight="1">
      <c r="A22" s="3594"/>
      <c r="B22" s="3582"/>
      <c r="C22" s="2857" t="s">
        <v>2441</v>
      </c>
      <c r="D22" s="2857"/>
      <c r="E22" s="2848">
        <v>0.9</v>
      </c>
      <c r="F22" s="2845" t="s">
        <v>2442</v>
      </c>
      <c r="G22" s="2845"/>
    </row>
    <row r="23" spans="1:13" ht="19.5" customHeight="1">
      <c r="A23" s="3594"/>
      <c r="B23" s="3582"/>
      <c r="C23" s="2857" t="s">
        <v>2443</v>
      </c>
      <c r="D23" s="2857"/>
      <c r="E23" s="2848">
        <v>0.9</v>
      </c>
      <c r="F23" s="2845" t="s">
        <v>2444</v>
      </c>
      <c r="G23" s="2845"/>
    </row>
    <row r="24" spans="1:13" ht="19.5" customHeight="1">
      <c r="A24" s="3594"/>
      <c r="B24" s="3582"/>
      <c r="C24" s="2857" t="s">
        <v>2445</v>
      </c>
      <c r="D24" s="2857"/>
      <c r="E24" s="2848">
        <v>0.8</v>
      </c>
      <c r="F24" s="2845" t="s">
        <v>2446</v>
      </c>
      <c r="G24" s="2845"/>
    </row>
    <row r="25" spans="1:13" ht="19.5" customHeight="1">
      <c r="A25" s="3594"/>
      <c r="B25" s="3582"/>
      <c r="C25" s="2857" t="s">
        <v>2447</v>
      </c>
      <c r="D25" s="2857"/>
      <c r="E25" s="2848">
        <v>0.8</v>
      </c>
      <c r="F25" s="2845"/>
      <c r="G25" s="2845"/>
    </row>
    <row r="26" spans="1:13" ht="19.5" customHeight="1">
      <c r="A26" s="3594"/>
      <c r="B26" s="3582"/>
      <c r="C26" s="2857" t="s">
        <v>3405</v>
      </c>
      <c r="D26" s="2857"/>
      <c r="E26" s="2848">
        <v>0.43</v>
      </c>
      <c r="F26" s="2845"/>
      <c r="G26" s="2845"/>
    </row>
    <row r="27" spans="1:13" ht="19.5" customHeight="1" thickBot="1">
      <c r="A27" s="3595"/>
      <c r="B27" s="3587"/>
      <c r="C27" s="3164" t="s">
        <v>3406</v>
      </c>
      <c r="D27" s="3164"/>
      <c r="E27" s="2851">
        <f>E26*0.9</f>
        <v>0.38700000000000001</v>
      </c>
      <c r="F27" s="2845" t="s">
        <v>2448</v>
      </c>
      <c r="G27" s="2845"/>
    </row>
    <row r="28" spans="1:13" ht="19.5" customHeight="1" thickBot="1">
      <c r="A28" s="3163" t="s">
        <v>2627</v>
      </c>
      <c r="B28" s="3162" t="s">
        <v>2626</v>
      </c>
      <c r="C28" s="3165" t="s">
        <v>2628</v>
      </c>
      <c r="D28" s="3166"/>
      <c r="E28" s="3167">
        <v>1</v>
      </c>
      <c r="F28" s="2845" t="s">
        <v>2449</v>
      </c>
      <c r="G28" s="2845"/>
    </row>
    <row r="29" spans="1:13" ht="19.5" customHeight="1">
      <c r="A29" s="3588" t="s">
        <v>2629</v>
      </c>
      <c r="B29" s="3591" t="s">
        <v>2610</v>
      </c>
      <c r="C29" s="2842" t="s">
        <v>2450</v>
      </c>
      <c r="D29" s="2843"/>
      <c r="E29" s="2844">
        <v>1</v>
      </c>
      <c r="F29" s="2845" t="s">
        <v>2451</v>
      </c>
      <c r="G29" s="2845"/>
    </row>
    <row r="30" spans="1:13" ht="19.5" customHeight="1">
      <c r="A30" s="3589"/>
      <c r="B30" s="3585"/>
      <c r="C30" s="2846" t="s">
        <v>2452</v>
      </c>
      <c r="D30" s="2847"/>
      <c r="E30" s="2848">
        <v>1</v>
      </c>
      <c r="F30" s="2845" t="s">
        <v>2453</v>
      </c>
      <c r="G30" s="2845"/>
    </row>
    <row r="31" spans="1:13" ht="19.5" customHeight="1">
      <c r="A31" s="3589"/>
      <c r="B31" s="3585"/>
      <c r="C31" s="2846" t="s">
        <v>2454</v>
      </c>
      <c r="D31" s="2847"/>
      <c r="E31" s="2848">
        <v>0.8</v>
      </c>
      <c r="F31" s="2845" t="s">
        <v>2455</v>
      </c>
      <c r="G31" s="2845"/>
    </row>
    <row r="32" spans="1:13" ht="19.5" customHeight="1">
      <c r="A32" s="3589"/>
      <c r="B32" s="3585"/>
      <c r="C32" s="2846" t="s">
        <v>2456</v>
      </c>
      <c r="D32" s="2847"/>
      <c r="E32" s="2848">
        <v>0.8</v>
      </c>
      <c r="F32" s="2845" t="s">
        <v>2457</v>
      </c>
      <c r="G32" s="2845"/>
    </row>
    <row r="33" spans="1:7" ht="19.5" customHeight="1">
      <c r="A33" s="3589"/>
      <c r="B33" s="3585"/>
      <c r="C33" s="2846" t="s">
        <v>2458</v>
      </c>
      <c r="D33" s="2847"/>
      <c r="E33" s="2848">
        <v>0.8</v>
      </c>
      <c r="F33" s="2845" t="s">
        <v>2459</v>
      </c>
      <c r="G33" s="2845"/>
    </row>
    <row r="34" spans="1:7" ht="19.5" customHeight="1">
      <c r="A34" s="3589"/>
      <c r="B34" s="3585"/>
      <c r="C34" s="2846" t="s">
        <v>2460</v>
      </c>
      <c r="D34" s="2847"/>
      <c r="E34" s="2848">
        <v>0.7</v>
      </c>
      <c r="F34" s="2845" t="s">
        <v>2461</v>
      </c>
      <c r="G34" s="2845"/>
    </row>
    <row r="35" spans="1:7" ht="19.5" customHeight="1">
      <c r="A35" s="3589"/>
      <c r="B35" s="3585"/>
      <c r="C35" s="2846" t="s">
        <v>2462</v>
      </c>
      <c r="D35" s="2847"/>
      <c r="E35" s="2848">
        <v>0.8</v>
      </c>
      <c r="F35" s="2845" t="s">
        <v>2463</v>
      </c>
      <c r="G35" s="2845"/>
    </row>
    <row r="36" spans="1:7" ht="19.5" customHeight="1">
      <c r="A36" s="3589"/>
      <c r="B36" s="3585"/>
      <c r="C36" s="2846" t="s">
        <v>2464</v>
      </c>
      <c r="D36" s="2847"/>
      <c r="E36" s="2848">
        <v>0.6</v>
      </c>
      <c r="F36" s="2845" t="s">
        <v>2465</v>
      </c>
      <c r="G36" s="2845"/>
    </row>
    <row r="37" spans="1:7" ht="19.5" customHeight="1">
      <c r="A37" s="3589"/>
      <c r="B37" s="3585"/>
      <c r="C37" s="2846" t="s">
        <v>2466</v>
      </c>
      <c r="D37" s="2847"/>
      <c r="E37" s="2848">
        <v>0.2</v>
      </c>
      <c r="F37" s="2845" t="s">
        <v>2467</v>
      </c>
      <c r="G37" s="2845"/>
    </row>
    <row r="38" spans="1:7" ht="19.5" customHeight="1">
      <c r="A38" s="3589"/>
      <c r="B38" s="3585"/>
      <c r="C38" s="2846" t="s">
        <v>2468</v>
      </c>
      <c r="D38" s="2847"/>
      <c r="E38" s="2848">
        <v>0.2</v>
      </c>
      <c r="F38" s="2845" t="s">
        <v>2469</v>
      </c>
      <c r="G38" s="2845"/>
    </row>
    <row r="39" spans="1:7" ht="19.5" customHeight="1">
      <c r="A39" s="3589"/>
      <c r="B39" s="3583" t="s">
        <v>2630</v>
      </c>
      <c r="C39" s="2846" t="s">
        <v>2470</v>
      </c>
      <c r="D39" s="2847"/>
      <c r="E39" s="2848">
        <v>0.6</v>
      </c>
      <c r="F39" s="2845" t="s">
        <v>2471</v>
      </c>
      <c r="G39" s="2845"/>
    </row>
    <row r="40" spans="1:7" ht="19.5" customHeight="1">
      <c r="A40" s="3589"/>
      <c r="B40" s="3585"/>
      <c r="C40" s="2846" t="s">
        <v>2472</v>
      </c>
      <c r="D40" s="2847"/>
      <c r="E40" s="2848">
        <v>0.6</v>
      </c>
      <c r="F40" s="2845" t="s">
        <v>2473</v>
      </c>
      <c r="G40" s="2845"/>
    </row>
    <row r="41" spans="1:7" ht="19.5" customHeight="1" thickBot="1">
      <c r="A41" s="3590"/>
      <c r="B41" s="3592"/>
      <c r="C41" s="2849" t="s">
        <v>2474</v>
      </c>
      <c r="D41" s="2850"/>
      <c r="E41" s="2851">
        <v>0.6</v>
      </c>
      <c r="F41" s="2845" t="s">
        <v>2475</v>
      </c>
      <c r="G41" s="2845"/>
    </row>
    <row r="42" spans="1:7" ht="19.5" customHeight="1" thickBot="1">
      <c r="A42" s="2852" t="s">
        <v>2607</v>
      </c>
      <c r="B42" s="2853" t="s">
        <v>2607</v>
      </c>
      <c r="C42" s="2854" t="s">
        <v>2631</v>
      </c>
      <c r="D42" s="2855"/>
      <c r="E42" s="2856">
        <v>1</v>
      </c>
      <c r="F42" s="2845" t="s">
        <v>2476</v>
      </c>
      <c r="G42" s="2845"/>
    </row>
    <row r="43" spans="1:7" ht="19.5" customHeight="1">
      <c r="A43" s="3593" t="s">
        <v>2608</v>
      </c>
      <c r="B43" s="3591" t="s">
        <v>2632</v>
      </c>
      <c r="C43" s="2842" t="s">
        <v>2477</v>
      </c>
      <c r="D43" s="2843"/>
      <c r="E43" s="2844">
        <v>1</v>
      </c>
      <c r="F43" s="2845" t="s">
        <v>2478</v>
      </c>
      <c r="G43" s="2845"/>
    </row>
    <row r="44" spans="1:7" ht="19.5" customHeight="1">
      <c r="A44" s="3594"/>
      <c r="B44" s="3585"/>
      <c r="C44" s="2846" t="s">
        <v>2479</v>
      </c>
      <c r="D44" s="2847"/>
      <c r="E44" s="2848">
        <v>1</v>
      </c>
      <c r="F44" s="2845" t="s">
        <v>2480</v>
      </c>
      <c r="G44" s="2845"/>
    </row>
    <row r="45" spans="1:7" ht="19.5" customHeight="1">
      <c r="A45" s="3594"/>
      <c r="B45" s="3584"/>
      <c r="C45" s="2846" t="s">
        <v>2481</v>
      </c>
      <c r="D45" s="2847"/>
      <c r="E45" s="2848">
        <v>1.5</v>
      </c>
      <c r="F45" s="2845" t="s">
        <v>2482</v>
      </c>
      <c r="G45" s="2845"/>
    </row>
    <row r="46" spans="1:7" ht="19.5" customHeight="1">
      <c r="A46" s="3594"/>
      <c r="B46" s="2857" t="s">
        <v>2633</v>
      </c>
      <c r="C46" s="2846" t="s">
        <v>2634</v>
      </c>
      <c r="D46" s="2847"/>
      <c r="E46" s="2848">
        <v>2</v>
      </c>
      <c r="F46" s="2845" t="s">
        <v>2483</v>
      </c>
      <c r="G46" s="2845"/>
    </row>
    <row r="47" spans="1:7" ht="19.5" customHeight="1">
      <c r="A47" s="3594"/>
      <c r="B47" s="3583" t="s">
        <v>2635</v>
      </c>
      <c r="C47" s="2846" t="s">
        <v>2484</v>
      </c>
      <c r="D47" s="2847"/>
      <c r="E47" s="2848">
        <v>1</v>
      </c>
      <c r="F47" s="2845" t="s">
        <v>2485</v>
      </c>
      <c r="G47" s="2845"/>
    </row>
    <row r="48" spans="1:7" ht="19.5" customHeight="1">
      <c r="A48" s="3594"/>
      <c r="B48" s="3585"/>
      <c r="C48" s="2846" t="s">
        <v>2486</v>
      </c>
      <c r="D48" s="2847"/>
      <c r="E48" s="2848">
        <v>1</v>
      </c>
      <c r="F48" s="2845" t="s">
        <v>2487</v>
      </c>
      <c r="G48" s="2845"/>
    </row>
    <row r="49" spans="1:7" ht="19.5" customHeight="1">
      <c r="A49" s="3594"/>
      <c r="B49" s="3585"/>
      <c r="C49" s="2846" t="s">
        <v>2488</v>
      </c>
      <c r="D49" s="2847"/>
      <c r="E49" s="2848">
        <v>1</v>
      </c>
      <c r="F49" s="2845" t="s">
        <v>2489</v>
      </c>
      <c r="G49" s="2845"/>
    </row>
    <row r="50" spans="1:7" ht="19.5" customHeight="1">
      <c r="A50" s="3594"/>
      <c r="B50" s="3585"/>
      <c r="C50" s="2846" t="s">
        <v>2490</v>
      </c>
      <c r="D50" s="2847"/>
      <c r="E50" s="2848">
        <v>1</v>
      </c>
      <c r="F50" s="2845" t="s">
        <v>2491</v>
      </c>
      <c r="G50" s="2845"/>
    </row>
    <row r="51" spans="1:7" ht="19.5" customHeight="1">
      <c r="A51" s="3594"/>
      <c r="B51" s="3585"/>
      <c r="C51" s="2846" t="s">
        <v>2492</v>
      </c>
      <c r="D51" s="2847"/>
      <c r="E51" s="2848">
        <v>1</v>
      </c>
      <c r="F51" s="2845" t="s">
        <v>2493</v>
      </c>
      <c r="G51" s="2845"/>
    </row>
    <row r="52" spans="1:7" ht="19.5" customHeight="1">
      <c r="A52" s="3594"/>
      <c r="B52" s="3585"/>
      <c r="C52" s="2846" t="s">
        <v>2494</v>
      </c>
      <c r="D52" s="2847"/>
      <c r="E52" s="2848">
        <v>1</v>
      </c>
      <c r="F52" s="2845" t="s">
        <v>2495</v>
      </c>
      <c r="G52" s="2845"/>
    </row>
    <row r="53" spans="1:7" ht="19.5" customHeight="1" thickBot="1">
      <c r="A53" s="3595"/>
      <c r="B53" s="3592"/>
      <c r="C53" s="2849" t="s">
        <v>2496</v>
      </c>
      <c r="D53" s="2850"/>
      <c r="E53" s="2851">
        <v>1</v>
      </c>
      <c r="F53" s="2845" t="s">
        <v>2497</v>
      </c>
      <c r="G53" s="2845"/>
    </row>
    <row r="54" spans="1:7" ht="19.5" customHeight="1">
      <c r="A54" s="2858"/>
      <c r="B54" s="2858"/>
      <c r="C54" s="2858"/>
      <c r="D54" s="2858"/>
      <c r="E54" s="2858"/>
      <c r="F54" s="2858"/>
      <c r="G54" s="2858"/>
    </row>
    <row r="56" spans="1:7" ht="19.5" customHeight="1">
      <c r="A56" s="2859"/>
      <c r="B56" s="2831" t="s">
        <v>2636</v>
      </c>
      <c r="C56" s="2831" t="s">
        <v>2636</v>
      </c>
      <c r="D56" s="2831" t="s">
        <v>2636</v>
      </c>
      <c r="E56" s="2834" t="s">
        <v>2636</v>
      </c>
      <c r="F56" s="2834" t="s">
        <v>2637</v>
      </c>
      <c r="G56" s="2834" t="s">
        <v>2638</v>
      </c>
    </row>
    <row r="57" spans="1:7" ht="19.5" customHeight="1">
      <c r="A57" s="2860"/>
      <c r="B57" s="2834" t="s">
        <v>2605</v>
      </c>
      <c r="C57" s="2834" t="s">
        <v>2605</v>
      </c>
      <c r="D57" s="2834" t="s">
        <v>2605</v>
      </c>
      <c r="E57" s="2831" t="s">
        <v>2606</v>
      </c>
      <c r="F57" s="2831" t="s">
        <v>2608</v>
      </c>
      <c r="G57" s="2831" t="s">
        <v>2639</v>
      </c>
    </row>
    <row r="58" spans="1:7" ht="19.5" customHeight="1">
      <c r="A58" s="2861"/>
      <c r="B58" s="2831">
        <v>1</v>
      </c>
      <c r="C58" s="2831">
        <v>2</v>
      </c>
      <c r="D58" s="2831">
        <v>3</v>
      </c>
      <c r="E58" s="2862" t="s">
        <v>2640</v>
      </c>
      <c r="F58" s="2862" t="s">
        <v>2640</v>
      </c>
      <c r="G58" s="2862" t="s">
        <v>2640</v>
      </c>
    </row>
    <row r="59" spans="1:7" ht="19.5" customHeight="1">
      <c r="A59" s="2863" t="s">
        <v>2593</v>
      </c>
      <c r="B59" s="2831">
        <v>0.7</v>
      </c>
      <c r="C59" s="2831">
        <v>0.4</v>
      </c>
      <c r="D59" s="2831">
        <v>0.3</v>
      </c>
      <c r="E59" s="2862">
        <v>0.3</v>
      </c>
      <c r="F59" s="2831">
        <v>0.3</v>
      </c>
      <c r="G59" s="2831">
        <v>0.2</v>
      </c>
    </row>
    <row r="60" spans="1:7" ht="19.5" customHeight="1">
      <c r="A60" s="2863" t="s">
        <v>2594</v>
      </c>
      <c r="B60" s="2831">
        <v>0.7</v>
      </c>
      <c r="C60" s="2831">
        <v>0.4</v>
      </c>
      <c r="D60" s="2831">
        <v>0.3</v>
      </c>
      <c r="E60" s="2831">
        <v>0.3</v>
      </c>
      <c r="F60" s="2831">
        <v>0.3</v>
      </c>
      <c r="G60" s="2831">
        <v>0.2</v>
      </c>
    </row>
    <row r="61" spans="1:7" ht="19.5" customHeight="1">
      <c r="A61" s="2863" t="s">
        <v>2595</v>
      </c>
      <c r="B61" s="2831">
        <v>0.6</v>
      </c>
      <c r="C61" s="2831">
        <v>0.3</v>
      </c>
      <c r="D61" s="2831">
        <v>0.25</v>
      </c>
      <c r="E61" s="2831">
        <v>0.25</v>
      </c>
      <c r="F61" s="2831">
        <v>0.25</v>
      </c>
      <c r="G61" s="2831">
        <v>0.15</v>
      </c>
    </row>
    <row r="62" spans="1:7" ht="19.5" customHeight="1">
      <c r="A62" s="2863" t="s">
        <v>2596</v>
      </c>
      <c r="B62" s="2831">
        <v>0.6</v>
      </c>
      <c r="C62" s="2831">
        <v>0.3</v>
      </c>
      <c r="D62" s="2831">
        <v>0.25</v>
      </c>
      <c r="E62" s="2831">
        <v>0.25</v>
      </c>
      <c r="F62" s="2831">
        <v>0.25</v>
      </c>
      <c r="G62" s="2831">
        <v>0.15</v>
      </c>
    </row>
    <row r="63" spans="1:7" ht="19.5" customHeight="1">
      <c r="A63" s="2863" t="s">
        <v>2597</v>
      </c>
      <c r="B63" s="2831">
        <v>0.6</v>
      </c>
      <c r="C63" s="2831">
        <v>0.3</v>
      </c>
      <c r="D63" s="2831">
        <v>0.25</v>
      </c>
      <c r="E63" s="2831">
        <v>0.25</v>
      </c>
      <c r="F63" s="2831">
        <v>0.25</v>
      </c>
      <c r="G63" s="2831">
        <v>0.15</v>
      </c>
    </row>
    <row r="64" spans="1:7" ht="19.5" customHeight="1">
      <c r="A64" s="2863" t="s">
        <v>2598</v>
      </c>
      <c r="B64" s="2831">
        <v>0.6</v>
      </c>
      <c r="C64" s="2831">
        <v>0.3</v>
      </c>
      <c r="D64" s="2831">
        <v>0.25</v>
      </c>
      <c r="E64" s="2831">
        <v>0.25</v>
      </c>
      <c r="F64" s="2831">
        <v>0.25</v>
      </c>
      <c r="G64" s="2831">
        <v>0.15</v>
      </c>
    </row>
    <row r="65" spans="1:7" ht="19.5" customHeight="1">
      <c r="A65" s="2863" t="s">
        <v>2599</v>
      </c>
      <c r="B65" s="2831">
        <v>0.6</v>
      </c>
      <c r="C65" s="2831">
        <v>0.3</v>
      </c>
      <c r="D65" s="2831">
        <v>0.25</v>
      </c>
      <c r="E65" s="2831">
        <v>0.25</v>
      </c>
      <c r="F65" s="2831">
        <v>0.25</v>
      </c>
      <c r="G65" s="2831">
        <v>0.15</v>
      </c>
    </row>
    <row r="66" spans="1:7" ht="19.5" customHeight="1">
      <c r="A66" s="2863" t="s">
        <v>2600</v>
      </c>
      <c r="B66" s="2831">
        <v>0.5</v>
      </c>
      <c r="C66" s="2831">
        <v>0.2</v>
      </c>
      <c r="D66" s="2831">
        <v>0.2</v>
      </c>
      <c r="E66" s="2831">
        <v>0.2</v>
      </c>
      <c r="F66" s="2831">
        <v>0.2</v>
      </c>
      <c r="G66" s="2831">
        <v>0.1</v>
      </c>
    </row>
    <row r="67" spans="1:7" ht="19.5" customHeight="1">
      <c r="A67" s="2863" t="s">
        <v>2601</v>
      </c>
      <c r="B67" s="2831">
        <v>0.5</v>
      </c>
      <c r="C67" s="2831">
        <v>0.2</v>
      </c>
      <c r="D67" s="2831">
        <v>0.2</v>
      </c>
      <c r="E67" s="2831">
        <v>0.2</v>
      </c>
      <c r="F67" s="2831">
        <v>0.2</v>
      </c>
      <c r="G67" s="2831">
        <v>0.1</v>
      </c>
    </row>
    <row r="68" spans="1:7" ht="19.5" customHeight="1">
      <c r="A68" s="2863" t="s">
        <v>2602</v>
      </c>
      <c r="B68" s="2831">
        <v>0.5</v>
      </c>
      <c r="C68" s="2831">
        <v>0.2</v>
      </c>
      <c r="D68" s="2831">
        <v>0.2</v>
      </c>
      <c r="E68" s="2831">
        <v>0.2</v>
      </c>
      <c r="F68" s="2831">
        <v>0.2</v>
      </c>
      <c r="G68" s="2831">
        <v>0.1</v>
      </c>
    </row>
    <row r="69" spans="1:7" ht="19.5" customHeight="1">
      <c r="A69" s="2863" t="s">
        <v>2603</v>
      </c>
      <c r="B69" s="2831">
        <v>0.5</v>
      </c>
      <c r="C69" s="2831">
        <v>0.2</v>
      </c>
      <c r="D69" s="2831">
        <v>0.2</v>
      </c>
      <c r="E69" s="2831">
        <v>0.2</v>
      </c>
      <c r="F69" s="2831">
        <v>0.2</v>
      </c>
      <c r="G69" s="2831">
        <v>0.1</v>
      </c>
    </row>
    <row r="70" spans="1:7" ht="19.5" customHeight="1">
      <c r="A70" s="2863" t="s">
        <v>2604</v>
      </c>
      <c r="B70" s="2831">
        <v>0.5</v>
      </c>
      <c r="C70" s="2831">
        <v>0.2</v>
      </c>
      <c r="D70" s="2831">
        <v>0.2</v>
      </c>
      <c r="E70" s="2831">
        <v>0.2</v>
      </c>
      <c r="F70" s="2831">
        <v>0.2</v>
      </c>
      <c r="G70" s="2831">
        <v>0.1</v>
      </c>
    </row>
    <row r="72" spans="1:7" ht="19.5" customHeight="1">
      <c r="A72" s="2845"/>
      <c r="B72" s="2864"/>
      <c r="C72" s="2864"/>
      <c r="D72" s="2864" t="s">
        <v>2641</v>
      </c>
      <c r="E72" s="2864"/>
      <c r="F72" s="2864"/>
    </row>
    <row r="73" spans="1:7" ht="19.5" customHeight="1">
      <c r="A73" s="2857" t="s">
        <v>2642</v>
      </c>
      <c r="B73" s="2857" t="s">
        <v>2643</v>
      </c>
      <c r="C73" s="2857" t="s">
        <v>2644</v>
      </c>
      <c r="D73" s="2857" t="s">
        <v>2645</v>
      </c>
      <c r="E73" s="2857" t="s">
        <v>2646</v>
      </c>
      <c r="F73" s="2857" t="s">
        <v>2647</v>
      </c>
    </row>
    <row r="74" spans="1:7" ht="14">
      <c r="A74" s="2857"/>
      <c r="B74" s="2857"/>
      <c r="C74" s="2857" t="s">
        <v>2648</v>
      </c>
      <c r="D74" s="2857"/>
      <c r="E74" s="2857" t="s">
        <v>2619</v>
      </c>
      <c r="F74" s="2857" t="s">
        <v>2619</v>
      </c>
    </row>
    <row r="75" spans="1:7" ht="14">
      <c r="A75" s="2857">
        <v>1</v>
      </c>
      <c r="B75" s="3583" t="s">
        <v>2649</v>
      </c>
      <c r="C75" s="2831" t="s">
        <v>2650</v>
      </c>
      <c r="D75" s="2831" t="s">
        <v>2651</v>
      </c>
      <c r="E75" s="2857">
        <v>0.2</v>
      </c>
      <c r="F75" s="2857">
        <v>25</v>
      </c>
    </row>
    <row r="76" spans="1:7" ht="26">
      <c r="A76" s="2857">
        <v>2</v>
      </c>
      <c r="B76" s="3585"/>
      <c r="C76" s="2831" t="s">
        <v>2652</v>
      </c>
      <c r="D76" s="2831" t="s">
        <v>2653</v>
      </c>
      <c r="E76" s="2857">
        <v>0.2</v>
      </c>
      <c r="F76" s="2857">
        <v>25</v>
      </c>
    </row>
    <row r="77" spans="1:7" ht="26">
      <c r="A77" s="2857">
        <v>3</v>
      </c>
      <c r="B77" s="3585"/>
      <c r="C77" s="2831" t="s">
        <v>2654</v>
      </c>
      <c r="D77" s="2831" t="s">
        <v>2655</v>
      </c>
      <c r="E77" s="2857">
        <v>0.2</v>
      </c>
      <c r="F77" s="2857">
        <v>25</v>
      </c>
    </row>
    <row r="78" spans="1:7" ht="14">
      <c r="A78" s="2857">
        <v>4</v>
      </c>
      <c r="B78" s="3585"/>
      <c r="C78" s="2831" t="s">
        <v>2656</v>
      </c>
      <c r="D78" s="2831" t="s">
        <v>2657</v>
      </c>
      <c r="E78" s="2857">
        <v>0.15</v>
      </c>
      <c r="F78" s="2857">
        <v>20</v>
      </c>
    </row>
    <row r="79" spans="1:7" ht="26">
      <c r="A79" s="2857">
        <v>5</v>
      </c>
      <c r="B79" s="3585"/>
      <c r="C79" s="2831" t="s">
        <v>2658</v>
      </c>
      <c r="D79" s="2831" t="s">
        <v>2659</v>
      </c>
      <c r="E79" s="2857">
        <v>0.15</v>
      </c>
      <c r="F79" s="2857">
        <v>20</v>
      </c>
    </row>
    <row r="80" spans="1:7" ht="26">
      <c r="A80" s="2857">
        <v>6</v>
      </c>
      <c r="B80" s="3585"/>
      <c r="C80" s="2831" t="s">
        <v>2660</v>
      </c>
      <c r="D80" s="2831" t="s">
        <v>2661</v>
      </c>
      <c r="E80" s="2857">
        <v>0.15</v>
      </c>
      <c r="F80" s="2857">
        <v>20</v>
      </c>
    </row>
    <row r="81" spans="1:6" ht="26">
      <c r="A81" s="2857">
        <v>7</v>
      </c>
      <c r="B81" s="3585"/>
      <c r="C81" s="2831" t="s">
        <v>2662</v>
      </c>
      <c r="D81" s="2831" t="s">
        <v>2663</v>
      </c>
      <c r="E81" s="2857">
        <v>0.15</v>
      </c>
      <c r="F81" s="2857">
        <v>20</v>
      </c>
    </row>
    <row r="82" spans="1:6" ht="26">
      <c r="A82" s="2857">
        <v>8</v>
      </c>
      <c r="B82" s="3585"/>
      <c r="C82" s="2831" t="s">
        <v>2664</v>
      </c>
      <c r="D82" s="2831" t="s">
        <v>2665</v>
      </c>
      <c r="E82" s="2857">
        <v>0.1</v>
      </c>
      <c r="F82" s="2857">
        <v>15</v>
      </c>
    </row>
    <row r="83" spans="1:6" ht="26">
      <c r="A83" s="2857">
        <v>9</v>
      </c>
      <c r="B83" s="3585"/>
      <c r="C83" s="2831" t="s">
        <v>2666</v>
      </c>
      <c r="D83" s="2831" t="s">
        <v>2667</v>
      </c>
      <c r="E83" s="2857">
        <v>0.1</v>
      </c>
      <c r="F83" s="2857">
        <v>15</v>
      </c>
    </row>
    <row r="84" spans="1:6" ht="26">
      <c r="A84" s="2857">
        <v>10</v>
      </c>
      <c r="B84" s="3585"/>
      <c r="C84" s="2831" t="s">
        <v>2668</v>
      </c>
      <c r="D84" s="2831" t="s">
        <v>2669</v>
      </c>
      <c r="E84" s="2857">
        <v>0.1</v>
      </c>
      <c r="F84" s="2857">
        <v>15</v>
      </c>
    </row>
    <row r="85" spans="1:6" ht="26">
      <c r="A85" s="2857">
        <v>11</v>
      </c>
      <c r="B85" s="3585"/>
      <c r="C85" s="2831" t="s">
        <v>2670</v>
      </c>
      <c r="D85" s="2831" t="s">
        <v>2671</v>
      </c>
      <c r="E85" s="2857">
        <v>0.1</v>
      </c>
      <c r="F85" s="2857">
        <v>15</v>
      </c>
    </row>
    <row r="86" spans="1:6" ht="26">
      <c r="A86" s="2857">
        <v>12</v>
      </c>
      <c r="B86" s="3585"/>
      <c r="C86" s="2831" t="s">
        <v>2672</v>
      </c>
      <c r="D86" s="2831" t="s">
        <v>2673</v>
      </c>
      <c r="E86" s="2857">
        <v>0.1</v>
      </c>
      <c r="F86" s="2857">
        <v>15</v>
      </c>
    </row>
    <row r="87" spans="1:6" ht="14">
      <c r="A87" s="2857">
        <v>13</v>
      </c>
      <c r="B87" s="3585"/>
      <c r="C87" s="2831" t="s">
        <v>2674</v>
      </c>
      <c r="D87" s="2831" t="s">
        <v>2675</v>
      </c>
      <c r="E87" s="2857">
        <v>0.1</v>
      </c>
      <c r="F87" s="2857">
        <v>15</v>
      </c>
    </row>
    <row r="88" spans="1:6" ht="14">
      <c r="A88" s="2857">
        <v>14</v>
      </c>
      <c r="B88" s="3585"/>
      <c r="C88" s="2831" t="s">
        <v>2676</v>
      </c>
      <c r="D88" s="2831" t="s">
        <v>2677</v>
      </c>
      <c r="E88" s="2857">
        <v>0.1</v>
      </c>
      <c r="F88" s="2857">
        <v>15</v>
      </c>
    </row>
    <row r="89" spans="1:6" ht="14">
      <c r="A89" s="2857">
        <v>15</v>
      </c>
      <c r="B89" s="3585"/>
      <c r="C89" s="2831" t="s">
        <v>2678</v>
      </c>
      <c r="D89" s="2831" t="s">
        <v>2679</v>
      </c>
      <c r="E89" s="2857">
        <v>0.1</v>
      </c>
      <c r="F89" s="2857">
        <v>15</v>
      </c>
    </row>
    <row r="90" spans="1:6" ht="26">
      <c r="A90" s="2857">
        <v>16</v>
      </c>
      <c r="B90" s="3585"/>
      <c r="C90" s="2831" t="s">
        <v>2680</v>
      </c>
      <c r="D90" s="2831" t="s">
        <v>2681</v>
      </c>
      <c r="E90" s="2857">
        <v>0.1</v>
      </c>
      <c r="F90" s="2857">
        <v>15</v>
      </c>
    </row>
    <row r="91" spans="1:6" ht="26">
      <c r="A91" s="2857">
        <v>17</v>
      </c>
      <c r="B91" s="3584"/>
      <c r="C91" s="2831" t="s">
        <v>2682</v>
      </c>
      <c r="D91" s="2831" t="s">
        <v>2683</v>
      </c>
      <c r="E91" s="2857">
        <v>0.1</v>
      </c>
      <c r="F91" s="2857">
        <v>15</v>
      </c>
    </row>
    <row r="92" spans="1:6" ht="14">
      <c r="A92" s="2857">
        <v>18</v>
      </c>
      <c r="B92" s="3583" t="s">
        <v>2684</v>
      </c>
      <c r="C92" s="2831" t="s">
        <v>2685</v>
      </c>
      <c r="D92" s="2831" t="s">
        <v>2686</v>
      </c>
      <c r="E92" s="2857">
        <v>0.2</v>
      </c>
      <c r="F92" s="2857">
        <v>25</v>
      </c>
    </row>
    <row r="93" spans="1:6" ht="26">
      <c r="A93" s="2857">
        <v>19</v>
      </c>
      <c r="B93" s="3585"/>
      <c r="C93" s="2831" t="s">
        <v>2687</v>
      </c>
      <c r="D93" s="2831" t="s">
        <v>2688</v>
      </c>
      <c r="E93" s="2857">
        <v>0.2</v>
      </c>
      <c r="F93" s="2857">
        <v>25</v>
      </c>
    </row>
    <row r="94" spans="1:6" ht="14">
      <c r="A94" s="2857">
        <v>20</v>
      </c>
      <c r="B94" s="3585"/>
      <c r="C94" s="2831" t="s">
        <v>2689</v>
      </c>
      <c r="D94" s="2831" t="s">
        <v>2690</v>
      </c>
      <c r="E94" s="2857">
        <v>0.15</v>
      </c>
      <c r="F94" s="2857">
        <v>20</v>
      </c>
    </row>
    <row r="95" spans="1:6" ht="26">
      <c r="A95" s="2857">
        <v>21</v>
      </c>
      <c r="B95" s="3585"/>
      <c r="C95" s="2831" t="s">
        <v>2691</v>
      </c>
      <c r="D95" s="2831" t="s">
        <v>2692</v>
      </c>
      <c r="E95" s="2857">
        <v>0.15</v>
      </c>
      <c r="F95" s="2857">
        <v>20</v>
      </c>
    </row>
    <row r="96" spans="1:6" ht="26">
      <c r="A96" s="2857">
        <v>22</v>
      </c>
      <c r="B96" s="3585"/>
      <c r="C96" s="2831" t="s">
        <v>2693</v>
      </c>
      <c r="D96" s="2831" t="s">
        <v>2694</v>
      </c>
      <c r="E96" s="2857">
        <v>0.15</v>
      </c>
      <c r="F96" s="2857">
        <v>20</v>
      </c>
    </row>
    <row r="97" spans="1:6" ht="39">
      <c r="A97" s="2857">
        <v>23</v>
      </c>
      <c r="B97" s="3585"/>
      <c r="C97" s="2831" t="s">
        <v>2695</v>
      </c>
      <c r="D97" s="2831" t="s">
        <v>2696</v>
      </c>
      <c r="E97" s="2857">
        <v>0.15</v>
      </c>
      <c r="F97" s="2857">
        <v>20</v>
      </c>
    </row>
    <row r="98" spans="1:6" ht="14">
      <c r="A98" s="2857">
        <v>24</v>
      </c>
      <c r="B98" s="3585"/>
      <c r="C98" s="2831" t="s">
        <v>2697</v>
      </c>
      <c r="D98" s="2831" t="s">
        <v>2698</v>
      </c>
      <c r="E98" s="2857">
        <v>0.1</v>
      </c>
      <c r="F98" s="2857">
        <v>15</v>
      </c>
    </row>
    <row r="99" spans="1:6" ht="26">
      <c r="A99" s="2857">
        <v>25</v>
      </c>
      <c r="B99" s="3585"/>
      <c r="C99" s="2831" t="s">
        <v>2699</v>
      </c>
      <c r="D99" s="2831" t="s">
        <v>2700</v>
      </c>
      <c r="E99" s="2857">
        <v>0.1</v>
      </c>
      <c r="F99" s="2857">
        <v>15</v>
      </c>
    </row>
    <row r="100" spans="1:6" ht="26">
      <c r="A100" s="2857">
        <v>26</v>
      </c>
      <c r="B100" s="3585"/>
      <c r="C100" s="2831" t="s">
        <v>2701</v>
      </c>
      <c r="D100" s="2831" t="s">
        <v>2702</v>
      </c>
      <c r="E100" s="2857">
        <v>0.1</v>
      </c>
      <c r="F100" s="2857">
        <v>15</v>
      </c>
    </row>
    <row r="101" spans="1:6" ht="26">
      <c r="A101" s="2857">
        <v>27</v>
      </c>
      <c r="B101" s="3585"/>
      <c r="C101" s="2831" t="s">
        <v>2703</v>
      </c>
      <c r="D101" s="2831" t="s">
        <v>2704</v>
      </c>
      <c r="E101" s="2857">
        <v>0.1</v>
      </c>
      <c r="F101" s="2857">
        <v>15</v>
      </c>
    </row>
    <row r="102" spans="1:6" ht="26">
      <c r="A102" s="2857">
        <v>28</v>
      </c>
      <c r="B102" s="3585"/>
      <c r="C102" s="2831" t="s">
        <v>2705</v>
      </c>
      <c r="D102" s="2831" t="s">
        <v>2706</v>
      </c>
      <c r="E102" s="2857">
        <v>0.1</v>
      </c>
      <c r="F102" s="2857">
        <v>15</v>
      </c>
    </row>
    <row r="103" spans="1:6" ht="26">
      <c r="A103" s="2857">
        <v>29</v>
      </c>
      <c r="B103" s="3585"/>
      <c r="C103" s="2831" t="s">
        <v>2707</v>
      </c>
      <c r="D103" s="2831" t="s">
        <v>2708</v>
      </c>
      <c r="E103" s="2857">
        <v>0.1</v>
      </c>
      <c r="F103" s="2857">
        <v>15</v>
      </c>
    </row>
    <row r="104" spans="1:6" ht="26">
      <c r="A104" s="2857">
        <v>30</v>
      </c>
      <c r="B104" s="3585"/>
      <c r="C104" s="2831" t="s">
        <v>2709</v>
      </c>
      <c r="D104" s="2831" t="s">
        <v>2710</v>
      </c>
      <c r="E104" s="2857">
        <v>0.1</v>
      </c>
      <c r="F104" s="2857">
        <v>15</v>
      </c>
    </row>
    <row r="105" spans="1:6" ht="26">
      <c r="A105" s="2857">
        <v>31</v>
      </c>
      <c r="B105" s="3585"/>
      <c r="C105" s="2831" t="s">
        <v>2711</v>
      </c>
      <c r="D105" s="2831" t="s">
        <v>2712</v>
      </c>
      <c r="E105" s="2857">
        <v>0.1</v>
      </c>
      <c r="F105" s="2857">
        <v>15</v>
      </c>
    </row>
    <row r="106" spans="1:6" ht="26">
      <c r="A106" s="2857">
        <v>32</v>
      </c>
      <c r="B106" s="3585"/>
      <c r="C106" s="2831" t="s">
        <v>2713</v>
      </c>
      <c r="D106" s="2831" t="s">
        <v>2714</v>
      </c>
      <c r="E106" s="2857">
        <v>0.1</v>
      </c>
      <c r="F106" s="2857">
        <v>15</v>
      </c>
    </row>
    <row r="107" spans="1:6" ht="26">
      <c r="A107" s="2857">
        <v>33</v>
      </c>
      <c r="B107" s="3585"/>
      <c r="C107" s="2831" t="s">
        <v>2715</v>
      </c>
      <c r="D107" s="2831" t="s">
        <v>2716</v>
      </c>
      <c r="E107" s="2857">
        <v>0.1</v>
      </c>
      <c r="F107" s="2857">
        <v>15</v>
      </c>
    </row>
    <row r="108" spans="1:6" ht="26">
      <c r="A108" s="2857">
        <v>34</v>
      </c>
      <c r="B108" s="3584"/>
      <c r="C108" s="2831" t="s">
        <v>2717</v>
      </c>
      <c r="D108" s="2831" t="s">
        <v>2718</v>
      </c>
      <c r="E108" s="2857">
        <v>0.1</v>
      </c>
      <c r="F108" s="2857">
        <v>15</v>
      </c>
    </row>
    <row r="109" spans="1:6" ht="26">
      <c r="A109" s="2857">
        <v>35</v>
      </c>
      <c r="B109" s="3583" t="s">
        <v>2719</v>
      </c>
      <c r="C109" s="2857" t="s">
        <v>2720</v>
      </c>
      <c r="D109" s="2831" t="s">
        <v>2721</v>
      </c>
      <c r="E109" s="2857">
        <v>0.15</v>
      </c>
      <c r="F109" s="2857">
        <v>20</v>
      </c>
    </row>
    <row r="110" spans="1:6" ht="26">
      <c r="A110" s="2857">
        <v>36</v>
      </c>
      <c r="B110" s="3585"/>
      <c r="C110" s="2857" t="s">
        <v>2722</v>
      </c>
      <c r="D110" s="2831" t="s">
        <v>2723</v>
      </c>
      <c r="E110" s="2857">
        <v>0.15</v>
      </c>
      <c r="F110" s="2857">
        <v>20</v>
      </c>
    </row>
    <row r="111" spans="1:6" ht="26">
      <c r="A111" s="2857">
        <v>37</v>
      </c>
      <c r="B111" s="3585"/>
      <c r="C111" s="2857" t="s">
        <v>2724</v>
      </c>
      <c r="D111" s="2831" t="s">
        <v>2725</v>
      </c>
      <c r="E111" s="2857">
        <v>0.15</v>
      </c>
      <c r="F111" s="2857">
        <v>20</v>
      </c>
    </row>
    <row r="112" spans="1:6" ht="14">
      <c r="A112" s="2857">
        <v>38</v>
      </c>
      <c r="B112" s="3585"/>
      <c r="C112" s="2857" t="s">
        <v>2726</v>
      </c>
      <c r="D112" s="2831" t="s">
        <v>2727</v>
      </c>
      <c r="E112" s="2857">
        <v>0.1</v>
      </c>
      <c r="F112" s="2857">
        <v>15</v>
      </c>
    </row>
    <row r="113" spans="1:6" ht="26">
      <c r="A113" s="2857">
        <v>39</v>
      </c>
      <c r="B113" s="3585"/>
      <c r="C113" s="2857" t="s">
        <v>2728</v>
      </c>
      <c r="D113" s="2831" t="s">
        <v>2729</v>
      </c>
      <c r="E113" s="2857">
        <v>0.1</v>
      </c>
      <c r="F113" s="2857">
        <v>15</v>
      </c>
    </row>
    <row r="114" spans="1:6" ht="26">
      <c r="A114" s="2857">
        <v>40</v>
      </c>
      <c r="B114" s="3584"/>
      <c r="C114" s="2857" t="s">
        <v>2730</v>
      </c>
      <c r="D114" s="2831" t="s">
        <v>2731</v>
      </c>
      <c r="E114" s="2857">
        <v>0.1</v>
      </c>
      <c r="F114" s="2857">
        <v>15</v>
      </c>
    </row>
    <row r="115" spans="1:6" ht="26">
      <c r="A115" s="2857">
        <v>41</v>
      </c>
      <c r="B115" s="3582" t="s">
        <v>2732</v>
      </c>
      <c r="C115" s="2857" t="s">
        <v>2733</v>
      </c>
      <c r="D115" s="2831" t="s">
        <v>2734</v>
      </c>
      <c r="E115" s="2857">
        <v>0.1</v>
      </c>
      <c r="F115" s="2857">
        <v>15</v>
      </c>
    </row>
    <row r="116" spans="1:6" ht="14">
      <c r="A116" s="2857">
        <v>42</v>
      </c>
      <c r="B116" s="3582"/>
      <c r="C116" s="2857" t="s">
        <v>2735</v>
      </c>
      <c r="D116" s="2831" t="s">
        <v>2736</v>
      </c>
      <c r="E116" s="2857">
        <v>0.1</v>
      </c>
      <c r="F116" s="2857">
        <v>15</v>
      </c>
    </row>
    <row r="117" spans="1:6" ht="26">
      <c r="A117" s="2857">
        <v>43</v>
      </c>
      <c r="B117" s="3582"/>
      <c r="C117" s="2857" t="s">
        <v>2737</v>
      </c>
      <c r="D117" s="2831" t="s">
        <v>2738</v>
      </c>
      <c r="E117" s="2857">
        <v>0.1</v>
      </c>
      <c r="F117" s="2857">
        <v>15</v>
      </c>
    </row>
    <row r="118" spans="1:6" ht="26">
      <c r="A118" s="2857">
        <v>44</v>
      </c>
      <c r="B118" s="3583" t="s">
        <v>2739</v>
      </c>
      <c r="C118" s="2857" t="s">
        <v>2740</v>
      </c>
      <c r="D118" s="2831" t="s">
        <v>2741</v>
      </c>
      <c r="E118" s="2857">
        <v>0.1</v>
      </c>
      <c r="F118" s="2857">
        <v>15</v>
      </c>
    </row>
    <row r="119" spans="1:6" ht="26">
      <c r="A119" s="2857">
        <v>45</v>
      </c>
      <c r="B119" s="3584"/>
      <c r="C119" s="2831" t="s">
        <v>2742</v>
      </c>
      <c r="D119" s="2831" t="s">
        <v>2743</v>
      </c>
      <c r="E119" s="2857">
        <v>0.1</v>
      </c>
      <c r="F119" s="2857">
        <v>15</v>
      </c>
    </row>
    <row r="120" spans="1:6" ht="26">
      <c r="A120" s="2857">
        <v>46</v>
      </c>
      <c r="B120" s="3583" t="s">
        <v>2744</v>
      </c>
      <c r="C120" s="2857" t="s">
        <v>2745</v>
      </c>
      <c r="D120" s="2831" t="s">
        <v>2746</v>
      </c>
      <c r="E120" s="2857">
        <v>0.1</v>
      </c>
      <c r="F120" s="2857">
        <v>15</v>
      </c>
    </row>
    <row r="121" spans="1:6" ht="26">
      <c r="A121" s="2857">
        <v>47</v>
      </c>
      <c r="B121" s="3584"/>
      <c r="C121" s="2857" t="s">
        <v>2747</v>
      </c>
      <c r="D121" s="2831" t="s">
        <v>2748</v>
      </c>
      <c r="E121" s="2857">
        <v>0.1</v>
      </c>
      <c r="F121" s="2857">
        <v>15</v>
      </c>
    </row>
    <row r="122" spans="1:6" ht="26">
      <c r="A122" s="2857">
        <v>48</v>
      </c>
      <c r="B122" s="3583" t="s">
        <v>2749</v>
      </c>
      <c r="C122" s="2857" t="s">
        <v>2750</v>
      </c>
      <c r="D122" s="2831" t="s">
        <v>2751</v>
      </c>
      <c r="E122" s="2857">
        <v>0.1</v>
      </c>
      <c r="F122" s="2857">
        <v>15</v>
      </c>
    </row>
    <row r="123" spans="1:6" ht="14">
      <c r="A123" s="2857">
        <v>49</v>
      </c>
      <c r="B123" s="3584"/>
      <c r="C123" s="2857" t="s">
        <v>2752</v>
      </c>
      <c r="D123" s="2831" t="s">
        <v>2753</v>
      </c>
      <c r="E123" s="2857">
        <v>0.1</v>
      </c>
      <c r="F123" s="2857">
        <v>15</v>
      </c>
    </row>
    <row r="124" spans="1:6" ht="26">
      <c r="A124" s="2857">
        <v>50</v>
      </c>
      <c r="B124" s="3582" t="s">
        <v>2754</v>
      </c>
      <c r="C124" s="2857" t="s">
        <v>2755</v>
      </c>
      <c r="D124" s="2831" t="s">
        <v>2756</v>
      </c>
      <c r="E124" s="2857">
        <v>0.1</v>
      </c>
      <c r="F124" s="2857">
        <v>15</v>
      </c>
    </row>
    <row r="125" spans="1:6" ht="26">
      <c r="A125" s="2857">
        <v>51</v>
      </c>
      <c r="B125" s="3582"/>
      <c r="C125" s="2857" t="s">
        <v>2757</v>
      </c>
      <c r="D125" s="2831" t="s">
        <v>2758</v>
      </c>
      <c r="E125" s="2857">
        <v>0.1</v>
      </c>
      <c r="F125" s="2857">
        <v>15</v>
      </c>
    </row>
    <row r="126" spans="1:6" ht="26">
      <c r="A126" s="2857">
        <v>52</v>
      </c>
      <c r="B126" s="3582" t="s">
        <v>2759</v>
      </c>
      <c r="C126" s="2857" t="s">
        <v>2760</v>
      </c>
      <c r="D126" s="2831" t="s">
        <v>2761</v>
      </c>
      <c r="E126" s="2857">
        <v>0.1</v>
      </c>
      <c r="F126" s="2857">
        <v>15</v>
      </c>
    </row>
    <row r="127" spans="1:6" ht="26">
      <c r="A127" s="2857">
        <v>53</v>
      </c>
      <c r="B127" s="3582"/>
      <c r="C127" s="2857" t="s">
        <v>2762</v>
      </c>
      <c r="D127" s="2831" t="s">
        <v>2763</v>
      </c>
      <c r="E127" s="2857">
        <v>0.1</v>
      </c>
      <c r="F127" s="2857">
        <v>15</v>
      </c>
    </row>
    <row r="128" spans="1:6" ht="26">
      <c r="A128" s="2857">
        <v>54</v>
      </c>
      <c r="B128" s="2857" t="s">
        <v>2764</v>
      </c>
      <c r="C128" s="2857" t="s">
        <v>2765</v>
      </c>
      <c r="D128" s="2831" t="s">
        <v>2766</v>
      </c>
      <c r="E128" s="2857">
        <v>0.1</v>
      </c>
      <c r="F128" s="2857">
        <v>15</v>
      </c>
    </row>
    <row r="129" spans="1:6" ht="14">
      <c r="A129" s="2857">
        <v>55</v>
      </c>
      <c r="B129" s="3582" t="s">
        <v>2767</v>
      </c>
      <c r="C129" s="2857" t="s">
        <v>2768</v>
      </c>
      <c r="D129" s="2831" t="s">
        <v>2769</v>
      </c>
      <c r="E129" s="2857">
        <v>0.1</v>
      </c>
      <c r="F129" s="2857">
        <v>15</v>
      </c>
    </row>
    <row r="130" spans="1:6" ht="14">
      <c r="A130" s="2857">
        <v>56</v>
      </c>
      <c r="B130" s="3582"/>
      <c r="C130" s="2857" t="s">
        <v>2770</v>
      </c>
      <c r="D130" s="2831" t="s">
        <v>2771</v>
      </c>
      <c r="E130" s="2857">
        <v>0.1</v>
      </c>
      <c r="F130" s="2857">
        <v>15</v>
      </c>
    </row>
    <row r="131" spans="1:6" ht="26">
      <c r="A131" s="2857">
        <v>57</v>
      </c>
      <c r="B131" s="3582"/>
      <c r="C131" s="2857" t="s">
        <v>2772</v>
      </c>
      <c r="D131" s="2831" t="s">
        <v>2773</v>
      </c>
      <c r="E131" s="2857">
        <v>0.1</v>
      </c>
      <c r="F131" s="2857">
        <v>15</v>
      </c>
    </row>
    <row r="132" spans="1:6" ht="26">
      <c r="A132" s="2857">
        <v>58</v>
      </c>
      <c r="B132" s="3582" t="s">
        <v>2774</v>
      </c>
      <c r="C132" s="2857" t="s">
        <v>2775</v>
      </c>
      <c r="D132" s="2831" t="s">
        <v>2776</v>
      </c>
      <c r="E132" s="2857">
        <v>0.1</v>
      </c>
      <c r="F132" s="2857">
        <v>15</v>
      </c>
    </row>
    <row r="133" spans="1:6" ht="26">
      <c r="A133" s="2857">
        <v>59</v>
      </c>
      <c r="B133" s="3582"/>
      <c r="C133" s="2857" t="s">
        <v>2777</v>
      </c>
      <c r="D133" s="2831" t="s">
        <v>2778</v>
      </c>
      <c r="E133" s="2857">
        <v>0.1</v>
      </c>
      <c r="F133" s="2857">
        <v>15</v>
      </c>
    </row>
    <row r="134" spans="1:6" ht="26">
      <c r="A134" s="2857">
        <v>60</v>
      </c>
      <c r="B134" s="3583" t="s">
        <v>2779</v>
      </c>
      <c r="C134" s="2857" t="s">
        <v>2780</v>
      </c>
      <c r="D134" s="2831" t="s">
        <v>2781</v>
      </c>
      <c r="E134" s="2857">
        <v>0.1</v>
      </c>
      <c r="F134" s="2857">
        <v>15</v>
      </c>
    </row>
    <row r="135" spans="1:6" ht="26">
      <c r="A135" s="2857">
        <v>61</v>
      </c>
      <c r="B135" s="3584"/>
      <c r="C135" s="2857" t="s">
        <v>2782</v>
      </c>
      <c r="D135" s="2831" t="s">
        <v>2783</v>
      </c>
      <c r="E135" s="2857">
        <v>0.1</v>
      </c>
      <c r="F135" s="2857">
        <v>15</v>
      </c>
    </row>
    <row r="136" spans="1:6" ht="26">
      <c r="A136" s="2857">
        <v>62</v>
      </c>
      <c r="B136" s="2857" t="s">
        <v>2784</v>
      </c>
      <c r="C136" s="2857" t="s">
        <v>2785</v>
      </c>
      <c r="D136" s="2831" t="s">
        <v>2786</v>
      </c>
      <c r="E136" s="2857">
        <v>0.1</v>
      </c>
      <c r="F136" s="2857">
        <v>15</v>
      </c>
    </row>
    <row r="137" spans="1:6" ht="26">
      <c r="A137" s="2857">
        <v>63</v>
      </c>
      <c r="B137" s="3582" t="s">
        <v>2787</v>
      </c>
      <c r="C137" s="2857" t="s">
        <v>2788</v>
      </c>
      <c r="D137" s="2831" t="s">
        <v>2789</v>
      </c>
      <c r="E137" s="2857">
        <v>0.1</v>
      </c>
      <c r="F137" s="2857">
        <v>15</v>
      </c>
    </row>
    <row r="138" spans="1:6" ht="14">
      <c r="A138" s="2857">
        <v>64</v>
      </c>
      <c r="B138" s="3582"/>
      <c r="C138" s="2857" t="s">
        <v>2790</v>
      </c>
      <c r="D138" s="2831" t="s">
        <v>2791</v>
      </c>
      <c r="E138" s="2857">
        <v>0.1</v>
      </c>
      <c r="F138" s="2857">
        <v>15</v>
      </c>
    </row>
    <row r="139" spans="1:6" ht="26">
      <c r="A139" s="2857">
        <v>65</v>
      </c>
      <c r="B139" s="2857" t="s">
        <v>2792</v>
      </c>
      <c r="C139" s="2857" t="s">
        <v>2793</v>
      </c>
      <c r="D139" s="2831" t="s">
        <v>2794</v>
      </c>
      <c r="E139" s="2857">
        <v>0.1</v>
      </c>
      <c r="F139" s="2857">
        <v>15</v>
      </c>
    </row>
    <row r="140" spans="1:6" ht="14">
      <c r="A140" s="2857"/>
      <c r="B140" s="2857"/>
      <c r="C140" s="2857"/>
      <c r="D140" s="2857"/>
      <c r="E140" s="2857" t="s">
        <v>2795</v>
      </c>
      <c r="F140" s="2857" t="s">
        <v>2795</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2796</v>
      </c>
      <c r="B1" s="2865"/>
      <c r="C1" s="2865"/>
      <c r="D1" s="2865"/>
      <c r="E1" s="2865"/>
      <c r="F1" s="2865"/>
      <c r="G1" s="2865"/>
      <c r="H1" s="2865"/>
      <c r="I1" s="2865"/>
      <c r="J1" s="2865"/>
      <c r="K1" s="2865"/>
      <c r="L1" s="2865"/>
      <c r="M1" s="2865"/>
      <c r="N1" s="707"/>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0</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28994</v>
      </c>
      <c r="C2" s="2" t="s">
        <v>106</v>
      </c>
      <c r="D2" s="191"/>
      <c r="E2" s="191"/>
      <c r="F2" s="191"/>
      <c r="G2" s="191"/>
    </row>
    <row r="3" spans="1:7" s="192" customFormat="1" ht="18" customHeight="1" thickBot="1">
      <c r="A3" s="195" t="s">
        <v>58</v>
      </c>
      <c r="B3" s="196">
        <f ca="1">ROUND(B2*10000/'数据-汇总表'!E3,0)</f>
        <v>551836</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v>
      </c>
      <c r="D10" s="795">
        <f>'数据-汇总表'!E6</f>
        <v>525.41000000000008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525.41000000000008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28779</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210</v>
      </c>
      <c r="D34" s="209"/>
      <c r="E34" s="212"/>
      <c r="F34" s="249">
        <f>IF('数据-取费表'!B24=0,1,'数据-取费表'!N16)</f>
        <v>1</v>
      </c>
      <c r="G34" s="211" t="s">
        <v>89</v>
      </c>
    </row>
    <row r="35" spans="1:7" ht="13.5" customHeight="1">
      <c r="A35" s="734" t="s">
        <v>351</v>
      </c>
      <c r="B35" s="207" t="s">
        <v>33</v>
      </c>
      <c r="C35" s="212">
        <f>ROUND(C34*F35,0)</f>
        <v>11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525.41000000000008</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413" t="s">
        <v>94</v>
      </c>
    </row>
    <row r="43" spans="1:7" ht="13.5" customHeight="1">
      <c r="A43" s="734" t="s">
        <v>347</v>
      </c>
      <c r="B43" s="207" t="s">
        <v>426</v>
      </c>
      <c r="C43" s="230">
        <f ca="1">ROUND(IF('数据-取费表'!B22&lt;=1,C39*F22*'数据-取费表'!B21/2,C39*(POWER((1+F22),'数据-取费表'!B21/2)-1)),0)</f>
        <v>0</v>
      </c>
      <c r="D43" s="230"/>
      <c r="E43" s="230"/>
      <c r="F43" s="231"/>
      <c r="G43" s="3414"/>
    </row>
    <row r="44" spans="1:7" ht="13.5" customHeight="1">
      <c r="A44" s="734" t="s">
        <v>348</v>
      </c>
      <c r="B44" s="207" t="s">
        <v>428</v>
      </c>
      <c r="C44" s="230">
        <f ca="1">ROUND(IF('数据-取费表'!B22&lt;=1,C40*F22*'数据-取费表'!B21/2,C40*(POWER((1+F22),'数据-取费表'!B21/2)-1)),4)</f>
        <v>5.9999999999999995E-4</v>
      </c>
      <c r="D44" s="230"/>
      <c r="E44" s="230"/>
      <c r="F44" s="231"/>
      <c r="G44" s="3415"/>
    </row>
    <row r="45" spans="1:7" s="206" customFormat="1" ht="13.5" customHeight="1">
      <c r="A45" s="731" t="s">
        <v>341</v>
      </c>
      <c r="B45" s="236" t="s">
        <v>85</v>
      </c>
      <c r="C45" s="237">
        <f>C46</f>
        <v>48</v>
      </c>
      <c r="D45" s="227">
        <f>C47</f>
        <v>4.0000000000000001E-3</v>
      </c>
      <c r="E45" s="228" t="s">
        <v>102</v>
      </c>
      <c r="F45" s="238"/>
      <c r="G45" s="239" t="s">
        <v>434</v>
      </c>
    </row>
    <row r="46" spans="1:7" s="206" customFormat="1" ht="13.5" customHeight="1">
      <c r="A46" s="734" t="s">
        <v>349</v>
      </c>
      <c r="B46" s="240" t="s">
        <v>427</v>
      </c>
      <c r="C46" s="241">
        <f>ROUND((C33+C39)*F27,0)</f>
        <v>48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321</v>
      </c>
      <c r="D49" s="224"/>
      <c r="E49" s="224"/>
      <c r="F49" s="256"/>
      <c r="G49" s="226" t="s">
        <v>435</v>
      </c>
    </row>
    <row r="50" spans="1:7" s="250" customFormat="1" ht="26">
      <c r="A50" s="731" t="s">
        <v>344</v>
      </c>
      <c r="B50" s="202" t="s">
        <v>97</v>
      </c>
      <c r="C50" s="224"/>
      <c r="D50" s="224"/>
      <c r="E50" s="224"/>
      <c r="F50" s="256">
        <f>IF('数据-取费表'!B24=0,'数据-取费表'!N16,1)</f>
        <v>0.67</v>
      </c>
      <c r="G50" s="239" t="s">
        <v>98</v>
      </c>
    </row>
    <row r="51" spans="1:7" ht="16.5" customHeight="1">
      <c r="A51" s="731" t="s">
        <v>345</v>
      </c>
      <c r="B51" s="202" t="s">
        <v>105</v>
      </c>
      <c r="C51" s="224">
        <f ca="1">ROUND(C49*F50,0)</f>
        <v>215</v>
      </c>
      <c r="D51" s="224"/>
      <c r="E51" s="224"/>
      <c r="F51" s="256"/>
      <c r="G51" s="226" t="s">
        <v>37</v>
      </c>
    </row>
    <row r="52" spans="1:7" s="200" customFormat="1" ht="16.5" thickBot="1">
      <c r="A52" s="257" t="s">
        <v>38</v>
      </c>
      <c r="B52" s="258"/>
      <c r="C52" s="259">
        <f ca="1">C31+C51</f>
        <v>28994</v>
      </c>
      <c r="D52" s="258"/>
      <c r="E52" s="258"/>
      <c r="F52" s="258"/>
      <c r="G52" s="260"/>
    </row>
    <row r="55" spans="1:7" ht="15.5">
      <c r="B55" s="262" t="s">
        <v>39</v>
      </c>
      <c r="C55" s="263"/>
    </row>
    <row r="56" spans="1:7" ht="13">
      <c r="B56" s="265" t="s">
        <v>40</v>
      </c>
      <c r="C56" s="266">
        <f ca="1">ROUND(C51/C52,3)</f>
        <v>7.0000000000000001E-3</v>
      </c>
    </row>
    <row r="57" spans="1:7" ht="13">
      <c r="B57" s="265" t="s">
        <v>41</v>
      </c>
      <c r="C57" s="267">
        <f ca="1">1-C56</f>
        <v>0.99299999999999999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96" t="s">
        <v>3179</v>
      </c>
      <c r="B1" s="3596"/>
    </row>
    <row r="2" spans="1:7" ht="14.5" thickBot="1">
      <c r="A2" s="2968"/>
      <c r="B2" s="2968"/>
    </row>
    <row r="3" spans="1:7" ht="14.5" thickBot="1">
      <c r="A3" s="2968"/>
      <c r="B3" s="2968"/>
      <c r="C3" s="2969" t="s">
        <v>2809</v>
      </c>
      <c r="D3" s="2969" t="s">
        <v>2865</v>
      </c>
      <c r="E3" s="2969" t="s">
        <v>2811</v>
      </c>
      <c r="F3" s="2969" t="s">
        <v>2866</v>
      </c>
      <c r="G3" s="2969" t="s">
        <v>2629</v>
      </c>
    </row>
    <row r="4" spans="1:7" ht="14.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4.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4.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4.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4.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4.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4.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4.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4.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4.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4.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97" t="s">
        <v>3230</v>
      </c>
      <c r="B1" s="3597"/>
      <c r="C1" s="3597"/>
      <c r="D1" s="3597"/>
      <c r="E1" s="3597"/>
      <c r="F1" s="3598"/>
    </row>
    <row r="2" spans="1:6">
      <c r="A2" s="3002" t="s">
        <v>3231</v>
      </c>
    </row>
    <row r="3" spans="1:6">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4"/>
  <cols>
    <col min="1" max="1" width="13.90625" customWidth="1"/>
    <col min="11" max="17" width="0" hidden="1" customWidth="1"/>
    <col min="25" max="30" width="0" hidden="1" customWidth="1"/>
  </cols>
  <sheetData>
    <row r="1" spans="1:44">
      <c r="A1" s="2937">
        <f>基准地价修正!G23</f>
        <v>46026</v>
      </c>
      <c r="B1" s="2929" t="s">
        <v>3374</v>
      </c>
      <c r="C1" s="2930"/>
      <c r="D1" s="2930"/>
      <c r="E1" s="2930"/>
      <c r="F1" s="2930"/>
      <c r="G1" s="2930"/>
      <c r="H1" s="2930"/>
      <c r="I1" s="2930"/>
      <c r="J1" s="2896"/>
      <c r="K1" s="2930" t="s">
        <v>454</v>
      </c>
      <c r="L1" s="2930"/>
      <c r="M1" s="2930"/>
      <c r="N1" s="2930"/>
      <c r="O1" s="2930"/>
      <c r="P1" s="2930"/>
      <c r="Q1" s="2896"/>
      <c r="R1" s="3599" t="s">
        <v>456</v>
      </c>
      <c r="S1" s="3600"/>
      <c r="T1" s="3600"/>
      <c r="U1" s="3600"/>
      <c r="V1" s="3600"/>
      <c r="W1" s="3600"/>
      <c r="X1" s="2896"/>
      <c r="Y1" s="3599" t="s">
        <v>457</v>
      </c>
      <c r="Z1" s="3600"/>
      <c r="AA1" s="3600"/>
      <c r="AB1" s="3600"/>
      <c r="AC1" s="3600"/>
      <c r="AD1" s="3600"/>
    </row>
    <row r="2" spans="1:44" s="2010" customFormat="1" ht="14.5" thickBot="1">
      <c r="B2" s="2881"/>
      <c r="C2" s="2882"/>
      <c r="D2" s="2011" t="s">
        <v>2808</v>
      </c>
      <c r="E2" s="2012" t="s">
        <v>2809</v>
      </c>
      <c r="F2" s="2012" t="s">
        <v>2810</v>
      </c>
      <c r="G2" s="2012" t="s">
        <v>2811</v>
      </c>
      <c r="H2" s="2012" t="s">
        <v>2812</v>
      </c>
      <c r="I2" s="2012" t="s">
        <v>2629</v>
      </c>
      <c r="J2" s="2883"/>
      <c r="K2" s="2011" t="s">
        <v>2808</v>
      </c>
      <c r="L2" s="2012" t="s">
        <v>2809</v>
      </c>
      <c r="M2" s="2012" t="s">
        <v>2810</v>
      </c>
      <c r="N2" s="2012" t="s">
        <v>2811</v>
      </c>
      <c r="O2" s="2012" t="s">
        <v>2813</v>
      </c>
      <c r="P2" s="2012" t="s">
        <v>2629</v>
      </c>
      <c r="Q2" s="2883"/>
      <c r="R2" s="2011" t="s">
        <v>2808</v>
      </c>
      <c r="S2" s="2012" t="s">
        <v>2809</v>
      </c>
      <c r="T2" s="2012" t="s">
        <v>2810</v>
      </c>
      <c r="U2" s="2012" t="s">
        <v>2814</v>
      </c>
      <c r="V2" s="2012" t="s">
        <v>2815</v>
      </c>
      <c r="W2" s="2012" t="s">
        <v>2629</v>
      </c>
      <c r="X2" s="2883"/>
      <c r="Y2" s="2011" t="s">
        <v>2808</v>
      </c>
      <c r="Z2" s="2012" t="s">
        <v>2809</v>
      </c>
      <c r="AA2" s="2012" t="s">
        <v>2810</v>
      </c>
      <c r="AB2" s="2012" t="s">
        <v>2816</v>
      </c>
      <c r="AC2" s="2012" t="s">
        <v>2815</v>
      </c>
      <c r="AD2" s="2012" t="s">
        <v>2629</v>
      </c>
      <c r="AF2" t="s">
        <v>3399</v>
      </c>
      <c r="AG2" t="s">
        <v>673</v>
      </c>
      <c r="AH2" t="s">
        <v>21</v>
      </c>
      <c r="AI2" t="s">
        <v>3400</v>
      </c>
      <c r="AJ2" t="s">
        <v>3</v>
      </c>
      <c r="AK2" t="s">
        <v>3401</v>
      </c>
      <c r="AM2" t="s">
        <v>3399</v>
      </c>
      <c r="AN2" t="s">
        <v>673</v>
      </c>
      <c r="AO2" t="s">
        <v>21</v>
      </c>
      <c r="AP2" t="s">
        <v>3400</v>
      </c>
      <c r="AQ2" t="s">
        <v>3</v>
      </c>
      <c r="AR2" t="s">
        <v>3401</v>
      </c>
    </row>
    <row r="3" spans="1:44" s="2886" customFormat="1" ht="13">
      <c r="A3" s="2884" t="s">
        <v>2817</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3398</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3412</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3413</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3404</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3403</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3378</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3372</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3371</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3367</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3366</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3364</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3363</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3362</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3360</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3351</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2818</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2819</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2820</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2821</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3377</v>
      </c>
    </row>
    <row r="27" spans="1:44">
      <c r="I27" s="1405" t="s">
        <v>2823</v>
      </c>
    </row>
    <row r="29" spans="1:44" s="2009" customFormat="1" ht="13">
      <c r="B29" s="2929" t="s">
        <v>3375</v>
      </c>
      <c r="C29" s="2930"/>
      <c r="D29" s="2930"/>
      <c r="E29" s="2930"/>
      <c r="F29" s="2930"/>
      <c r="G29" s="2930"/>
      <c r="H29" s="2930"/>
      <c r="I29" s="2930"/>
      <c r="J29" s="2896"/>
      <c r="K29" s="2930" t="s">
        <v>2824</v>
      </c>
      <c r="L29" s="2930"/>
      <c r="M29" s="2930"/>
      <c r="N29" s="2930"/>
      <c r="O29" s="2930"/>
      <c r="P29" s="2930"/>
      <c r="Q29" s="2896"/>
      <c r="R29" s="3599" t="s">
        <v>2825</v>
      </c>
      <c r="S29" s="3600"/>
      <c r="T29" s="3600"/>
      <c r="U29" s="3600"/>
      <c r="V29" s="3600"/>
      <c r="W29" s="3600"/>
      <c r="X29" s="2896"/>
      <c r="Y29" s="3599" t="s">
        <v>2826</v>
      </c>
      <c r="Z29" s="3600"/>
      <c r="AA29" s="3600"/>
      <c r="AB29" s="3600"/>
      <c r="AC29" s="3600"/>
      <c r="AD29" s="3600"/>
    </row>
    <row r="30" spans="1:44" s="2010" customFormat="1" ht="14.5" thickBot="1">
      <c r="B30" s="2881"/>
      <c r="C30" s="2882"/>
      <c r="D30" s="2011" t="s">
        <v>2827</v>
      </c>
      <c r="E30" s="2012" t="s">
        <v>2828</v>
      </c>
      <c r="F30" s="2012" t="s">
        <v>2829</v>
      </c>
      <c r="G30" s="2012" t="s">
        <v>2830</v>
      </c>
      <c r="H30" s="2012"/>
      <c r="I30" s="2012" t="s">
        <v>2831</v>
      </c>
      <c r="J30" s="2883"/>
      <c r="K30" s="2011" t="s">
        <v>2827</v>
      </c>
      <c r="L30" s="2012" t="s">
        <v>2828</v>
      </c>
      <c r="M30" s="2012" t="s">
        <v>2829</v>
      </c>
      <c r="N30" s="2012" t="s">
        <v>2830</v>
      </c>
      <c r="O30" s="2012"/>
      <c r="P30" s="2012" t="s">
        <v>2831</v>
      </c>
      <c r="Q30" s="2883"/>
      <c r="R30" s="2011" t="s">
        <v>2827</v>
      </c>
      <c r="S30" s="2012" t="s">
        <v>2828</v>
      </c>
      <c r="T30" s="2012" t="s">
        <v>2829</v>
      </c>
      <c r="U30" s="2012" t="s">
        <v>2830</v>
      </c>
      <c r="V30" s="2012"/>
      <c r="W30" s="2012" t="s">
        <v>2831</v>
      </c>
      <c r="X30" s="2883"/>
      <c r="Y30" s="2011" t="s">
        <v>2827</v>
      </c>
      <c r="Z30" s="2012" t="s">
        <v>2828</v>
      </c>
      <c r="AA30" s="2012" t="s">
        <v>2829</v>
      </c>
      <c r="AB30" s="2012" t="s">
        <v>2830</v>
      </c>
      <c r="AC30" s="2012"/>
      <c r="AD30" s="2012" t="s">
        <v>2831</v>
      </c>
      <c r="AG30" t="s">
        <v>673</v>
      </c>
      <c r="AH30" t="s">
        <v>21</v>
      </c>
      <c r="AI30" t="s">
        <v>3400</v>
      </c>
      <c r="AJ30"/>
      <c r="AK30" t="s">
        <v>3401</v>
      </c>
      <c r="AN30" t="s">
        <v>673</v>
      </c>
      <c r="AO30" t="s">
        <v>21</v>
      </c>
      <c r="AP30" t="s">
        <v>3400</v>
      </c>
      <c r="AQ30"/>
      <c r="AR30" t="s">
        <v>3401</v>
      </c>
    </row>
    <row r="31" spans="1:44" s="2886" customFormat="1" ht="13">
      <c r="A31" s="2884" t="s">
        <v>2832</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3398</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3414</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3413</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3402</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3403</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3369</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3373</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3370</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3368</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3366</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3365</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3363</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3362</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3361</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3351</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2833</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2834</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2835</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2836</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3376</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604" t="s">
        <v>452</v>
      </c>
      <c r="C1" s="3604"/>
      <c r="D1" s="3604"/>
      <c r="E1" s="3604"/>
      <c r="F1" s="3604"/>
      <c r="G1" s="3600" t="s">
        <v>453</v>
      </c>
      <c r="H1" s="3600"/>
      <c r="I1" s="3600"/>
      <c r="J1" s="3600"/>
      <c r="K1" s="3600"/>
      <c r="L1" s="3600"/>
      <c r="N1" s="3600" t="s">
        <v>454</v>
      </c>
      <c r="O1" s="3600"/>
      <c r="P1" s="3600"/>
      <c r="Q1" s="3600"/>
      <c r="S1" s="3600" t="s">
        <v>455</v>
      </c>
      <c r="T1" s="3600"/>
      <c r="U1" s="3600"/>
      <c r="V1" s="3600"/>
      <c r="X1" s="3599" t="s">
        <v>456</v>
      </c>
      <c r="Y1" s="3600"/>
      <c r="Z1" s="3600"/>
      <c r="AA1" s="3600"/>
      <c r="AB1" s="3600"/>
      <c r="AD1" s="3599" t="s">
        <v>457</v>
      </c>
      <c r="AE1" s="3600"/>
      <c r="AF1" s="3600"/>
      <c r="AG1" s="3600"/>
      <c r="AH1" s="3600"/>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2109</v>
      </c>
      <c r="B25" s="2049">
        <v>439</v>
      </c>
      <c r="C25" s="2049">
        <v>327</v>
      </c>
      <c r="D25" s="2049">
        <f>C25</f>
        <v>327</v>
      </c>
      <c r="E25" s="2049">
        <v>627</v>
      </c>
      <c r="F25" s="2050">
        <v>283</v>
      </c>
      <c r="G25" s="36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6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6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02">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60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02">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60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49" t="str">
        <f>IF(项目基本情况!B9="房地产市场价值","估价结果一览表","结果表-2")</f>
        <v>估价结果一览表</v>
      </c>
      <c r="B1" s="3249"/>
      <c r="C1" s="3249"/>
      <c r="D1" s="3249"/>
      <c r="E1" s="3249"/>
      <c r="F1" s="3249"/>
      <c r="G1" s="3249"/>
      <c r="H1" s="3249"/>
      <c r="I1" s="3249"/>
    </row>
    <row r="2" spans="1:9" ht="30" customHeight="1" thickTop="1">
      <c r="A2" s="3250" t="s">
        <v>928</v>
      </c>
      <c r="B2" s="3250" t="s">
        <v>929</v>
      </c>
      <c r="C2" s="3250" t="s">
        <v>930</v>
      </c>
      <c r="D2" s="3250" t="str">
        <f>结果表!D116</f>
        <v>出让国有建设用地使用权价值</v>
      </c>
      <c r="E2" s="3250"/>
      <c r="F2" s="3250" t="str">
        <f>结果表!F116</f>
        <v>在建建筑物价值</v>
      </c>
      <c r="G2" s="3250"/>
      <c r="H2" s="3250" t="str">
        <f>IF(项目基本情况!B9="房地产市场价值","房地产市场价值","房地产价值")</f>
        <v>房地产市场价值</v>
      </c>
      <c r="I2" s="3250"/>
    </row>
    <row r="3" spans="1:9" ht="16">
      <c r="A3" s="3245"/>
      <c r="B3" s="3245"/>
      <c r="C3" s="3245"/>
      <c r="D3" s="801" t="s">
        <v>925</v>
      </c>
      <c r="E3" s="801" t="s">
        <v>931</v>
      </c>
      <c r="F3" s="801" t="s">
        <v>925</v>
      </c>
      <c r="G3" s="801" t="s">
        <v>926</v>
      </c>
      <c r="H3" s="801" t="s">
        <v>925</v>
      </c>
      <c r="I3" s="801" t="s">
        <v>926</v>
      </c>
    </row>
    <row r="4" spans="1:9" ht="46.5">
      <c r="A4" s="1403" t="str">
        <f>项目基本情况!S2</f>
        <v>北京市朝阳区朝阳路69号1号楼1-3（1-1）号等4套房地产</v>
      </c>
      <c r="B4" s="801">
        <f>项目基本情况!C17</f>
        <v>525.41000000000008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45" t="s">
        <v>927</v>
      </c>
      <c r="B5" s="3245"/>
      <c r="C5" s="3245"/>
      <c r="D5" s="3245" t="e">
        <f ca="1">结果表!D119</f>
        <v>#REF!</v>
      </c>
      <c r="E5" s="3245"/>
      <c r="F5" s="3245" t="e">
        <f ca="1">结果表!F119</f>
        <v>#REF!</v>
      </c>
      <c r="G5" s="3245"/>
      <c r="H5" s="3245" t="e">
        <f ca="1">结果表!H119</f>
        <v>#REF!</v>
      </c>
      <c r="I5" s="3245"/>
    </row>
    <row r="6" spans="1:9" ht="15.5">
      <c r="A6" s="3244" t="str">
        <f>结果表!A120</f>
        <v/>
      </c>
      <c r="B6" s="3244"/>
      <c r="C6" s="3244"/>
      <c r="D6" s="3244">
        <f>结果表!D120</f>
        <v>0</v>
      </c>
      <c r="E6" s="3244"/>
      <c r="F6" s="3244"/>
      <c r="G6" s="3244"/>
      <c r="H6" s="3244"/>
      <c r="I6" s="3244"/>
    </row>
    <row r="7" spans="1:9" ht="15.5">
      <c r="A7" s="3245" t="s">
        <v>927</v>
      </c>
      <c r="B7" s="3245"/>
      <c r="C7" s="3245"/>
      <c r="D7" s="3246" t="str">
        <f>结果表!D121</f>
        <v>零元整</v>
      </c>
      <c r="E7" s="3247"/>
      <c r="F7" s="3247"/>
      <c r="G7" s="3247"/>
      <c r="H7" s="3247"/>
      <c r="I7" s="3248"/>
    </row>
    <row r="8" spans="1:9" ht="15.5">
      <c r="A8" s="3244" t="str">
        <f>结果表!A122</f>
        <v/>
      </c>
      <c r="B8" s="3244"/>
      <c r="C8" s="3244"/>
      <c r="D8" s="3244" t="e">
        <f ca="1">结果表!D122</f>
        <v>#REF!</v>
      </c>
      <c r="E8" s="3244"/>
      <c r="F8" s="3244"/>
      <c r="G8" s="3244"/>
      <c r="H8" s="3244"/>
      <c r="I8" s="3244"/>
    </row>
    <row r="9" spans="1:9" ht="15.5">
      <c r="A9" s="3245" t="s">
        <v>927</v>
      </c>
      <c r="B9" s="3245"/>
      <c r="C9" s="3245"/>
      <c r="D9" s="3245" t="e">
        <f ca="1">结果表!D123</f>
        <v>#REF!</v>
      </c>
      <c r="E9" s="3245"/>
      <c r="F9" s="3245"/>
      <c r="G9" s="3245"/>
      <c r="H9" s="3245"/>
      <c r="I9" s="3245"/>
    </row>
    <row r="10" spans="1:9" ht="15.5">
      <c r="A10" s="3244" t="str">
        <f>结果表!A124</f>
        <v/>
      </c>
      <c r="B10" s="3244"/>
      <c r="C10" s="3244"/>
      <c r="D10" s="3244" t="str">
        <f>结果表!D124</f>
        <v>——</v>
      </c>
      <c r="E10" s="3244"/>
      <c r="F10" s="3244"/>
      <c r="G10" s="3244"/>
      <c r="H10" s="3244"/>
      <c r="I10" s="3244"/>
    </row>
    <row r="11" spans="1:9" ht="15.5">
      <c r="A11" s="3245" t="s">
        <v>927</v>
      </c>
      <c r="B11" s="3245"/>
      <c r="C11" s="3245"/>
      <c r="D11" s="3245" t="e">
        <f>结果表!D125</f>
        <v>#VALUE!</v>
      </c>
      <c r="E11" s="3245"/>
      <c r="F11" s="3245"/>
      <c r="G11" s="3245"/>
      <c r="H11" s="3245"/>
      <c r="I11" s="3245"/>
    </row>
    <row r="12" spans="1:9" ht="15.5">
      <c r="A12" s="3244" t="str">
        <f>结果表!A126</f>
        <v/>
      </c>
      <c r="B12" s="3244"/>
      <c r="C12" s="3244"/>
      <c r="D12" s="3244" t="str">
        <f>结果表!D126</f>
        <v>——</v>
      </c>
      <c r="E12" s="3244"/>
      <c r="F12" s="3244"/>
      <c r="G12" s="3244"/>
      <c r="H12" s="3244"/>
      <c r="I12" s="3244"/>
    </row>
    <row r="13" spans="1:9" ht="16" thickBot="1">
      <c r="A13" s="3242" t="s">
        <v>927</v>
      </c>
      <c r="B13" s="3242"/>
      <c r="C13" s="3242"/>
      <c r="D13" s="3242" t="e">
        <f>结果表!D127</f>
        <v>#VALUE!</v>
      </c>
      <c r="E13" s="3242"/>
      <c r="F13" s="3242"/>
      <c r="G13" s="3242"/>
      <c r="H13" s="3242"/>
      <c r="I13" s="3242"/>
    </row>
    <row r="14" spans="1:9" ht="14.5" thickTop="1">
      <c r="A14" s="3243" t="s">
        <v>932</v>
      </c>
      <c r="B14" s="3243"/>
      <c r="C14" s="3243"/>
      <c r="D14" s="3243"/>
      <c r="E14" s="3243"/>
      <c r="F14" s="3243"/>
      <c r="G14" s="3243"/>
      <c r="H14" s="3243"/>
      <c r="I14" s="3243"/>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612" t="s">
        <v>2837</v>
      </c>
      <c r="B1" s="3612"/>
      <c r="C1" s="3612"/>
      <c r="D1" s="3612"/>
      <c r="E1" s="3612"/>
      <c r="F1" s="3612"/>
      <c r="G1" s="3613"/>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2.5"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610"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2.5" thickBot="1">
      <c r="A4" s="3611"/>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2.5"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2.5"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2.5"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2.5"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46026</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2307</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57" t="s">
        <v>949</v>
      </c>
      <c r="B1" s="3257"/>
      <c r="C1" s="3257"/>
      <c r="D1" s="3257"/>
    </row>
    <row r="2" spans="1:4" ht="18">
      <c r="A2" s="3258" t="s">
        <v>933</v>
      </c>
      <c r="B2" s="3258"/>
      <c r="C2" s="3258"/>
      <c r="D2" s="3258"/>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58" t="s">
        <v>939</v>
      </c>
      <c r="B6" s="3258"/>
      <c r="C6" s="3258"/>
      <c r="D6" s="3258"/>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59" t="s">
        <v>942</v>
      </c>
      <c r="B11" s="3251"/>
      <c r="C11" s="3251"/>
      <c r="D11" s="3251"/>
    </row>
    <row r="12" spans="1:4" ht="15.5">
      <c r="A12" s="32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6"/>
      <c r="C12" s="3256"/>
      <c r="D12" s="3256"/>
    </row>
    <row r="13" spans="1:4" ht="30" customHeight="1">
      <c r="A13" s="3251" t="str">
        <f>IF(项目基本情况!B8="抵押","3.抵押双方在办理抵押登记手续时，应使用本公司出具的正式《房地产评估报告》，特提醒报告使用者注意。","——")</f>
        <v>——</v>
      </c>
      <c r="B13" s="3256"/>
      <c r="C13" s="3256"/>
      <c r="D13" s="3256"/>
    </row>
    <row r="14" spans="1:4" ht="15.75" customHeight="1">
      <c r="A14" s="3251" t="str">
        <f>IF(项目基本情况!B8="抵押","4.本次评估估价师所知悉的法定优先受偿款情况说明如下：","——")</f>
        <v>——</v>
      </c>
      <c r="B14" s="3256"/>
      <c r="C14" s="3256"/>
      <c r="D14" s="3256"/>
    </row>
    <row r="15" spans="1:4" ht="42" customHeight="1">
      <c r="A15" s="3251" t="str">
        <f>IF(项目基本情况!B8="抵押","（1）"&amp;CONCATENATE(项目基本情况!L20,项目基本情况!L21,项目基本情况!L22),"——")</f>
        <v>——</v>
      </c>
      <c r="B15" s="3251"/>
      <c r="C15" s="3251"/>
      <c r="D15" s="3251"/>
    </row>
    <row r="16" spans="1:4" ht="30" customHeight="1">
      <c r="A16" s="3253" t="s">
        <v>943</v>
      </c>
      <c r="B16" s="3253"/>
      <c r="C16" s="3253"/>
      <c r="D16" s="3253"/>
    </row>
    <row r="17" spans="1:4" ht="144" customHeight="1">
      <c r="A17" s="3253" t="s">
        <v>944</v>
      </c>
      <c r="B17" s="3253"/>
      <c r="C17" s="3253"/>
      <c r="D17" s="3253"/>
    </row>
    <row r="18" spans="1:4" ht="15.75" customHeight="1">
      <c r="A18" s="3251" t="str">
        <f>IF(项目基本情况!B8="抵押",结果表!K120,"——")</f>
        <v>——</v>
      </c>
      <c r="B18" s="3251"/>
      <c r="C18" s="3251"/>
      <c r="D18" s="3251"/>
    </row>
    <row r="19" spans="1:4" ht="46.5" customHeight="1">
      <c r="A19" s="32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1"/>
      <c r="C19" s="3251"/>
      <c r="D19" s="3251"/>
    </row>
    <row r="20" spans="1:4" ht="57.75" customHeight="1">
      <c r="A20" s="32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1"/>
      <c r="C20" s="3251"/>
      <c r="D20" s="3251"/>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945</v>
      </c>
      <c r="B22" s="3255"/>
      <c r="C22" s="3255"/>
      <c r="D22" s="3255"/>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52">
        <v>42551</v>
      </c>
      <c r="D31" s="32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65" t="s">
        <v>956</v>
      </c>
      <c r="B15" s="3260" t="s">
        <v>109</v>
      </c>
      <c r="C15" s="3261"/>
    </row>
    <row r="16" spans="1:7" ht="14">
      <c r="A16" s="3266"/>
      <c r="B16" s="3260" t="s">
        <v>42</v>
      </c>
      <c r="C16" s="3261"/>
    </row>
    <row r="17" spans="1:3" ht="14">
      <c r="A17" s="3266"/>
      <c r="B17" s="3263" t="s">
        <v>957</v>
      </c>
      <c r="C17" s="1429" t="s">
        <v>956</v>
      </c>
    </row>
    <row r="18" spans="1:3" ht="14">
      <c r="A18" s="3266"/>
      <c r="B18" s="3263"/>
      <c r="C18" s="1429" t="s">
        <v>958</v>
      </c>
    </row>
    <row r="19" spans="1:3" ht="14">
      <c r="A19" s="3266"/>
      <c r="B19" s="3263"/>
      <c r="C19" s="1429" t="s">
        <v>959</v>
      </c>
    </row>
    <row r="20" spans="1:3" ht="14">
      <c r="A20" s="3267"/>
      <c r="B20" s="3262" t="s">
        <v>960</v>
      </c>
      <c r="C20" s="3261"/>
    </row>
    <row r="21" spans="1:3" ht="14">
      <c r="A21" s="1430" t="s">
        <v>961</v>
      </c>
      <c r="B21" s="1431"/>
      <c r="C21" s="1432"/>
    </row>
    <row r="22" spans="1:3" ht="14">
      <c r="A22" s="3264" t="s">
        <v>962</v>
      </c>
      <c r="B22" s="3262" t="s">
        <v>963</v>
      </c>
      <c r="C22" s="3261"/>
    </row>
    <row r="23" spans="1:3" ht="14">
      <c r="A23" s="3264"/>
      <c r="B23" s="3262" t="s">
        <v>964</v>
      </c>
      <c r="C23" s="3261"/>
    </row>
    <row r="24" spans="1:3" ht="14">
      <c r="A24" s="3264"/>
      <c r="B24" s="3262" t="s">
        <v>965</v>
      </c>
      <c r="C24" s="3261"/>
    </row>
    <row r="25" spans="1:3" ht="14">
      <c r="A25" s="3264"/>
      <c r="B25" s="3263" t="s">
        <v>966</v>
      </c>
      <c r="C25" s="1429" t="s">
        <v>967</v>
      </c>
    </row>
    <row r="26" spans="1:3" ht="14">
      <c r="A26" s="3264"/>
      <c r="B26" s="3263"/>
      <c r="C26" s="1429" t="s">
        <v>968</v>
      </c>
    </row>
    <row r="27" spans="1:3" ht="14">
      <c r="A27" s="3264"/>
      <c r="B27" s="3263"/>
      <c r="C27" s="1429" t="s">
        <v>969</v>
      </c>
    </row>
    <row r="28" spans="1:3" ht="14">
      <c r="A28" s="3264"/>
      <c r="B28" s="3263"/>
      <c r="C28" s="1429" t="s">
        <v>970</v>
      </c>
    </row>
    <row r="29" spans="1:3" ht="14">
      <c r="A29" s="3264"/>
      <c r="B29" s="3263"/>
      <c r="C29" s="1429" t="s">
        <v>971</v>
      </c>
    </row>
    <row r="30" spans="1:3" ht="14">
      <c r="A30" s="3264"/>
      <c r="B30" s="3263"/>
      <c r="C30" s="1429" t="s">
        <v>972</v>
      </c>
    </row>
    <row r="31" spans="1:3" ht="14">
      <c r="A31" s="3264"/>
      <c r="B31" s="3263"/>
      <c r="C31" s="1429" t="s">
        <v>973</v>
      </c>
    </row>
    <row r="32" spans="1:3" ht="14">
      <c r="A32" s="3264"/>
      <c r="B32" s="3263"/>
      <c r="C32" s="1429" t="s">
        <v>974</v>
      </c>
    </row>
    <row r="33" spans="1:3" ht="14">
      <c r="A33" s="3264"/>
      <c r="B33" s="3263"/>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2137</v>
      </c>
      <c r="B2" s="2157">
        <f ca="1">TODAY()</f>
        <v>46027</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68" t="s">
        <v>2158</v>
      </c>
      <c r="B17" s="3268"/>
      <c r="C17" s="3268"/>
      <c r="D17" s="3268"/>
      <c r="E17" s="3268"/>
      <c r="F17" s="3268"/>
      <c r="G17" s="3268"/>
      <c r="H17" s="3268"/>
    </row>
    <row r="18" spans="1:8" ht="24" customHeight="1">
      <c r="A18" s="3269" t="s">
        <v>2159</v>
      </c>
      <c r="B18" s="3269"/>
      <c r="C18" s="3269"/>
      <c r="D18" s="2160"/>
      <c r="E18" s="3270" t="s">
        <v>2160</v>
      </c>
      <c r="F18" s="3269"/>
      <c r="G18" s="3269"/>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172</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典型户型修正</vt:lpstr>
      <vt:lpstr>租金案例</vt:lpstr>
      <vt:lpstr>面积信息</vt:lpstr>
      <vt:lpstr>项目信息</vt:lpstr>
      <vt:lpstr>比较法-商业售价</vt:lpstr>
      <vt:lpstr>收益法倒推</vt:lpstr>
      <vt:lpstr>售价案例</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2026-01-05T07:21:40Z</dcterms:modified>
</cp:coreProperties>
</file>