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D:\2025\2025-1-0808-通州区经海六路1号院1号楼7层708、709\2025-1-0808-通州区经海六路1号院1号楼7层708、709\F02\过程\"/>
    </mc:Choice>
  </mc:AlternateContent>
  <xr:revisionPtr revIDLastSave="0" documentId="13_ncr:1_{6E1EBD22-C02A-47E2-93C3-D416D768AE22}" xr6:coauthVersionLast="47" xr6:coauthVersionMax="47" xr10:uidLastSave="{00000000-0000-0000-0000-000000000000}"/>
  <bookViews>
    <workbookView xWindow="-108" yWindow="-108" windowWidth="23256" windowHeight="12576"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D33" i="43"/>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J1" i="73"/>
  <c r="AP6" i="1"/>
  <c r="AP7" i="1"/>
  <c r="AP8" i="1"/>
  <c r="AP9" i="1"/>
  <c r="AP10" i="1"/>
  <c r="AP11" i="1"/>
  <c r="AP12" i="1"/>
  <c r="AP13" i="1"/>
  <c r="G1" i="67"/>
  <c r="B43" i="1"/>
  <c r="B41" i="1" s="1"/>
  <c r="F32" i="67"/>
  <c r="H13" i="3"/>
  <c r="L19" i="6"/>
  <c r="B52" i="1"/>
  <c r="F34" i="67"/>
  <c r="F28"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E126" i="34"/>
  <c r="F126" i="34" s="1"/>
  <c r="G126" i="34" s="1"/>
  <c r="D126" i="34"/>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D13" i="1"/>
  <c r="A13" i="1"/>
  <c r="K13" i="1" s="1"/>
  <c r="M13" i="1" s="1"/>
  <c r="AG12" i="1"/>
  <c r="AE12" i="1"/>
  <c r="S12" i="1"/>
  <c r="AR12" i="1" s="1"/>
  <c r="P12" i="1"/>
  <c r="O12" i="1"/>
  <c r="M12" i="1"/>
  <c r="F12" i="1"/>
  <c r="E12" i="1"/>
  <c r="D12" i="1"/>
  <c r="B12" i="1"/>
  <c r="A12" i="1"/>
  <c r="K12" i="1" s="1"/>
  <c r="R12" i="1"/>
  <c r="AG11" i="1"/>
  <c r="AE11" i="1"/>
  <c r="R11" i="1"/>
  <c r="P11" i="1"/>
  <c r="O11" i="1"/>
  <c r="F11" i="1"/>
  <c r="D11" i="1"/>
  <c r="A11" i="1"/>
  <c r="K11" i="1" s="1"/>
  <c r="AG10" i="1"/>
  <c r="AE10" i="1"/>
  <c r="P10" i="1"/>
  <c r="O10" i="1"/>
  <c r="M10" i="1"/>
  <c r="F10" i="1"/>
  <c r="E10" i="1"/>
  <c r="D10" i="1"/>
  <c r="B10" i="1"/>
  <c r="A10" i="1"/>
  <c r="K10" i="1" s="1"/>
  <c r="R10" i="1"/>
  <c r="AG9" i="1"/>
  <c r="AE9" i="1"/>
  <c r="P9" i="1"/>
  <c r="O9" i="1"/>
  <c r="F9" i="1"/>
  <c r="D9" i="1"/>
  <c r="B9" i="1"/>
  <c r="E9" i="1" s="1"/>
  <c r="A9" i="1"/>
  <c r="AG8" i="1"/>
  <c r="AE8" i="1"/>
  <c r="P8" i="1"/>
  <c r="O8" i="1"/>
  <c r="F8" i="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G13" i="1"/>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G9" i="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B3" i="36"/>
  <c r="Z7" i="43"/>
  <c r="N370" i="46"/>
  <c r="B116" i="43"/>
  <c r="D118" i="43" s="1"/>
  <c r="N94" i="46"/>
  <c r="G8" i="1"/>
  <c r="G12" i="1"/>
  <c r="G10" i="1"/>
  <c r="C6" i="78"/>
  <c r="D6" i="78" s="1"/>
  <c r="C7" i="78"/>
  <c r="D7" i="78" s="1"/>
  <c r="C5" i="78"/>
  <c r="D5" i="78" s="1"/>
  <c r="T11"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W44" i="34"/>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F91" i="33"/>
  <c r="G91" i="33" s="1"/>
  <c r="H91" i="33" s="1"/>
  <c r="I91" i="33" s="1"/>
  <c r="J91" i="33" s="1"/>
  <c r="K91" i="33" s="1"/>
  <c r="L91" i="33" s="1"/>
  <c r="M91" i="33" s="1"/>
  <c r="H27" i="33"/>
  <c r="AB27" i="33" s="1"/>
  <c r="F28" i="15"/>
  <c r="F30" i="68"/>
  <c r="D68" i="9"/>
  <c r="F48" i="9"/>
  <c r="O52" i="9"/>
  <c r="F60" i="67"/>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C7" i="37"/>
  <c r="C52" i="37" s="1"/>
  <c r="M47" i="9"/>
  <c r="C7" i="35"/>
  <c r="C48" i="35"/>
  <c r="D48" i="35" s="1"/>
  <c r="C7" i="33"/>
  <c r="C58" i="33"/>
  <c r="D58" i="33" s="1"/>
  <c r="E58" i="33" s="1"/>
  <c r="C7" i="34"/>
  <c r="C59" i="34" s="1"/>
  <c r="T32" i="71"/>
  <c r="Q66" i="71"/>
  <c r="P66" i="71"/>
  <c r="P65" i="71"/>
  <c r="T60" i="71"/>
  <c r="AA26" i="35"/>
  <c r="T52" i="71"/>
  <c r="T64" i="71"/>
  <c r="T40" i="71"/>
  <c r="E38" i="77"/>
  <c r="E39" i="77"/>
  <c r="C21" i="71"/>
  <c r="D21" i="71" s="1"/>
  <c r="D22" i="71"/>
  <c r="D58" i="21"/>
  <c r="E58" i="21" s="1"/>
  <c r="F58" i="21" s="1"/>
  <c r="G58" i="21" s="1"/>
  <c r="H58" i="21"/>
  <c r="I58" i="21" s="1"/>
  <c r="J58" i="21" s="1"/>
  <c r="K58" i="21" s="1"/>
  <c r="L58" i="21" s="1"/>
  <c r="M58" i="21" s="1"/>
  <c r="N58" i="21" s="1"/>
  <c r="O58" i="21" s="1"/>
  <c r="C69" i="39"/>
  <c r="C20" i="71"/>
  <c r="C19" i="71" s="1"/>
  <c r="D69" i="39"/>
  <c r="F67" i="39"/>
  <c r="G67" i="39" s="1"/>
  <c r="G69" i="39" s="1"/>
  <c r="C19" i="69"/>
  <c r="F69" i="39"/>
  <c r="R26" i="31"/>
  <c r="S26" i="31" s="1"/>
  <c r="R27" i="31"/>
  <c r="S27" i="31" s="1"/>
  <c r="F42" i="15"/>
  <c r="D2" i="34"/>
  <c r="AO12" i="1"/>
  <c r="M28" i="15"/>
  <c r="M22" i="67"/>
  <c r="F40" i="15"/>
  <c r="B13" i="76"/>
  <c r="M8" i="67"/>
  <c r="AO13" i="1"/>
  <c r="D2" i="36"/>
  <c r="AO11" i="1"/>
  <c r="F7" i="73"/>
  <c r="D4" i="73"/>
  <c r="F37" i="15"/>
  <c r="M28" i="67"/>
  <c r="AO9" i="1"/>
  <c r="F41" i="15"/>
  <c r="D34" i="9"/>
  <c r="E10" i="76"/>
  <c r="F20" i="31"/>
  <c r="F7" i="15"/>
  <c r="E13" i="76"/>
  <c r="E9" i="76"/>
  <c r="M26" i="15"/>
  <c r="AO8" i="1"/>
  <c r="M6" i="15"/>
  <c r="E2" i="69"/>
  <c r="C76" i="15"/>
  <c r="AO10" i="1"/>
  <c r="E11" i="76"/>
  <c r="B11" i="76"/>
  <c r="M24" i="67"/>
  <c r="J15" i="15"/>
  <c r="M9" i="67"/>
  <c r="F13" i="15"/>
  <c r="E7" i="76"/>
  <c r="E8" i="76"/>
  <c r="L48" i="15"/>
  <c r="F37" i="67"/>
  <c r="D2" i="37"/>
  <c r="M27" i="15"/>
  <c r="E12" i="76"/>
  <c r="E2" i="68"/>
  <c r="D2" i="21"/>
  <c r="F40" i="67"/>
  <c r="F6" i="67"/>
  <c r="D3" i="73"/>
  <c r="B10" i="76"/>
  <c r="D35" i="9"/>
  <c r="L47" i="67"/>
  <c r="M6" i="67"/>
  <c r="M29" i="15"/>
  <c r="M9" i="15"/>
  <c r="D6" i="73"/>
  <c r="F38" i="67"/>
  <c r="F26" i="15"/>
  <c r="C76" i="67"/>
  <c r="F16" i="67"/>
  <c r="F3" i="73"/>
  <c r="D2" i="33"/>
  <c r="M21" i="15"/>
  <c r="F35" i="15"/>
  <c r="C14" i="15"/>
  <c r="F36" i="15"/>
  <c r="F36" i="67"/>
  <c r="M26" i="67"/>
  <c r="M8" i="15"/>
  <c r="L47" i="15"/>
  <c r="F5" i="73"/>
  <c r="F38" i="15"/>
  <c r="D7" i="73"/>
  <c r="F16" i="15"/>
  <c r="F8" i="15"/>
  <c r="M27" i="67"/>
  <c r="M23" i="15"/>
  <c r="B12" i="76"/>
  <c r="F4" i="73"/>
  <c r="M22" i="15"/>
  <c r="B9" i="76"/>
  <c r="F8" i="67"/>
  <c r="F26" i="67"/>
  <c r="M24" i="15"/>
  <c r="F9" i="15"/>
  <c r="F9" i="67"/>
  <c r="AO7" i="1"/>
  <c r="M23" i="67"/>
  <c r="D5" i="73"/>
  <c r="B7" i="76"/>
  <c r="F42" i="67"/>
  <c r="J15" i="67"/>
  <c r="F43" i="15"/>
  <c r="F6" i="15"/>
  <c r="B8" i="76"/>
  <c r="F6" i="73"/>
  <c r="D2" i="35"/>
  <c r="B15" i="71" l="1"/>
  <c r="B14" i="71" s="1"/>
  <c r="B13" i="71" s="1"/>
  <c r="B12" i="71" s="1"/>
  <c r="S16" i="71"/>
  <c r="D19" i="71"/>
  <c r="C18" i="71"/>
  <c r="B2" i="77"/>
  <c r="B3" i="77" s="1"/>
  <c r="C41" i="77"/>
  <c r="D59" i="34"/>
  <c r="E59" i="34" s="1"/>
  <c r="F59" i="34" s="1"/>
  <c r="G59" i="34" s="1"/>
  <c r="H59" i="34" s="1"/>
  <c r="I59" i="34" s="1"/>
  <c r="J59" i="34" s="1"/>
  <c r="K59" i="34" s="1"/>
  <c r="L59" i="34" s="1"/>
  <c r="M59" i="34" s="1"/>
  <c r="N59" i="34" s="1"/>
  <c r="O59" i="34" s="1"/>
  <c r="J7" i="34"/>
  <c r="F7" i="34"/>
  <c r="H67" i="39"/>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G5" i="3" s="1"/>
  <c r="B3" i="3" s="1"/>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T8"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BA5" i="3"/>
  <c r="E27" i="6"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J7" i="35"/>
  <c r="D52" i="37"/>
  <c r="I24" i="43"/>
  <c r="C24" i="43" s="1"/>
  <c r="F58" i="33"/>
  <c r="H7" i="34"/>
  <c r="F7" i="21"/>
  <c r="J7" i="21"/>
  <c r="H7" i="21"/>
  <c r="C65" i="40"/>
  <c r="D63" i="40"/>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9" i="67"/>
  <c r="N59" i="67"/>
  <c r="Q71" i="67"/>
  <c r="G1" i="73"/>
  <c r="B40" i="1" s="1"/>
  <c r="C16" i="15"/>
  <c r="M29" i="67"/>
  <c r="F7" i="67"/>
  <c r="F43" i="67"/>
  <c r="C17" i="15"/>
  <c r="L48" i="67"/>
  <c r="J57" i="67" l="1"/>
  <c r="J55" i="67" s="1"/>
  <c r="J58" i="67" s="1"/>
  <c r="Q50" i="67" s="1"/>
  <c r="L58" i="67"/>
  <c r="L60" i="67"/>
  <c r="L56" i="67"/>
  <c r="L57" i="67"/>
  <c r="I54" i="67"/>
  <c r="J53" i="67"/>
  <c r="G6" i="1"/>
  <c r="D58" i="78"/>
  <c r="D62" i="78" s="1"/>
  <c r="C62" i="78" s="1"/>
  <c r="D87" i="71"/>
  <c r="C86" i="71"/>
  <c r="D86" i="71" s="1"/>
  <c r="AA40" i="40"/>
  <c r="S40" i="40"/>
  <c r="AA25" i="35"/>
  <c r="S25" i="35"/>
  <c r="U45" i="33"/>
  <c r="AB45" i="33"/>
  <c r="AZ472" i="3"/>
  <c r="AZ418" i="3"/>
  <c r="AZ156" i="3"/>
  <c r="AZ304" i="3"/>
  <c r="AZ63" i="3"/>
  <c r="BL5" i="3"/>
  <c r="F7" i="36"/>
  <c r="AH46" i="79"/>
  <c r="W46" i="79"/>
  <c r="AK46" i="79" s="1"/>
  <c r="AH5" i="79"/>
  <c r="W5" i="79"/>
  <c r="AB40" i="40"/>
  <c r="U40" i="40"/>
  <c r="AA14" i="21"/>
  <c r="S14" i="21"/>
  <c r="U12" i="35"/>
  <c r="AB12" i="35"/>
  <c r="AA45" i="33"/>
  <c r="S45" i="33"/>
  <c r="AZ457" i="3"/>
  <c r="AZ353" i="3"/>
  <c r="AZ385" i="3"/>
  <c r="AZ76" i="3"/>
  <c r="AZ51" i="3"/>
  <c r="H69" i="39"/>
  <c r="I67" i="39"/>
  <c r="AA7" i="34"/>
  <c r="S7" i="34"/>
  <c r="F7" i="35"/>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AC7" i="34"/>
  <c r="W7" i="34"/>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C77" i="9"/>
  <c r="C74" i="9" s="1"/>
  <c r="C24" i="12"/>
  <c r="C13" i="12"/>
  <c r="C48" i="69"/>
  <c r="C30" i="69"/>
  <c r="C28" i="15"/>
  <c r="C31" i="12"/>
  <c r="W33" i="40"/>
  <c r="AC33" i="40"/>
  <c r="U39" i="37"/>
  <c r="AB39" i="37"/>
  <c r="U9" i="34"/>
  <c r="AB9" i="34"/>
  <c r="AZ505" i="3"/>
  <c r="W47" i="34"/>
  <c r="AC47" i="34"/>
  <c r="AZ315" i="3"/>
  <c r="AZ264" i="3"/>
  <c r="H7" i="36"/>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E51" i="40"/>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W7" i="36"/>
  <c r="AC7" i="36"/>
  <c r="V36" i="36" s="1"/>
  <c r="I36" i="36" s="1"/>
  <c r="S7" i="35"/>
  <c r="AA7" i="35"/>
  <c r="R38" i="35" s="1"/>
  <c r="AA7" i="21"/>
  <c r="R48" i="21" s="1"/>
  <c r="S7" i="21"/>
  <c r="E52" i="37"/>
  <c r="W7" i="35"/>
  <c r="AC7" i="35"/>
  <c r="V38" i="35" s="1"/>
  <c r="I38" i="35" s="1"/>
  <c r="AB7" i="21"/>
  <c r="T48" i="21" s="1"/>
  <c r="G48" i="21" s="1"/>
  <c r="U7" i="21"/>
  <c r="J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15"/>
  <c r="C33" i="15"/>
  <c r="F13" i="67"/>
  <c r="C16" i="67"/>
  <c r="AE6" i="1"/>
  <c r="E3" i="6" l="1"/>
  <c r="AY6" i="3"/>
  <c r="D17" i="53"/>
  <c r="B36" i="72" s="1"/>
  <c r="B34" i="72"/>
  <c r="F30" i="6"/>
  <c r="F31" i="6" s="1"/>
  <c r="E28" i="6"/>
  <c r="D125" i="9"/>
  <c r="D11" i="52" s="1"/>
  <c r="D10" i="52"/>
  <c r="D18" i="53"/>
  <c r="B35" i="72" s="1"/>
  <c r="C7" i="74"/>
  <c r="V16" i="71"/>
  <c r="E15" i="71"/>
  <c r="E14" i="71" s="1"/>
  <c r="E13" i="71" s="1"/>
  <c r="E12" i="71" s="1"/>
  <c r="I69" i="39"/>
  <c r="J67" i="39"/>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U10" i="39"/>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AC10" i="39"/>
  <c r="W10" i="39"/>
  <c r="AC10" i="40"/>
  <c r="W10" i="40"/>
  <c r="F63" i="40"/>
  <c r="E65" i="40"/>
  <c r="G40" i="36"/>
  <c r="H40" i="36" s="1"/>
  <c r="G41" i="36"/>
  <c r="H41" i="36" s="1"/>
  <c r="H58" i="33"/>
  <c r="S10" i="40"/>
  <c r="R49" i="21"/>
  <c r="E48" i="21"/>
  <c r="I40" i="36"/>
  <c r="J40" i="36" s="1"/>
  <c r="J26" i="15"/>
  <c r="J29" i="15" s="1"/>
  <c r="J24" i="15"/>
  <c r="C44" i="69"/>
  <c r="D41" i="69" s="1"/>
  <c r="C26" i="69"/>
  <c r="D22" i="69" s="1"/>
  <c r="C24" i="69"/>
  <c r="F41" i="69"/>
  <c r="C20" i="15"/>
  <c r="C44" i="11"/>
  <c r="D41" i="11" s="1"/>
  <c r="C26" i="11"/>
  <c r="D22" i="11" s="1"/>
  <c r="C23" i="11"/>
  <c r="C31" i="15"/>
  <c r="P36" i="43"/>
  <c r="O36" i="43"/>
  <c r="N36" i="43"/>
  <c r="M36" i="43"/>
  <c r="L37" i="43"/>
  <c r="Q36" i="43"/>
  <c r="C10" i="67"/>
  <c r="C5" i="67" s="1"/>
  <c r="C53" i="15"/>
  <c r="C48" i="15" s="1"/>
  <c r="C10" i="15"/>
  <c r="C5" i="15" s="1"/>
  <c r="C44" i="68"/>
  <c r="D41" i="68" s="1"/>
  <c r="C26" i="68"/>
  <c r="D22" i="68" s="1"/>
  <c r="F41" i="68"/>
  <c r="F41" i="67"/>
  <c r="E11" i="71" l="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K67" i="39"/>
  <c r="J69" i="39"/>
  <c r="D36" i="71"/>
  <c r="T36" i="71"/>
  <c r="U10" i="40"/>
  <c r="E6" i="3"/>
  <c r="C61" i="67"/>
  <c r="F69"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H25" i="6"/>
  <c r="H24" i="6"/>
  <c r="D29" i="6"/>
  <c r="D22" i="6"/>
  <c r="D8" i="6"/>
  <c r="D15" i="6"/>
  <c r="D21" i="6"/>
  <c r="H26" i="6"/>
  <c r="D23" i="6"/>
  <c r="D9" i="6"/>
  <c r="D28" i="6"/>
  <c r="D20" i="6"/>
  <c r="L19" i="9"/>
  <c r="D25" i="6"/>
  <c r="D12" i="6"/>
  <c r="D6" i="6"/>
  <c r="H23" i="6"/>
  <c r="H20" i="6"/>
  <c r="H21" i="6"/>
  <c r="D26" i="6"/>
  <c r="R26" i="6" s="1"/>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C14" i="71" l="1"/>
  <c r="D15" i="71"/>
  <c r="K27" i="6"/>
  <c r="M19" i="6"/>
  <c r="S6" i="1"/>
  <c r="R22" i="6"/>
  <c r="L67" i="39"/>
  <c r="K69" i="39"/>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R23" i="6"/>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4" i="67"/>
  <c r="C17" i="67"/>
  <c r="C18" i="67" l="1"/>
  <c r="C15" i="67"/>
  <c r="C19" i="67"/>
  <c r="C20" i="67" s="1"/>
  <c r="C26" i="67" s="1"/>
  <c r="B29" i="1"/>
  <c r="V18" i="1"/>
  <c r="C38" i="69"/>
  <c r="C35" i="69"/>
  <c r="C33" i="69" s="1"/>
  <c r="D14" i="71"/>
  <c r="C13" i="71"/>
  <c r="L16" i="1"/>
  <c r="C34" i="68"/>
  <c r="C34" i="11"/>
  <c r="N16" i="1"/>
  <c r="L69" i="39"/>
  <c r="M67" i="39"/>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23" i="67" l="1"/>
  <c r="C29" i="67" s="1"/>
  <c r="C13" i="67" s="1"/>
  <c r="C56" i="67" s="1"/>
  <c r="C65" i="67" s="1"/>
  <c r="C39" i="69"/>
  <c r="C46" i="69" s="1"/>
  <c r="C45" i="69" s="1"/>
  <c r="C42" i="69"/>
  <c r="I27" i="6"/>
  <c r="S19" i="6"/>
  <c r="S27" i="6" s="1"/>
  <c r="H19" i="6"/>
  <c r="C35" i="68"/>
  <c r="C38" i="68"/>
  <c r="C33" i="68"/>
  <c r="C39" i="68" s="1"/>
  <c r="C43" i="68" s="1"/>
  <c r="F50" i="69"/>
  <c r="F50" i="68"/>
  <c r="F50" i="11"/>
  <c r="D13" i="71"/>
  <c r="C12" i="71"/>
  <c r="C38" i="11"/>
  <c r="C33" i="11" s="1"/>
  <c r="C35" i="11"/>
  <c r="N67" i="39"/>
  <c r="M69" i="39"/>
  <c r="C8" i="68"/>
  <c r="C5" i="68" s="1"/>
  <c r="C23" i="68" s="1"/>
  <c r="C18" i="12"/>
  <c r="C21" i="12" s="1"/>
  <c r="C22" i="12" s="1"/>
  <c r="C30" i="12" s="1"/>
  <c r="C28" i="12" s="1"/>
  <c r="E34" i="43"/>
  <c r="C31" i="43" s="1"/>
  <c r="C36" i="67"/>
  <c r="Q49" i="67"/>
  <c r="C37" i="67"/>
  <c r="C57" i="67"/>
  <c r="C64" i="67" s="1"/>
  <c r="Q70" i="67"/>
  <c r="J14" i="67"/>
  <c r="J13" i="67" s="1"/>
  <c r="J23" i="67" s="1"/>
  <c r="C75" i="67"/>
  <c r="J59" i="67"/>
  <c r="J60" i="67" s="1"/>
  <c r="Q48" i="67" s="1"/>
  <c r="C50" i="34"/>
  <c r="C49" i="34"/>
  <c r="I5" i="6"/>
  <c r="I6" i="6"/>
  <c r="C24" i="68"/>
  <c r="C42"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42" i="11" l="1"/>
  <c r="C39" i="11"/>
  <c r="C43" i="11" s="1"/>
  <c r="C27" i="12"/>
  <c r="C25" i="12" s="1"/>
  <c r="C32" i="12" s="1"/>
  <c r="B2" i="12" s="1"/>
  <c r="B3" i="12" s="1"/>
  <c r="H7" i="39"/>
  <c r="J7" i="39"/>
  <c r="C20" i="68"/>
  <c r="C25" i="68" s="1"/>
  <c r="C22" i="68" s="1"/>
  <c r="C43" i="69"/>
  <c r="C41" i="69" s="1"/>
  <c r="H27" i="6"/>
  <c r="R19" i="6"/>
  <c r="N69" i="39"/>
  <c r="F7" i="39" s="1"/>
  <c r="O67" i="39"/>
  <c r="O69" i="39" s="1"/>
  <c r="T12" i="71"/>
  <c r="D12" i="71"/>
  <c r="U12" i="71" s="1"/>
  <c r="C11" i="71"/>
  <c r="L46" i="67"/>
  <c r="J22" i="67"/>
  <c r="C41" i="68"/>
  <c r="B3" i="34"/>
  <c r="B2" i="34"/>
  <c r="C46" i="68"/>
  <c r="C45" i="68" s="1"/>
  <c r="C28" i="68"/>
  <c r="C27" i="68" s="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AA7" i="39" l="1"/>
  <c r="R47" i="39" s="1"/>
  <c r="S7" i="39"/>
  <c r="R27" i="6"/>
  <c r="R6" i="1"/>
  <c r="AC7" i="39"/>
  <c r="V47" i="39" s="1"/>
  <c r="I47" i="39" s="1"/>
  <c r="W7" i="39"/>
  <c r="U7" i="39"/>
  <c r="AB7" i="39"/>
  <c r="T47" i="39" s="1"/>
  <c r="G47" i="39" s="1"/>
  <c r="C10" i="71"/>
  <c r="D11" i="71"/>
  <c r="C46" i="11"/>
  <c r="C45" i="11" s="1"/>
  <c r="C41" i="11"/>
  <c r="C49" i="11" s="1"/>
  <c r="C51" i="11" s="1"/>
  <c r="C52" i="11" s="1"/>
  <c r="B2" i="11" s="1"/>
  <c r="B3" i="11" s="1"/>
  <c r="Q67" i="15"/>
  <c r="L57" i="15"/>
  <c r="L60" i="15" s="1"/>
  <c r="Q57" i="15" s="1"/>
  <c r="Q62" i="15" s="1"/>
  <c r="C31" i="68"/>
  <c r="C49" i="68"/>
  <c r="C51" i="68" s="1"/>
  <c r="Q47" i="15"/>
  <c r="Q53" i="15" s="1"/>
  <c r="B2" i="15"/>
  <c r="B3" i="15" s="1"/>
  <c r="C31" i="69"/>
  <c r="C52" i="69" s="1"/>
  <c r="B2" i="69" s="1"/>
  <c r="B3" i="69" s="1"/>
  <c r="C43" i="15"/>
  <c r="B2" i="76"/>
  <c r="B3" i="76" s="1"/>
  <c r="C83" i="15"/>
  <c r="C82" i="15" s="1"/>
  <c r="Q65" i="15"/>
  <c r="C46" i="15"/>
  <c r="L63" i="40"/>
  <c r="K65" i="40"/>
  <c r="E53" i="33"/>
  <c r="F53" i="33" s="1"/>
  <c r="E52" i="33"/>
  <c r="F52" i="33" s="1"/>
  <c r="C49" i="33"/>
  <c r="C48" i="33"/>
  <c r="M21" i="67"/>
  <c r="F35" i="67"/>
  <c r="C34" i="67" l="1"/>
  <c r="C31" i="67" s="1"/>
  <c r="C30" i="67" s="1"/>
  <c r="C39" i="67" s="1"/>
  <c r="F63" i="67"/>
  <c r="C62" i="67" s="1"/>
  <c r="C59" i="67" s="1"/>
  <c r="C58" i="67" s="1"/>
  <c r="C67" i="67" s="1"/>
  <c r="C68" i="67" s="1"/>
  <c r="C71" i="67" s="1"/>
  <c r="J20" i="67"/>
  <c r="J17" i="67" s="1"/>
  <c r="J16" i="67" s="1"/>
  <c r="J25" i="67" s="1"/>
  <c r="C9" i="71"/>
  <c r="D10" i="71"/>
  <c r="I51" i="39"/>
  <c r="J51" i="39" s="1"/>
  <c r="R16" i="1"/>
  <c r="G52" i="39"/>
  <c r="H52" i="39" s="1"/>
  <c r="G51" i="39"/>
  <c r="H51" i="39" s="1"/>
  <c r="E47" i="39"/>
  <c r="R48" i="39"/>
  <c r="Q66" i="15"/>
  <c r="Q75" i="15" s="1"/>
  <c r="C52" i="68"/>
  <c r="C57" i="68" s="1"/>
  <c r="C56" i="68" s="1"/>
  <c r="C56" i="11"/>
  <c r="C57" i="11" s="1"/>
  <c r="C57" i="69"/>
  <c r="C56" i="69" s="1"/>
  <c r="B2" i="33"/>
  <c r="B3" i="33"/>
  <c r="L65" i="40"/>
  <c r="M63" i="40"/>
  <c r="Q69" i="67" l="1"/>
  <c r="Q68" i="67" s="1"/>
  <c r="C40" i="67"/>
  <c r="C80" i="67"/>
  <c r="C79" i="67" s="1"/>
  <c r="E51" i="39"/>
  <c r="F51" i="39" s="1"/>
  <c r="E52" i="39"/>
  <c r="F52" i="39" s="1"/>
  <c r="C48" i="39"/>
  <c r="C47" i="39"/>
  <c r="I52" i="39"/>
  <c r="J52" i="39" s="1"/>
  <c r="C45" i="67"/>
  <c r="C46" i="67" s="1"/>
  <c r="C8" i="71"/>
  <c r="D9" i="71"/>
  <c r="B2" i="68"/>
  <c r="B3" i="68" s="1"/>
  <c r="N63" i="40"/>
  <c r="M65" i="40"/>
  <c r="L51" i="67"/>
  <c r="C20" i="9"/>
  <c r="C19" i="9"/>
  <c r="Q67" i="67" l="1"/>
  <c r="C7" i="71"/>
  <c r="D8" i="71"/>
  <c r="B60" i="39"/>
  <c r="F60" i="39" s="1"/>
  <c r="B57" i="39"/>
  <c r="F57" i="39" s="1"/>
  <c r="B58" i="39"/>
  <c r="F58" i="39" s="1"/>
  <c r="B62" i="39"/>
  <c r="F62" i="39" s="1"/>
  <c r="B59" i="39"/>
  <c r="F59" i="39" s="1"/>
  <c r="B63" i="39"/>
  <c r="F63" i="39" s="1"/>
  <c r="B61" i="39"/>
  <c r="F61" i="39" s="1"/>
  <c r="B56" i="39"/>
  <c r="F56" i="39" s="1"/>
  <c r="F65" i="39" s="1"/>
  <c r="B2" i="39" s="1"/>
  <c r="B3" i="39" s="1"/>
  <c r="B64" i="39"/>
  <c r="F64" i="39" s="1"/>
  <c r="C83" i="67"/>
  <c r="C82" i="67" s="1"/>
  <c r="Q47" i="67"/>
  <c r="Q53" i="67" s="1"/>
  <c r="C43" i="67"/>
  <c r="Q56" i="67"/>
  <c r="Q62" i="67" s="1"/>
  <c r="D2" i="67"/>
  <c r="Q65" i="67"/>
  <c r="Q75" i="67" s="1"/>
  <c r="C102" i="9"/>
  <c r="C21" i="9"/>
  <c r="C103" i="9"/>
  <c r="O63" i="40"/>
  <c r="O65" i="40" s="1"/>
  <c r="N65" i="40"/>
  <c r="B3" i="67" l="1"/>
  <c r="B2" i="67"/>
  <c r="C6" i="71"/>
  <c r="D7" i="71"/>
  <c r="J7" i="40"/>
  <c r="H7" i="40"/>
  <c r="F7" i="40"/>
  <c r="AO6" i="1"/>
  <c r="D19" i="9"/>
  <c r="D20" i="9"/>
  <c r="D103" i="9" l="1"/>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C35" i="9"/>
  <c r="G118" i="9" s="1"/>
  <c r="I118" i="9"/>
  <c r="F14" i="74"/>
  <c r="E14" i="74"/>
  <c r="B5" i="74"/>
  <c r="G14" i="74"/>
  <c r="B6" i="74" s="1"/>
  <c r="D6" i="74" s="1"/>
  <c r="E46" i="40"/>
  <c r="F46" i="40" s="1"/>
  <c r="E47" i="40"/>
  <c r="F47" i="40" s="1"/>
  <c r="C42" i="40"/>
  <c r="C43" i="40"/>
  <c r="I47" i="40"/>
  <c r="J47" i="40" s="1"/>
  <c r="F118" i="9" l="1"/>
  <c r="G4" i="52"/>
  <c r="B52" i="72" s="1"/>
  <c r="D5" i="74"/>
  <c r="S24" i="31"/>
  <c r="R25" i="31"/>
  <c r="S25" i="31" s="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H119" i="9" l="1"/>
  <c r="H5" i="52" s="1"/>
  <c r="C104" i="9"/>
  <c r="H4" i="52"/>
  <c r="H101" i="9"/>
  <c r="S22" i="31"/>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C95" i="9" s="1"/>
  <c r="D52" i="9"/>
  <c r="C72" i="9"/>
  <c r="C79" i="9" s="1"/>
  <c r="D53" i="9"/>
  <c r="M49" i="9"/>
  <c r="D13" i="53"/>
  <c r="H108" i="9"/>
  <c r="D107" i="9" s="1"/>
  <c r="D122" i="9"/>
  <c r="C80" i="9" l="1"/>
  <c r="E80" i="9" s="1"/>
  <c r="E81" i="9" s="1"/>
  <c r="L66" i="9"/>
  <c r="M66" i="9" s="1"/>
  <c r="L65" i="9"/>
  <c r="M65" i="9" s="1"/>
  <c r="L67" i="9"/>
  <c r="M67" i="9" s="1"/>
  <c r="L63" i="9"/>
  <c r="M63" i="9" s="1"/>
  <c r="L68" i="9"/>
  <c r="M68" i="9" s="1"/>
  <c r="L64" i="9"/>
  <c r="M64" i="9" s="1"/>
  <c r="C96" i="9"/>
  <c r="E96" i="9" s="1"/>
  <c r="E97" i="9" s="1"/>
  <c r="C97" i="9"/>
  <c r="D58" i="9" s="1"/>
  <c r="D56" i="9" s="1"/>
  <c r="M54" i="9" s="1"/>
  <c r="N57" i="9" s="1"/>
  <c r="N59" i="9" s="1"/>
  <c r="D59" i="9"/>
  <c r="M55" i="9" s="1"/>
  <c r="C68" i="9"/>
  <c r="D54" i="9" s="1"/>
  <c r="D14" i="53"/>
  <c r="B32" i="72" s="1"/>
  <c r="B30" i="72"/>
  <c r="D123" i="9"/>
  <c r="D9" i="52" s="1"/>
  <c r="D8" i="52"/>
  <c r="C6" i="74"/>
  <c r="D15" i="53"/>
  <c r="B31" i="72" s="1"/>
  <c r="N60" i="9" l="1"/>
  <c r="N61" i="9"/>
  <c r="N58" i="9"/>
  <c r="P57" i="9"/>
  <c r="M69" i="9"/>
  <c r="N69"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<sst xmlns="http://schemas.openxmlformats.org/spreadsheetml/2006/main" count="8077" uniqueCount="2805">
  <si>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</si>
  <si>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</si>
  <si>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</si>
  <si>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</si>
  <si>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</si>
  <si>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</si>
  <si>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</si>
  <si>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</si>
  <si>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</si>
  <si>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</si>
  <si>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</si>
  <si>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</si>
  <si>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</si>
  <si>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</si>
  <si>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</si>
  <si>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</si>
  <si>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</si>
  <si>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</si>
  <si>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</si>
  <si>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</si>
  <si>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</si>
  <si>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</si>
  <si>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</si>
  <si>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</si>
  <si>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</si>
  <si>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</si>
  <si>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</si>
  <si>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</si>
  <si>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</si>
  <si>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</si>
  <si>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</si>
  <si>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</si>
  <si>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</si>
  <si>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</si>
  <si>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</si>
  <si>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</si>
  <si>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</si>
  <si>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</si>
  <si>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</si>
  <si>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</si>
  <si>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</si>
  <si>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</si>
  <si>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</si>
  <si>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</si>
  <si>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</si>
  <si>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</si>
  <si>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</si>
  <si>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</si>
  <si>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</si>
  <si>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</si>
  <si>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</si>
  <si>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</si>
  <si>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</si>
  <si>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</si>
  <si>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</si>
  <si>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</si>
  <si>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</si>
  <si>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</si>
  <si>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</si>
  <si>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</si>
  <si>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</si>
  <si>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</si>
  <si>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</si>
  <si>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</si>
  <si>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</si>
  <si>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</si>
  <si>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</si>
  <si>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</si>
  <si>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</si>
  <si>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</si>
  <si>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</si>
  <si>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</si>
  <si>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</si>
  <si>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</si>
  <si>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</si>
  <si>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</si>
  <si>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</si>
  <si>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</si>
  <si>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</si>
  <si>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</si>
  <si>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</si>
  <si>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</si>
  <si>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</si>
  <si>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</si>
  <si>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</si>
  <si>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</si>
  <si>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</si>
  <si>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</si>
  <si>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</si>
  <si>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</si>
  <si>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</si>
  <si>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</si>
  <si>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</si>
  <si>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</si>
  <si>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</si>
  <si>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</si>
  <si>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</si>
  <si>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</si>
  <si>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</si>
  <si>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</si>
  <si>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</si>
  <si>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</si>
  <si>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</si>
  <si>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</si>
  <si>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</si>
  <si>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</si>
  <si>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</si>
  <si>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</si>
  <si>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</si>
  <si>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</si>
  <si>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</si>
  <si>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</si>
  <si>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</si>
  <si>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</si>
  <si>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</si>
  <si>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</si>
  <si>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</si>
  <si>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</si>
  <si>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</si>
  <si>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</si>
  <si>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</si>
  <si>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</si>
  <si>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</si>
  <si>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</si>
  <si>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</si>
  <si>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</si>
  <si>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</si>
  <si>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</si>
  <si>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</si>
  <si>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</si>
  <si>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</si>
  <si>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</si>
  <si>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</si>
  <si>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</si>
  <si>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</si>
  <si>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</si>
  <si>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</si>
  <si>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</si>
  <si>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</si>
  <si>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</si>
  <si>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</si>
  <si>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</si>
  <si>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</si>
  <si>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</si>
  <si>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</si>
  <si>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</si>
  <si>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</si>
  <si>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</si>
  <si>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</si>
  <si>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</si>
  <si>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</si>
  <si>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</si>
  <si>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</si>
  <si>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</si>
  <si>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</si>
  <si>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</si>
  <si>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</si>
  <si>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</si>
  <si>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</si>
  <si>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</si>
  <si>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</si>
  <si>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</si>
  <si>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</si>
  <si>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</si>
  <si>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</si>
  <si>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</si>
  <si>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</si>
  <si>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</si>
  <si>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</si>
  <si>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</si>
  <si>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</si>
  <si>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</si>
  <si>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</si>
  <si>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</si>
  <si>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</si>
  <si>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</si>
  <si>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</si>
  <si>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</si>
  <si>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</si>
  <si>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</si>
  <si>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</si>
  <si>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</si>
  <si>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</si>
  <si>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</si>
  <si>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</si>
  <si>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</si>
  <si>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</si>
  <si>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</si>
  <si>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</si>
  <si>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</si>
  <si>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</si>
  <si>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</si>
  <si>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</si>
  <si>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</si>
  <si>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</si>
  <si>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</si>
  <si>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</si>
  <si>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</si>
  <si>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</si>
  <si>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</si>
  <si>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</si>
  <si>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</si>
  <si>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</si>
  <si>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</si>
  <si>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</si>
  <si>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</si>
  <si>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</si>
  <si>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</si>
  <si>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</si>
  <si>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</si>
  <si>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</si>
  <si>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</si>
  <si>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</si>
  <si>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</si>
  <si>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</si>
  <si>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</si>
  <si>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</si>
  <si>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</si>
  <si>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</si>
  <si>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</si>
  <si>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</si>
  <si>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</si>
  <si>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</si>
  <si>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</si>
  <si>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</si>
  <si>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</si>
  <si>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</si>
  <si>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</si>
  <si>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</si>
  <si>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</si>
  <si>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</si>
  <si>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</si>
  <si>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</si>
  <si>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</si>
  <si>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</si>
  <si>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</si>
  <si>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</si>
  <si>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</si>
  <si>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</si>
  <si>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</si>
  <si>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</si>
  <si>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</si>
  <si>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</si>
  <si>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</si>
  <si>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</si>
  <si>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</si>
  <si>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</si>
  <si>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</si>
  <si>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</si>
  <si>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</si>
  <si>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</si>
  <si>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</si>
  <si>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</si>
  <si>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</si>
  <si>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</si>
  <si>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</si>
  <si>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</si>
  <si>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</si>
  <si>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</si>
  <si>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</si>
  <si>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</si>
  <si>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</si>
  <si>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</si>
  <si>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</si>
  <si>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</si>
  <si>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</si>
  <si>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</si>
  <si>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</si>
  <si>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</si>
  <si>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</si>
  <si>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</si>
  <si>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</si>
  <si>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</si>
  <si>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</si>
  <si>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</si>
  <si>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</si>
  <si>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</si>
  <si>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</si>
  <si>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</si>
  <si>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</si>
  <si>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</si>
  <si>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</si>
  <si>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</si>
  <si>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</si>
  <si>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</si>
  <si>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</si>
  <si>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</si>
  <si>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</si>
  <si>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</si>
  <si>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</si>
  <si>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</si>
  <si>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</si>
  <si>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</si>
  <si>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</si>
  <si>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</si>
  <si>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</si>
  <si>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</si>
  <si>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</si>
  <si>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</si>
  <si>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</si>
  <si>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</si>
  <si>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</si>
  <si>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</si>
  <si>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</si>
  <si>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</si>
  <si>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</si>
  <si>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</si>
  <si>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</si>
  <si>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</si>
  <si>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</si>
  <si>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</si>
  <si>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</si>
  <si>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</si>
  <si>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</si>
  <si>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</si>
  <si>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</si>
  <si>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</si>
  <si>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</si>
  <si>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</si>
  <si>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</si>
  <si>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</si>
  <si>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</si>
  <si>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</si>
  <si>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</si>
  <si>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</si>
  <si>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</si>
  <si>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</si>
  <si>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</si>
  <si>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</si>
  <si>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</si>
  <si>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</si>
  <si>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</si>
  <si>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</si>
  <si>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</si>
  <si>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</si>
  <si>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</si>
  <si>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</si>
  <si>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</si>
  <si>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</si>
  <si>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</si>
  <si>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</si>
  <si>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</si>
  <si>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</si>
  <si>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</si>
  <si>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</si>
  <si>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</si>
  <si>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</si>
  <si>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</si>
  <si>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</si>
  <si>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</si>
  <si>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</si>
  <si>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</si>
  <si>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</si>
  <si>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</si>
  <si>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</si>
  <si>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</si>
  <si>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</si>
  <si>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</si>
  <si>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</si>
  <si>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</si>
  <si>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</si>
  <si>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</si>
  <si>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</si>
  <si>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</si>
  <si>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</si>
  <si>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</si>
  <si>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</si>
  <si>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</si>
  <si>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</si>
  <si>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</si>
  <si>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</si>
  <si>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</si>
  <si>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</si>
  <si>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</si>
  <si>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</si>
  <si>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</si>
  <si>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</si>
  <si>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</si>
  <si>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</si>
  <si>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</si>
  <si>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</si>
  <si>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</si>
  <si>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</si>
  <si>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</si>
  <si>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</si>
  <si>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</si>
  <si>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</si>
  <si>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</si>
  <si>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</si>
  <si>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</si>
  <si>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</si>
  <si>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</si>
  <si>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</si>
  <si>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</si>
  <si>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</si>
  <si>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</si>
  <si>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</si>
  <si>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</si>
  <si>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</si>
  <si>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</si>
  <si>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</si>
  <si>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</si>
  <si>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</si>
  <si>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</si>
  <si>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</si>
  <si>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</si>
  <si>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</si>
  <si>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</si>
  <si>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</si>
  <si>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</si>
  <si>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</si>
  <si>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</si>
  <si>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</si>
  <si>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</si>
  <si>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</si>
  <si>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</si>
  <si>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</si>
  <si>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</si>
  <si>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</si>
  <si>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</si>
  <si>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</si>
  <si>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</si>
  <si>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</si>
  <si>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</si>
  <si>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</si>
  <si>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</si>
  <si>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</si>
  <si>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</si>
  <si>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</si>
  <si>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</si>
  <si>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</si>
  <si>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</si>
  <si>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</si>
  <si>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</si>
  <si>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</si>
  <si>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</si>
  <si>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</si>
  <si>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</si>
  <si>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</si>
  <si>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</si>
  <si>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</si>
  <si>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</si>
  <si>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</si>
  <si>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</si>
  <si>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</si>
  <si>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</si>
  <si>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</si>
  <si>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</si>
  <si>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</si>
  <si>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</si>
  <si>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</si>
  <si>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</si>
  <si>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</si>
  <si>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</si>
  <si>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</si>
  <si>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</si>
  <si>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</si>
  <si>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</si>
  <si>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</si>
  <si>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</si>
  <si>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</si>
  <si>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</si>
  <si>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</si>
  <si>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</si>
  <si>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</si>
  <si>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</si>
  <si>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</si>
  <si>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</si>
  <si>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</si>
  <si>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</si>
  <si>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</si>
  <si>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</si>
  <si>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</si>
  <si>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</si>
  <si>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</si>
  <si>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</si>
  <si>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</si>
  <si>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</si>
  <si>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</si>
  <si>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</si>
  <si>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</si>
  <si>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</si>
  <si>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</si>
  <si>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</si>
  <si>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</si>
  <si>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</si>
  <si>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</si>
  <si>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</si>
  <si>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</si>
  <si>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</si>
  <si>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</si>
  <si>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</si>
  <si>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</si>
  <si>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</si>
  <si>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</si>
  <si>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</si>
  <si>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</si>
  <si>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</si>
  <si>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</si>
  <si>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</si>
  <si>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</si>
  <si>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</si>
  <si>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</si>
  <si>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</si>
  <si>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</si>
  <si>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</si>
  <si>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</si>
  <si>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</si>
  <si>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</si>
  <si>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</si>
  <si>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</si>
  <si>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</si>
  <si>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</si>
  <si>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</si>
  <si>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</si>
  <si>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</si>
  <si>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</si>
  <si>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</si>
  <si>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</si>
  <si>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</si>
  <si>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</si>
  <si>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</si>
  <si>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</si>
  <si>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</si>
  <si>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</si>
  <si>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</si>
  <si>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</si>
  <si>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</si>
  <si>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</si>
  <si>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</si>
  <si>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</si>
  <si>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</si>
  <si>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</si>
  <si>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</si>
  <si>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</si>
  <si>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</si>
  <si>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</si>
  <si>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</si>
  <si>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</si>
  <si>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</si>
  <si>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</si>
  <si>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</si>
  <si>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</si>
  <si>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</si>
  <si>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</si>
  <si>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</si>
  <si>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</si>
  <si>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</si>
  <si>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</si>
  <si>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</si>
  <si>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</si>
  <si>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</si>
  <si>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</si>
  <si>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</si>
  <si>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</si>
  <si>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</si>
  <si>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</si>
  <si>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</si>
  <si>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</si>
  <si>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</si>
  <si>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</si>
  <si>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</si>
  <si>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</si>
  <si>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</si>
  <si>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</si>
  <si>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</si>
  <si>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</si>
  <si>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</si>
  <si>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</si>
  <si>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</si>
  <si>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</si>
  <si>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</si>
  <si>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</si>
  <si>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</si>
  <si>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</si>
  <si>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</si>
  <si>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</si>
  <si>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</si>
  <si>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</si>
  <si>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</si>
  <si>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</si>
  <si>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</si>
  <si>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</si>
  <si>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</si>
  <si>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</si>
  <si>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</si>
  <si>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</si>
  <si>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</si>
  <si>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</si>
  <si>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</si>
  <si>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</si>
  <si>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</si>
  <si>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</si>
  <si>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</si>
  <si>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</si>
  <si>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</si>
  <si>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</si>
  <si>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</si>
  <si>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</si>
  <si>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</si>
  <si>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</si>
  <si>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</si>
  <si>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</si>
  <si>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</si>
  <si>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</si>
  <si>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</si>
  <si>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</si>
  <si>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</si>
  <si>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</si>
  <si>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</si>
  <si>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</si>
  <si>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</si>
  <si>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</si>
  <si>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</si>
  <si>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</si>
  <si>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</si>
  <si>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</si>
  <si>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</si>
  <si>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</si>
  <si>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</si>
  <si>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</si>
  <si>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</si>
  <si>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</si>
  <si>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</si>
  <si>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</si>
  <si>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</si>
  <si>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</si>
  <si>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</si>
  <si>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</si>
  <si>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</si>
  <si>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</si>
  <si>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</si>
  <si>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</si>
  <si>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</si>
  <si>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</si>
  <si>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</si>
  <si>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</si>
  <si>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</si>
  <si>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</si>
  <si>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</si>
  <si>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</si>
  <si>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</si>
  <si>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</si>
  <si>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</si>
  <si>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</si>
  <si>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</si>
  <si>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</si>
  <si>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</si>
  <si>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</si>
  <si>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</si>
  <si>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</si>
  <si>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</si>
  <si>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</si>
  <si>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</si>
  <si>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</si>
  <si>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</si>
  <si>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</si>
  <si>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</si>
  <si>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</si>
  <si>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</si>
  <si>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</si>
  <si>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</si>
  <si>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</si>
  <si>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</si>
  <si>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</si>
  <si>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</si>
  <si>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</si>
  <si>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</si>
  <si>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</si>
  <si>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</si>
  <si>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</si>
  <si>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</si>
  <si>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</si>
  <si>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</si>
  <si>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</si>
  <si>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</si>
  <si>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</si>
  <si>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</si>
  <si>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</si>
  <si>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</si>
  <si>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</si>
  <si>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</si>
  <si>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</si>
  <si>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</si>
  <si>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</si>
  <si>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</si>
  <si>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</si>
  <si>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</si>
  <si>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</si>
  <si>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</si>
  <si>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</si>
  <si>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</si>
  <si>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</si>
  <si>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</si>
  <si>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</si>
  <si>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</si>
  <si>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</si>
  <si>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</si>
  <si>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</si>
  <si>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</si>
  <si>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</si>
  <si>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</si>
  <si>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</si>
  <si>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</si>
  <si>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</si>
  <si>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</si>
  <si>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</si>
  <si>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</si>
  <si>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</si>
  <si>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</si>
  <si>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</si>
  <si>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</si>
  <si>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</si>
  <si>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</si>
  <si>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</si>
  <si>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</si>
  <si>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</si>
  <si>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</si>
  <si>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</si>
  <si>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</si>
  <si>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</si>
  <si>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</si>
  <si>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</si>
  <si>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</si>
  <si>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</si>
  <si>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</si>
  <si>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</si>
  <si>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</si>
  <si>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</si>
  <si>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</si>
  <si>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</si>
  <si>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</si>
  <si>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</si>
  <si>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</si>
  <si>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</si>
  <si>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</si>
  <si>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</si>
  <si>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</si>
  <si>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</si>
  <si>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</si>
  <si>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</si>
  <si>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</si>
  <si>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</si>
  <si>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</si>
  <si>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</si>
  <si>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</si>
  <si>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</si>
  <si>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</si>
  <si>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</si>
  <si>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</si>
  <si>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</si>
  <si>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</si>
  <si>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</si>
  <si>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</si>
  <si>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</si>
  <si>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</si>
  <si>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</si>
  <si>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</si>
  <si>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</si>
  <si>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</si>
  <si>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</si>
  <si>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</si>
  <si>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</si>
  <si>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</si>
  <si>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</si>
  <si>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</si>
  <si>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</si>
  <si>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</si>
  <si>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</si>
  <si>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</si>
  <si>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</si>
  <si>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</si>
  <si>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</si>
  <si>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</si>
  <si>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</si>
  <si>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</si>
  <si>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</si>
  <si>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</si>
  <si>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</si>
  <si>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</si>
  <si>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</si>
  <si>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</si>
  <si>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</si>
  <si>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</si>
  <si>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</si>
  <si>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</si>
  <si>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</si>
  <si>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</si>
  <si>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</si>
  <si>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</si>
  <si>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</si>
  <si>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</si>
  <si>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</si>
  <si>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</si>
  <si>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</si>
  <si>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</si>
  <si>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</si>
  <si>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</si>
  <si>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</si>
  <si>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</si>
  <si>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</si>
  <si>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</si>
  <si>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</si>
  <si>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</si>
  <si>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</si>
  <si>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</si>
  <si>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</si>
  <si>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</si>
  <si>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</si>
  <si>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</si>
  <si>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</si>
  <si>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</si>
  <si>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</si>
  <si>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</si>
  <si>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</si>
  <si>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</si>
  <si>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</si>
  <si>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</si>
  <si>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</si>
  <si>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</si>
  <si>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</si>
  <si>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</si>
  <si>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</si>
  <si>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</si>
  <si>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</si>
  <si>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</si>
  <si>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</si>
  <si>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</si>
  <si>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</si>
  <si>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</si>
  <si>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</si>
  <si>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</si>
  <si>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</si>
  <si>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</si>
  <si>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</si>
  <si>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</si>
  <si>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</si>
  <si>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</si>
  <si>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</si>
  <si>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</si>
  <si>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</si>
  <si>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</si>
  <si>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</si>
  <si>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</si>
  <si>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</si>
  <si>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</si>
  <si>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</si>
  <si>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</si>
  <si>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</si>
  <si>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</si>
  <si>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</si>
  <si>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</si>
  <si>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</si>
  <si>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</si>
  <si>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</si>
  <si>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</si>
  <si>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</si>
  <si>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</si>
  <si>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</si>
  <si>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</si>
  <si>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</si>
  <si>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</si>
  <si>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</si>
  <si>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</si>
  <si>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</si>
  <si>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</si>
  <si>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</si>
  <si>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</si>
  <si>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</si>
  <si>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</si>
  <si>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</si>
  <si>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</si>
  <si>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</si>
  <si>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</si>
  <si>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</si>
  <si>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</si>
  <si>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</si>
  <si>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</si>
  <si>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</si>
  <si>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</si>
  <si>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</si>
  <si>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</si>
  <si>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</si>
  <si>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</si>
  <si>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</si>
  <si>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</si>
  <si>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</si>
  <si>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</si>
  <si>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</si>
  <si>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</si>
  <si>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</si>
  <si>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</si>
  <si>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</si>
  <si>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</si>
  <si>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</si>
  <si>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</si>
  <si>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</si>
  <si>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</si>
  <si>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</si>
  <si>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</si>
  <si>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</si>
  <si>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</si>
  <si>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</si>
  <si>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</si>
  <si>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</si>
  <si>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</si>
  <si>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</si>
  <si>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</si>
  <si>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</si>
  <si>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</si>
  <si>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</si>
  <si>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</si>
  <si>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</si>
  <si>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</si>
  <si>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</si>
  <si>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</si>
  <si>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</si>
  <si>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</si>
  <si>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</si>
  <si>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</si>
  <si>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</si>
  <si>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</si>
  <si>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</si>
  <si>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</si>
  <si>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</si>
  <si>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</si>
  <si>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</si>
  <si>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</si>
  <si>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</si>
  <si>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</si>
  <si>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</si>
  <si>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</si>
  <si>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</si>
  <si>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</si>
  <si>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</si>
  <si>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</si>
  <si>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</si>
  <si>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</si>
  <si>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</si>
  <si>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</si>
  <si>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</si>
  <si>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</si>
  <si>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</si>
  <si>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</si>
  <si>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</si>
  <si>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</si>
  <si>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</si>
  <si>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</si>
  <si>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</si>
  <si>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</si>
  <si>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</si>
  <si>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</si>
  <si>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</si>
  <si>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</si>
  <si>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</si>
  <si>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</si>
  <si>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</si>
  <si>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</si>
  <si>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</si>
  <si>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</si>
  <si>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</si>
  <si>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</si>
  <si>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</si>
  <si>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</si>
  <si>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</si>
  <si>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</si>
  <si>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</si>
  <si>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</si>
  <si>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</si>
  <si>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</si>
  <si>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</si>
  <si>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</si>
  <si>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</si>
  <si>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</si>
  <si>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</si>
  <si>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</si>
  <si>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</si>
  <si>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</si>
  <si>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</si>
  <si>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</si>
  <si>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</si>
  <si>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</si>
  <si>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</si>
  <si>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</si>
  <si>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</si>
  <si>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</si>
  <si>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</si>
  <si>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</si>
  <si>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</si>
  <si>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</si>
  <si>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</si>
  <si>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</si>
  <si>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</si>
  <si>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</si>
  <si>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</si>
  <si>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</si>
  <si>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</si>
  <si>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</si>
  <si>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</si>
  <si>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</si>
  <si>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</si>
  <si>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</si>
  <si>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</si>
  <si>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</si>
  <si>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</si>
  <si>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</si>
  <si>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</si>
  <si>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</si>
  <si>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</si>
  <si>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</si>
  <si>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</si>
  <si>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</si>
  <si>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</si>
  <si>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</si>
  <si>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</si>
  <si>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</si>
  <si>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</si>
  <si>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</si>
  <si>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</si>
  <si>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</si>
  <si>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</si>
  <si>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</si>
  <si>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</si>
  <si>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</si>
  <si>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</si>
  <si>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</si>
  <si>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</si>
  <si>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</si>
  <si>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</si>
  <si>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</si>
  <si>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</si>
  <si>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</si>
  <si>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</si>
  <si>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</si>
  <si>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</si>
  <si>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</si>
  <si>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</si>
  <si>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</si>
  <si>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</si>
  <si>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</si>
  <si>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</si>
  <si>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</si>
  <si>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</si>
  <si>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</si>
  <si>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</si>
  <si>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</si>
  <si>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</si>
  <si>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</si>
  <si>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</si>
  <si>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</si>
  <si>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</si>
  <si>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</si>
  <si>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</si>
  <si>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</si>
  <si>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</si>
  <si>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</si>
  <si>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</si>
  <si>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</si>
  <si>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</si>
  <si>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</si>
  <si>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</si>
  <si>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</si>
  <si>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</si>
  <si>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</si>
  <si>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</si>
  <si>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</si>
  <si>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</si>
  <si>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</si>
  <si>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</si>
  <si>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</si>
  <si>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</si>
  <si>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</si>
  <si>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</si>
  <si>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</si>
  <si>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</si>
  <si>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</si>
  <si>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</si>
  <si>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</si>
  <si>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</si>
  <si>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</si>
  <si>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</si>
  <si>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</si>
  <si>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</si>
  <si>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</si>
  <si>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</si>
  <si>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</si>
  <si>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</si>
  <si>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</si>
  <si>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</si>
  <si>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</si>
  <si>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</si>
  <si>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</si>
  <si>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</si>
  <si>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</si>
  <si>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</si>
  <si>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</si>
  <si>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</si>
  <si>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</si>
  <si>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</si>
  <si>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</si>
  <si>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</si>
  <si>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</si>
  <si>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</si>
  <si>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</si>
  <si>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</si>
  <si>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</si>
  <si>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</si>
  <si>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</si>
  <si>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</si>
  <si>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</si>
  <si>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</si>
  <si>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</si>
  <si>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</si>
  <si>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</si>
  <si>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</si>
  <si>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</si>
  <si>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</si>
  <si>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</si>
  <si>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</si>
  <si>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</si>
  <si>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</si>
  <si>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</si>
  <si>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</si>
  <si>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</si>
  <si>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</si>
  <si>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</si>
  <si>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</si>
  <si>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</si>
  <si>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</si>
  <si>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</si>
  <si>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</si>
  <si>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</si>
  <si>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</si>
  <si>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</si>
  <si>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</si>
  <si>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</si>
  <si>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</si>
  <si>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</si>
  <si>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</si>
  <si>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</si>
  <si>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</si>
  <si>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</si>
  <si>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</si>
  <si>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</si>
  <si>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</si>
  <si>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</si>
  <si>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</si>
  <si>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</si>
  <si>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</si>
  <si>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</si>
  <si>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</si>
  <si>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</si>
  <si>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</si>
  <si>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</si>
  <si>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</si>
  <si>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</si>
  <si>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</si>
  <si>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</si>
  <si>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</si>
  <si>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</si>
  <si>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</si>
  <si>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</si>
  <si>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</si>
  <si>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</si>
  <si>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</si>
  <si>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</si>
  <si>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</si>
  <si>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</si>
  <si>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</si>
  <si>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</si>
  <si>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</si>
  <si>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</si>
  <si>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</si>
  <si>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</si>
  <si>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</si>
  <si>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</si>
  <si>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</si>
  <si>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</si>
  <si>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</si>
  <si>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</si>
  <si>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</si>
  <si>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</si>
  <si>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</si>
  <si>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</si>
  <si>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</si>
  <si>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</si>
  <si>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</si>
  <si>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</si>
  <si>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</si>
  <si>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</si>
  <si>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</si>
  <si>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</si>
  <si>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</si>
  <si>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</si>
  <si>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</si>
  <si>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</si>
  <si>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</si>
  <si>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</si>
  <si>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</si>
  <si>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</si>
  <si>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</si>
  <si>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</si>
  <si>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</si>
  <si>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</si>
  <si>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</si>
  <si>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</si>
  <si>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</si>
  <si>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</si>
  <si>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</si>
  <si>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</si>
  <si>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</si>
  <si>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</si>
  <si>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</si>
  <si>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</si>
  <si>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</si>
  <si>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</si>
  <si>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</si>
  <si>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</si>
  <si>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</si>
  <si>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</si>
  <si>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</si>
  <si>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</si>
  <si>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</si>
  <si>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</si>
  <si>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</si>
  <si>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</si>
  <si>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</si>
  <si>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</si>
  <si>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</si>
  <si>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</si>
  <si>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</si>
  <si>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</si>
  <si>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</si>
  <si>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</si>
  <si>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</si>
  <si>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</si>
  <si>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</si>
  <si>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</si>
  <si>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</si>
  <si>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</si>
  <si>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</si>
  <si>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</si>
  <si>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</si>
  <si>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</si>
  <si>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</si>
  <si>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</si>
  <si>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</si>
  <si>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</si>
  <si>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</si>
  <si>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</si>
  <si>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</si>
  <si>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</si>
  <si>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</si>
  <si>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</si>
  <si>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</si>
  <si>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</si>
  <si>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</si>
  <si>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</si>
  <si>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</si>
  <si>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</si>
  <si>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</si>
  <si>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</si>
  <si>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</si>
  <si>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</si>
  <si>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</si>
  <si>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</si>
  <si>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</si>
  <si>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</si>
  <si>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</si>
  <si>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</si>
  <si>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</si>
  <si>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</si>
  <si>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</si>
  <si>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</si>
  <si>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</si>
  <si>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</si>
  <si>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</si>
  <si>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</si>
  <si>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</si>
  <si>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</si>
  <si>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</si>
  <si>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</si>
  <si>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</si>
  <si>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</si>
  <si>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</si>
  <si>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</si>
  <si>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</si>
  <si>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</si>
  <si>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</si>
  <si>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</si>
  <si>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</si>
  <si>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</si>
  <si>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</si>
  <si>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</si>
  <si>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</si>
  <si>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</si>
  <si>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</si>
  <si>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</si>
  <si>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</si>
  <si>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</si>
  <si>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</si>
  <si>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</si>
  <si>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</si>
  <si>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</si>
  <si>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</si>
  <si>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</si>
  <si>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</si>
  <si>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</si>
  <si>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</si>
  <si>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</si>
  <si>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</si>
  <si>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</si>
  <si>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</si>
  <si>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</si>
  <si>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</si>
  <si>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</si>
  <si>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</si>
  <si>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</si>
  <si>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</si>
  <si>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</si>
  <si>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</si>
  <si>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</si>
  <si>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</si>
  <si>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</si>
  <si>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</si>
  <si>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</si>
  <si>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</si>
  <si>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</si>
  <si>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</si>
  <si>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</si>
  <si>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</si>
  <si>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</si>
  <si>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</si>
  <si>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</si>
  <si>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</si>
  <si>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</si>
  <si>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</si>
  <si>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</si>
  <si>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</si>
  <si>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</si>
  <si>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</si>
  <si>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</si>
  <si>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</si>
  <si>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</si>
  <si>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</si>
  <si>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</si>
  <si>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</si>
  <si>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</si>
  <si>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</si>
  <si>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</si>
  <si>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</si>
  <si>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</si>
  <si>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</si>
  <si>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</si>
  <si>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</si>
  <si>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</si>
  <si>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</si>
  <si>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</si>
  <si>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</si>
  <si>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</si>
  <si>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</si>
  <si>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</si>
  <si>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</si>
  <si>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</si>
  <si>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</si>
  <si>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</si>
  <si>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</si>
  <si>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</si>
  <si>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</si>
  <si>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</si>
  <si>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</si>
  <si>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</si>
  <si>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</si>
  <si>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</si>
  <si>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</si>
  <si>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</si>
  <si>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</si>
  <si>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</si>
  <si>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</si>
  <si>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</si>
  <si>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</si>
  <si>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</si>
  <si>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</si>
  <si>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</si>
  <si>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</si>
  <si>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</si>
  <si>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</si>
  <si>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</si>
  <si>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</si>
  <si>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</si>
  <si>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</si>
  <si>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</si>
  <si>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</si>
  <si>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</si>
  <si>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</si>
  <si>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</si>
  <si>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</si>
  <si>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</si>
  <si>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</si>
  <si>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</si>
  <si>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</si>
  <si>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</si>
  <si>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</si>
  <si>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</si>
  <si>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</si>
  <si>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</si>
  <si>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</si>
  <si>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</si>
  <si>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</si>
  <si>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</si>
  <si>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</si>
  <si>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</si>
  <si>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</si>
  <si>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</si>
  <si>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</si>
  <si>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</si>
  <si>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</si>
  <si>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</si>
  <si>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</si>
  <si>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</si>
  <si>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</si>
  <si>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</si>
  <si>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</si>
  <si>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</si>
  <si>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</si>
  <si>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</si>
  <si>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</si>
  <si>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</si>
  <si>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</si>
  <si>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</si>
  <si>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</si>
  <si>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</si>
  <si>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</si>
  <si>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</si>
  <si>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</si>
  <si>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</si>
  <si>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</si>
  <si>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</si>
  <si>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</si>
  <si>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</si>
  <si>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</si>
  <si>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</si>
  <si>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</si>
  <si>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</si>
  <si>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</si>
  <si>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</si>
  <si>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</si>
  <si>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</si>
  <si>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</si>
  <si>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</si>
  <si>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</si>
  <si>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</si>
  <si>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</si>
  <si>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</si>
  <si>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</si>
  <si>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</si>
  <si>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</si>
  <si>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</si>
  <si>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</si>
  <si>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</si>
  <si>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</si>
  <si>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</si>
  <si>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</si>
  <si>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</si>
  <si>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</si>
  <si>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</si>
  <si>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</si>
  <si>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</si>
  <si>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</si>
  <si>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</si>
  <si>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</si>
  <si>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</si>
  <si>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</si>
  <si>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</si>
  <si>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</si>
  <si>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</si>
  <si>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</si>
  <si>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</si>
  <si>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</si>
  <si>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</si>
  <si>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</si>
  <si>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</si>
  <si>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</si>
  <si>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</si>
  <si>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</si>
  <si>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</si>
  <si>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</si>
  <si>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</si>
  <si>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</si>
  <si>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</si>
  <si>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</si>
  <si>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</si>
  <si>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</si>
  <si>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</si>
  <si>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</si>
  <si>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</si>
  <si>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</si>
  <si>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</si>
  <si>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</si>
  <si>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</si>
  <si>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</si>
  <si>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</si>
  <si>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</si>
  <si>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</si>
  <si>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</si>
  <si>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</si>
  <si>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</si>
  <si>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</si>
  <si>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</si>
  <si>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</si>
  <si>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</si>
  <si>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</si>
  <si>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</si>
  <si>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</si>
  <si>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</si>
  <si>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</si>
  <si>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</si>
  <si>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</si>
  <si>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</si>
  <si>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</si>
  <si>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</si>
  <si>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</si>
  <si>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</si>
  <si>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</si>
  <si>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</si>
  <si>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</si>
  <si>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</si>
  <si>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</si>
  <si>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</si>
  <si>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</si>
  <si>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</si>
  <si>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</si>
  <si>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</si>
  <si>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</si>
  <si>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</si>
  <si>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</si>
  <si>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</si>
  <si>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</si>
  <si>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</si>
  <si>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</si>
  <si>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</si>
  <si>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</si>
  <si>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</si>
  <si>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</si>
  <si>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</si>
  <si>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</si>
  <si>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</si>
  <si>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</si>
  <si>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</si>
  <si>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</si>
  <si>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</si>
  <si>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</si>
  <si>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</si>
  <si>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</si>
  <si>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</si>
  <si>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</si>
  <si>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</si>
  <si>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</si>
  <si>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</si>
  <si>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</si>
  <si>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</si>
  <si>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</si>
  <si>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</si>
  <si>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</si>
  <si>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</si>
  <si>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</si>
  <si>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</si>
  <si>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</si>
  <si>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</si>
  <si>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</si>
  <si>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</si>
  <si>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</si>
  <si>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</si>
  <si>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</si>
  <si>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</si>
  <si>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</si>
  <si>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</si>
  <si>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</si>
  <si>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</si>
  <si>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</si>
  <si>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</si>
  <si>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</si>
  <si>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</si>
  <si>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</si>
  <si>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</si>
  <si>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</si>
  <si>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</si>
  <si>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</si>
  <si>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</si>
  <si>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</si>
  <si>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</si>
  <si>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</si>
  <si>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</si>
  <si>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</si>
  <si>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</si>
  <si>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</si>
  <si>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</si>
  <si>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</si>
  <si>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</si>
  <si>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</si>
  <si>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</si>
  <si>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</si>
  <si>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</si>
  <si>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</si>
  <si>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</si>
  <si>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</si>
  <si>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</si>
  <si>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</si>
  <si>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</si>
  <si>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</si>
  <si>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</si>
  <si>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</si>
  <si>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</si>
  <si>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</si>
  <si>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</si>
  <si>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</si>
  <si>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</si>
  <si>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</si>
  <si>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</si>
  <si>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</si>
  <si>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</si>
  <si>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</si>
  <si>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</si>
  <si>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</si>
  <si>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</si>
  <si>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</si>
  <si>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</si>
  <si>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</si>
  <si>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</si>
  <si>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</si>
  <si>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</si>
  <si>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</si>
  <si>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</si>
  <si>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</si>
  <si>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</si>
  <si>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</si>
  <si>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</si>
  <si>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</si>
  <si>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</si>
  <si>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</si>
  <si>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</si>
  <si>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</si>
  <si>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</si>
  <si>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</si>
  <si>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</si>
  <si>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</si>
  <si>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</si>
  <si>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</si>
  <si>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</si>
  <si>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</si>
  <si>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</si>
  <si>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</si>
  <si>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</si>
  <si>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</si>
  <si>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</si>
  <si>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</si>
  <si>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</si>
  <si>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</si>
  <si>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</si>
  <si>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</si>
  <si>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</si>
  <si>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</si>
  <si>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</si>
  <si>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</si>
  <si>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</si>
  <si>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</si>
  <si>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</si>
  <si>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</si>
  <si>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</si>
  <si>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</si>
  <si>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</si>
  <si>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</si>
  <si>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</si>
  <si>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</si>
  <si>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</si>
  <si>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</si>
  <si>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</si>
  <si>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</si>
  <si>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</si>
  <si>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</si>
  <si>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</si>
  <si>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</si>
  <si>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</si>
  <si>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</si>
  <si>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</si>
  <si>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</si>
  <si>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</si>
  <si>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</si>
  <si>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</si>
  <si>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</si>
  <si>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</si>
  <si>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</si>
  <si>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</si>
  <si>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</si>
  <si>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</si>
  <si>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</si>
  <si>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</si>
  <si>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</si>
  <si>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</si>
  <si>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</si>
  <si>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</si>
  <si>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</si>
  <si>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</si>
  <si>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</si>
  <si>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</si>
  <si>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</si>
  <si>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</si>
  <si>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</si>
  <si>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</si>
  <si>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</si>
  <si>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</si>
  <si>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</si>
  <si>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</si>
  <si>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</si>
  <si>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</si>
  <si>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</si>
  <si>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</si>
  <si>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</si>
  <si>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</si>
  <si>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</si>
  <si>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</si>
  <si>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</si>
  <si>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</si>
  <si>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</si>
  <si>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</si>
  <si>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</si>
  <si>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</si>
  <si>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</si>
  <si>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</si>
  <si>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</si>
  <si>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</si>
  <si>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</si>
  <si>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</si>
  <si>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</si>
  <si>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</si>
  <si>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</si>
  <si>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</si>
  <si>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</si>
  <si>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</si>
  <si>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</si>
  <si>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</si>
  <si>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</si>
  <si>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</si>
  <si>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</si>
  <si>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</si>
  <si>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</si>
  <si>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</si>
  <si>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</si>
  <si>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</si>
  <si>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</si>
  <si>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</si>
  <si>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</si>
  <si>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</si>
  <si>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</si>
  <si>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</si>
  <si>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</si>
  <si>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</si>
  <si>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</si>
  <si>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</si>
  <si>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</si>
  <si>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</si>
  <si>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</si>
  <si>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</si>
  <si>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</si>
  <si>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</si>
  <si>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</si>
  <si>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</si>
  <si>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</si>
  <si>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</si>
  <si>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</si>
  <si>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</si>
  <si>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</si>
  <si>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</si>
  <si>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</si>
  <si>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</si>
  <si>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</si>
  <si>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</si>
  <si>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</si>
  <si>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</si>
  <si>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</si>
  <si>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</si>
  <si>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</si>
  <si>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</si>
  <si>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</si>
  <si>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</si>
  <si>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</si>
  <si>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</si>
  <si>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</si>
  <si>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</si>
  <si>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</si>
  <si>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</si>
  <si>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</si>
  <si>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</si>
  <si>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</si>
  <si>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</si>
  <si>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</si>
  <si>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</si>
  <si>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</si>
  <si>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</si>
  <si>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</si>
  <si>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</si>
  <si>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</si>
  <si>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</si>
  <si>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</si>
  <si>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</si>
  <si>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</si>
  <si>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</si>
  <si>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</si>
  <si>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</si>
  <si>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</si>
  <si>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</si>
  <si>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</si>
  <si>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</si>
  <si>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</si>
  <si>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</si>
  <si>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</si>
  <si>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</si>
  <si>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</si>
  <si>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</si>
  <si>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</si>
  <si>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</si>
  <si>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</si>
  <si>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</si>
  <si>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</si>
  <si>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</si>
  <si>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</si>
  <si>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</si>
  <si>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</si>
  <si>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</si>
  <si>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</si>
  <si>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</si>
  <si>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</si>
  <si>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</si>
  <si>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</si>
  <si>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</si>
  <si>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</si>
  <si>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</si>
  <si>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</si>
  <si>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</si>
  <si>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</si>
  <si>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</si>
  <si>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</si>
  <si>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</si>
  <si>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</si>
  <si>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</si>
  <si>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</si>
  <si>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</si>
  <si>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</si>
  <si>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</si>
  <si>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</si>
  <si>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</si>
  <si>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</si>
  <si>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</si>
  <si>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</si>
  <si>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</si>
  <si>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</si>
  <si>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</si>
  <si>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</si>
  <si>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</si>
  <si>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</si>
  <si>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</si>
  <si>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</si>
  <si>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</si>
  <si>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</si>
  <si>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</si>
  <si>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</si>
  <si>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</si>
  <si>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</si>
  <si>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</si>
  <si>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</si>
  <si>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</si>
  <si>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</si>
  <si>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</si>
  <si>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</si>
  <si>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</si>
  <si>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</si>
  <si>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</si>
  <si>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</si>
  <si>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</si>
  <si>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</si>
  <si>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</si>
  <si>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</si>
  <si>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</si>
  <si>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</si>
  <si>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</si>
  <si>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</si>
  <si>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</si>
  <si>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</si>
  <si>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</si>
  <si>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</si>
  <si>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</si>
  <si>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</si>
  <si>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</si>
  <si>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</si>
  <si>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</si>
  <si>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</si>
  <si>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</si>
  <si>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</si>
  <si>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</si>
  <si>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</si>
  <si>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</si>
  <si>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</si>
  <si>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</si>
  <si>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</si>
  <si>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</si>
  <si>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</si>
  <si>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</si>
  <si>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</si>
  <si>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</si>
  <si>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</si>
  <si>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</si>
  <si>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</si>
  <si>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</si>
  <si>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</si>
  <si>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</si>
  <si>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</si>
  <si>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</si>
  <si>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</si>
  <si>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</si>
  <si>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</si>
  <si>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</si>
  <si>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</si>
  <si>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</si>
  <si>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</si>
  <si>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</si>
  <si>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</si>
  <si>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</si>
  <si>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</si>
  <si>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</si>
  <si>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</si>
  <si>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</si>
  <si>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</si>
  <si>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</si>
  <si>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</si>
  <si>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</si>
  <si>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</si>
  <si>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</si>
  <si>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</si>
  <si>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</si>
  <si>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</si>
  <si>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</si>
  <si>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</si>
  <si>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</si>
  <si>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</si>
  <si>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</si>
  <si>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</si>
  <si>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</si>
  <si>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</si>
  <si>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</si>
  <si>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</si>
  <si>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</si>
  <si>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</si>
  <si>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</si>
  <si>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</si>
  <si>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</si>
  <si>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</si>
  <si>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</si>
  <si>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</si>
  <si>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</si>
  <si>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</si>
  <si>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</si>
  <si>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</si>
  <si>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</si>
  <si>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</si>
  <si>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</si>
  <si>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</si>
  <si>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</si>
  <si>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</si>
  <si>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</si>
  <si>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</si>
  <si>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</si>
  <si>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</si>
  <si>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</si>
  <si>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</si>
  <si>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</si>
  <si>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</si>
  <si>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</si>
  <si>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</si>
  <si>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</si>
  <si>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</si>
  <si>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</si>
  <si>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</si>
  <si>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</si>
  <si>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</si>
  <si>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</si>
  <si>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</si>
  <si>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</si>
  <si>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</si>
  <si>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</si>
  <si>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</si>
  <si>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</si>
  <si>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</si>
  <si>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</si>
  <si>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</si>
  <si>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</si>
  <si>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</si>
  <si>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</si>
  <si>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</si>
  <si>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</si>
  <si>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</si>
  <si>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</si>
  <si>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</si>
  <si>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</si>
  <si>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</si>
  <si>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</si>
  <si>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</si>
  <si>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</si>
  <si>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</si>
  <si>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</si>
  <si>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</si>
  <si>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</si>
  <si>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</si>
  <si>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</si>
  <si>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</si>
  <si>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</si>
  <si>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</si>
  <si>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</si>
  <si>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</si>
  <si>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</si>
  <si>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</si>
  <si>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</si>
  <si>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</si>
  <si>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</si>
  <si>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</si>
  <si>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</si>
  <si>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</si>
  <si>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</si>
  <si>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</si>
  <si>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</si>
  <si>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</si>
  <si>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</si>
  <si>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</si>
  <si>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</si>
  <si>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</si>
  <si>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</si>
  <si>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</si>
  <si>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</si>
  <si>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</si>
  <si>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</si>
  <si>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</si>
  <si>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</si>
  <si>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</si>
  <si>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</si>
  <si>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</si>
  <si>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</si>
  <si>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</si>
  <si>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</si>
  <si>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</si>
  <si>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</si>
  <si>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</si>
  <si>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</si>
  <si>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</si>
  <si>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</si>
  <si>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</si>
  <si>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</si>
  <si>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</si>
  <si>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</si>
  <si>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</si>
  <si>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</si>
  <si>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</si>
  <si>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</si>
  <si>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</si>
  <si>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</si>
  <si>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</si>
  <si>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</si>
  <si>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</si>
  <si>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</si>
  <si>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</si>
  <si>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</si>
  <si>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</si>
  <si>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</si>
  <si>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</si>
  <si>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</si>
  <si>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</si>
  <si>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</si>
  <si>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</si>
  <si>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</si>
  <si>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</si>
  <si>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</si>
  <si>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</si>
  <si>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</si>
  <si>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</si>
  <si>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</si>
  <si>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</si>
  <si>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</si>
  <si>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</si>
  <si>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</si>
  <si>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</si>
  <si>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</si>
  <si>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</si>
  <si>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</si>
  <si>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</si>
  <si>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</si>
  <si>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</si>
  <si>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</si>
  <si>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</si>
  <si>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</si>
  <si>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</si>
  <si>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</si>
  <si>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</si>
  <si>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</si>
  <si>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</si>
  <si>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</si>
  <si>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</si>
  <si>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</si>
  <si>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</si>
  <si>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</si>
  <si>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</si>
  <si>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</si>
  <si>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</si>
  <si>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</si>
  <si>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</si>
  <si>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</si>
  <si>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</si>
  <si>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</si>
  <si>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</si>
  <si>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</si>
  <si>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</si>
  <si>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</si>
  <si>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</si>
  <si>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</si>
  <si>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</si>
  <si>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</si>
  <si>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</si>
  <si>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</si>
  <si>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</si>
  <si>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</si>
  <si>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</si>
  <si>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</si>
  <si>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</si>
  <si>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</si>
  <si>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</si>
  <si>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</si>
  <si>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</si>
  <si>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</si>
  <si>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</si>
  <si>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</si>
  <si>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</si>
  <si>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</si>
  <si>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</si>
  <si>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</si>
  <si>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</si>
  <si>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</si>
  <si>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</si>
  <si>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</si>
  <si>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</si>
  <si>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</si>
  <si>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</si>
  <si>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</si>
  <si>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</si>
  <si>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</si>
  <si>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</si>
  <si>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</si>
  <si>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</si>
  <si>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</si>
  <si>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</si>
  <si>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</si>
  <si>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</si>
  <si>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</si>
  <si>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</si>
  <si>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</si>
  <si>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</si>
  <si>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</si>
  <si>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</si>
  <si>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</si>
  <si>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</si>
  <si>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</si>
  <si>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</si>
  <si>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</si>
  <si>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</si>
  <si>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</si>
  <si>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</si>
  <si>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</si>
  <si>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</si>
  <si>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</si>
  <si>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</si>
  <si>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</si>
  <si>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</si>
  <si>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</si>
  <si>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</si>
  <si>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</si>
  <si>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</si>
  <si>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</si>
  <si>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</si>
  <si>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</si>
  <si>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</si>
  <si>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</si>
  <si>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</si>
  <si>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</si>
  <si>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</si>
  <si>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</si>
  <si>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</si>
  <si>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</si>
  <si>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</si>
  <si>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</si>
  <si>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</si>
  <si>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</si>
  <si>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</si>
  <si>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</si>
  <si>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</si>
  <si>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</si>
  <si>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</si>
  <si>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</si>
  <si>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</si>
  <si>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</si>
  <si>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</si>
  <si>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</si>
  <si>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</si>
  <si>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</si>
  <si>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</si>
  <si>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</si>
  <si>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</si>
  <si>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</si>
  <si>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</si>
  <si>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</si>
  <si>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</si>
  <si>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</si>
  <si>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</si>
  <si>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</si>
  <si>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</si>
  <si>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</si>
  <si>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</si>
  <si>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</si>
  <si>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</si>
  <si>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</si>
  <si>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</si>
  <si>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</si>
  <si>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</si>
  <si>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</si>
  <si>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</si>
  <si>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</si>
  <si>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</si>
  <si>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</si>
  <si>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</si>
  <si>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</si>
  <si>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</si>
  <si>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</si>
  <si>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</si>
  <si>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</si>
  <si>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</si>
  <si>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</si>
  <si>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</si>
  <si>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</si>
  <si>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</si>
  <si>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</si>
  <si>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</si>
  <si>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</si>
  <si>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</si>
  <si>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</si>
  <si>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</si>
  <si>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</si>
  <si>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</si>
  <si>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</si>
  <si>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</si>
  <si>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</si>
  <si>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</si>
  <si>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</si>
  <si>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</si>
  <si>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</si>
  <si>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</si>
  <si>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</si>
  <si>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</si>
  <si>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</si>
  <si>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</si>
  <si>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</si>
  <si>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</si>
  <si>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</si>
  <si>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</si>
  <si>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</si>
  <si>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</si>
  <si>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</si>
  <si>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</si>
  <si>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</si>
  <si>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</si>
  <si>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</si>
  <si>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</si>
  <si>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</si>
  <si>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</si>
  <si>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</si>
  <si>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</si>
  <si>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</si>
  <si>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</si>
  <si>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</si>
  <si>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</si>
  <si>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</si>
  <si>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</si>
  <si>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</si>
  <si>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</si>
  <si>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</si>
  <si>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</si>
  <si>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</si>
  <si>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</si>
  <si>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</si>
  <si>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</si>
  <si>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</si>
  <si>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</si>
  <si>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</si>
  <si>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</si>
  <si>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</si>
  <si>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</si>
  <si>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</si>
  <si>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</si>
  <si>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</si>
  <si>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</si>
  <si>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</si>
  <si>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</si>
  <si>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</si>
  <si>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</si>
  <si>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</si>
  <si>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</si>
  <si>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</si>
  <si>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</si>
  <si>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</si>
  <si>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</si>
  <si>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</si>
  <si>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</si>
  <si>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</si>
  <si>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</si>
  <si>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</si>
  <si>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</si>
  <si>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</si>
  <si>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</si>
  <si>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</si>
  <si>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</si>
  <si>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</si>
  <si>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</si>
  <si>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</si>
  <si>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</si>
  <si>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</si>
  <si>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</si>
  <si>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</si>
  <si>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</si>
  <si>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</si>
  <si>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</si>
  <si>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</si>
  <si>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</si>
  <si>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</si>
  <si>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</si>
  <si>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</si>
  <si>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</si>
  <si>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</si>
  <si>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</si>
  <si>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</si>
  <si>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</si>
  <si>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</si>
  <si>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</si>
  <si>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</si>
  <si>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</si>
  <si>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</si>
  <si>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</si>
  <si>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</si>
  <si>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</si>
  <si>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</si>
  <si>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</si>
  <si>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</si>
  <si>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</si>
  <si>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</si>
  <si>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</si>
  <si>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</si>
  <si>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</si>
  <si>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</si>
  <si>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</si>
  <si>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</si>
  <si>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</si>
  <si>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</si>
  <si>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</si>
  <si>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</si>
  <si>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</si>
  <si>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</si>
  <si>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</si>
  <si>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</si>
  <si>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</si>
  <si>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</si>
  <si>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</si>
  <si>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</si>
  <si>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</si>
  <si>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</si>
  <si>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</si>
  <si>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</si>
  <si>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</si>
  <si>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</si>
  <si>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</si>
  <si>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</si>
  <si>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</si>
  <si>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</si>
  <si>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</si>
  <si>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</si>
  <si>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</si>
  <si>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</si>
  <si>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</si>
  <si>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</si>
  <si>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</si>
  <si>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</si>
  <si>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</si>
  <si>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</si>
  <si>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</si>
  <si>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</si>
  <si>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</si>
  <si>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</si>
  <si>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</si>
  <si>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</si>
  <si>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</si>
  <si>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</si>
  <si>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</si>
  <si>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</si>
  <si>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</si>
  <si>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</si>
  <si>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</si>
  <si>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</si>
  <si>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</si>
  <si>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</si>
  <si>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</si>
  <si>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</si>
  <si>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</si>
  <si>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</si>
  <si>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</si>
  <si>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</si>
  <si>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</si>
  <si>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</si>
  <si>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</si>
  <si>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</si>
  <si>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</si>
  <si>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</si>
  <si>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</si>
  <si>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</si>
  <si>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</si>
  <si>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</si>
  <si>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</si>
  <si>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</si>
  <si>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</si>
  <si>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</si>
  <si>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</si>
  <si>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</si>
  <si>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</si>
  <si>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</si>
  <si>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</si>
  <si>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</si>
  <si>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</si>
  <si>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</si>
  <si>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</si>
  <si>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</si>
  <si>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</si>
  <si>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</si>
  <si>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</si>
  <si>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</si>
  <si>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</si>
  <si>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</si>
  <si>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</si>
  <si>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</si>
  <si>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</si>
  <si>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</si>
  <si>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</si>
  <si>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</si>
  <si>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</si>
  <si>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</si>
  <si>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</si>
  <si>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</si>
  <si>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</si>
  <si>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</si>
  <si>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</si>
  <si>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</si>
  <si>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</si>
  <si>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</si>
  <si>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</si>
  <si>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</si>
  <si>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</si>
  <si>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</si>
  <si>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</si>
  <si>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</si>
  <si>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</si>
  <si>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</si>
  <si>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</si>
  <si>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</si>
  <si>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</si>
  <si>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</si>
  <si>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</si>
  <si>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</si>
  <si>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</si>
  <si>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</si>
  <si>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</si>
  <si>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</si>
  <si>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</si>
  <si>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</si>
  <si>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</si>
  <si>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</si>
  <si>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</si>
  <si>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</si>
  <si>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</si>
  <si>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</si>
  <si>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</si>
  <si>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</si>
  <si>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</si>
  <si>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</si>
  <si>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</si>
  <si>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</si>
  <si>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</si>
  <si>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</si>
  <si>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</si>
  <si>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</si>
  <si>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</si>
  <si>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</si>
  <si>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</si>
  <si>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</si>
  <si>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</si>
  <si>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</si>
  <si>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</si>
  <si>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</si>
  <si>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</si>
  <si>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</si>
  <si>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</si>
  <si>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</si>
  <si>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</si>
  <si>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</si>
  <si>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</si>
  <si>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</si>
  <si>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</si>
  <si>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</si>
  <si>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</si>
  <si>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</si>
  <si>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</si>
  <si>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</si>
  <si>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</si>
  <si>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</si>
  <si>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</si>
  <si>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</si>
  <si>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</si>
  <si>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</si>
  <si>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</si>
  <si>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</si>
  <si>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</si>
  <si>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</si>
  <si>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</si>
  <si>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</si>
  <si>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</si>
  <si>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</si>
  <si>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</si>
  <si>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</si>
  <si>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</si>
  <si>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</si>
  <si>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</si>
  <si>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</si>
  <si>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</si>
  <si>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</si>
  <si>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</si>
  <si>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</si>
  <si>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</si>
  <si>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</si>
  <si>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</si>
  <si>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</si>
  <si>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</si>
  <si>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</si>
  <si>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</si>
  <si>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</si>
  <si>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</si>
  <si>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</si>
  <si>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</si>
  <si>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</si>
  <si>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</si>
  <si>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</si>
  <si>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</si>
  <si>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</si>
  <si>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</si>
  <si>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</si>
  <si>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</si>
  <si>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</si>
  <si>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</si>
  <si>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</si>
  <si>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</si>
  <si>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</si>
  <si>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</si>
  <si>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</si>
  <si>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</si>
  <si>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</si>
  <si>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</si>
  <si>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</si>
  <si>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</si>
  <si>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</si>
  <si>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</si>
  <si>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</si>
  <si>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</si>
  <si>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</si>
  <si>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</si>
  <si>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</si>
  <si>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</si>
  <si>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</si>
  <si>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</si>
  <si>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</si>
  <si>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</si>
  <si>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</si>
  <si>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</si>
  <si>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</si>
  <si>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</si>
  <si>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</si>
  <si>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</si>
  <si>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</si>
  <si>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</si>
  <si>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</si>
  <si>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</si>
  <si>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</si>
  <si>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</si>
  <si>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</si>
  <si>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</si>
  <si>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</si>
  <si>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</si>
  <si>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</si>
  <si>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</si>
  <si>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</si>
  <si>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</si>
  <si>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</si>
  <si>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</si>
  <si>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</si>
  <si>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</si>
  <si>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</si>
  <si>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</si>
  <si>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</si>
  <si>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</si>
  <si>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</si>
  <si>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</si>
  <si>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</si>
  <si>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</si>
  <si>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</si>
  <si>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</si>
  <si>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</si>
  <si>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</si>
  <si>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</si>
  <si>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</si>
  <si>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</si>
  <si>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</si>
  <si>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</si>
  <si>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</si>
  <si>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</si>
  <si>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</si>
  <si>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</si>
  <si>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</si>
  <si>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</si>
  <si>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</si>
  <si>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</si>
  <si>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</si>
  <si>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</si>
  <si>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</si>
  <si>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</si>
  <si>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</si>
  <si>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</si>
  <si>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</si>
  <si>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</si>
  <si>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</si>
  <si>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</si>
  <si>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</si>
  <si>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</si>
  <si>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</si>
  <si>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</si>
  <si>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</si>
  <si>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</si>
  <si>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</si>
  <si>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</si>
  <si>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</si>
  <si>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</si>
  <si>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</si>
  <si>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</si>
  <si>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</si>
  <si>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</si>
  <si>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</si>
  <si>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</si>
  <si>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</si>
  <si>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</si>
  <si>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</si>
  <si>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</si>
  <si>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</si>
  <si>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</si>
  <si>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</si>
  <si>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</si>
  <si>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</si>
  <si>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</si>
  <si>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</si>
  <si>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</si>
  <si>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</si>
  <si>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</si>
  <si>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</si>
  <si>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</si>
  <si>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</si>
  <si>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</si>
  <si>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</si>
  <si>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</si>
  <si>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</si>
  <si>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</si>
  <si>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</si>
  <si>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</si>
  <si>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</si>
  <si>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</si>
  <si>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</si>
  <si>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</si>
  <si>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</si>
  <si>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</si>
  <si>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</si>
  <si>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</si>
  <si>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</si>
  <si>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</si>
  <si>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</si>
  <si>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</si>
  <si>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</si>
  <si>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</si>
  <si>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</si>
  <si>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</si>
  <si>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</si>
  <si>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</si>
  <si>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</si>
  <si>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</si>
  <si>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</si>
  <si>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</si>
  <si>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</si>
  <si>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</si>
  <si>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</si>
  <si>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</si>
  <si>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</si>
  <si>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</si>
  <si>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</si>
  <si>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</si>
  <si>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</si>
  <si>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</si>
  <si>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</si>
  <si>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</si>
  <si>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</si>
  <si>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</si>
  <si>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</si>
  <si>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</si>
  <si>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</si>
  <si>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</si>
  <si>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</si>
  <si>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</si>
  <si>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</si>
  <si>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</si>
  <si>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</si>
  <si>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</si>
  <si>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</si>
  <si>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</si>
  <si>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</si>
  <si>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</si>
  <si>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</si>
  <si>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</si>
  <si>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</si>
  <si>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</si>
  <si>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</si>
  <si>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</si>
  <si>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</si>
  <si>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</si>
  <si>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</si>
  <si>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</si>
  <si>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</si>
  <si>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</si>
  <si>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</si>
  <si>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</si>
  <si>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</si>
  <si>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</si>
  <si>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</si>
  <si>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</si>
  <si>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</si>
  <si>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</si>
  <si>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</si>
  <si>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</si>
  <si>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</si>
  <si>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</si>
  <si>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</si>
  <si>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</si>
  <si>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</si>
  <si>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</si>
  <si>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</si>
  <si>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</si>
  <si>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</si>
  <si>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</si>
  <si>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</si>
  <si>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</si>
  <si>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</si>
  <si>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</si>
  <si>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</si>
  <si>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</si>
  <si>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</si>
  <si>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</si>
  <si>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</si>
  <si>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</si>
  <si>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</si>
  <si>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</si>
  <si>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</si>
  <si>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</si>
  <si>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</si>
  <si>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</si>
  <si>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</si>
  <si>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</si>
  <si>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</si>
  <si>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</si>
  <si>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</si>
  <si>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</si>
  <si>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</si>
  <si>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</si>
  <si>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</si>
  <si>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</si>
  <si>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</si>
  <si>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</si>
  <si>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</si>
  <si>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</si>
  <si>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</si>
  <si>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</si>
  <si>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企业</t>
  </si>
  <si>
    <t>办公</t>
    <phoneticPr fontId="224" type="noConversion"/>
  </si>
  <si>
    <t>比较法-办公</t>
  </si>
  <si>
    <t>尖子班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</si>
</sst>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1" customWidth="1"/>
    <col min="2" max="2" width="81" style="3152" customWidth="1"/>
    <col min="3" max="16384" width="9" style="3150"/>
  </cols>
  <sheetData>
    <row r="1" spans="1:2" s="3148" customFormat="1">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估价对象为北京市房地产，为所有。根据《国有土地使用证》[]，估价对象（分摊）出让国有建设用地使用权面积为0平方米，建筑面积为115平方米。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估价对象为北京市房地产,属开发建设的办公项目，该项目尚在开发建设中。根据《国有土地使用证》[]，估价对象（分摊）出让国有建设用地使用权面积为0平方米，规划建筑面积为115平方米。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197</v>
      </c>
    </row>
    <row r="21" spans="1:2">
      <c r="A21" s="3157" t="s">
        <v>21</v>
      </c>
      <c r="B21" s="3158">
        <f ca="1">'预评函-2'!D7</f>
        <v>17127</v>
      </c>
    </row>
    <row r="22" spans="1:2">
      <c r="A22" s="3157" t="s">
        <v>22</v>
      </c>
      <c r="B22" s="3158" t="str">
        <f ca="1">'预评函-2'!D6</f>
        <v>壹佰玖拾柒万元整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197</v>
      </c>
    </row>
    <row r="31" spans="1:2">
      <c r="A31" s="3157" t="s">
        <v>31</v>
      </c>
      <c r="B31" s="3158">
        <f ca="1">'预评函-2'!D15</f>
        <v>17127</v>
      </c>
    </row>
    <row r="32" spans="1:2">
      <c r="A32" s="3157" t="s">
        <v>32</v>
      </c>
      <c r="B32" s="3158" t="str">
        <f ca="1">'预评函-2'!D14</f>
        <v>壹佰玖拾柒万元整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ht="31.2">
      <c r="A42" s="3157" t="s">
        <v>42</v>
      </c>
      <c r="B42" s="3158" t="str">
        <f>'预评函-3'!B2</f>
        <v>建筑面积</v>
      </c>
    </row>
    <row r="43" spans="1:2">
      <c r="A43" s="3157" t="s">
        <v>43</v>
      </c>
      <c r="B43" s="3158">
        <f>'预评函-3'!B4</f>
        <v>115</v>
      </c>
    </row>
    <row r="44" spans="1:2" ht="3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4" customWidth="1"/>
    <col min="2" max="2" width="23.21875"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3"/>
    <col min="8" max="8" width="5.44140625" style="2993" customWidth="1"/>
    <col min="9" max="13" width="9.44140625" style="2994" customWidth="1"/>
    <col min="14" max="18" width="9.44140625" style="2993" customWidth="1"/>
    <col min="19" max="16384" width="15.2187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24" sqref="N24:N25"/>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2" t="s">
        <v>483</v>
      </c>
      <c r="E8" s="2899" t="s">
        <v>368</v>
      </c>
      <c r="F8" s="2900"/>
      <c r="G8" s="2655"/>
      <c r="H8" s="2655"/>
      <c r="I8" s="2655"/>
      <c r="J8" s="2517"/>
      <c r="K8" s="2973"/>
      <c r="L8" s="2971"/>
      <c r="M8" s="2971"/>
      <c r="N8" s="2517"/>
      <c r="O8" s="2341"/>
      <c r="P8" s="2517"/>
      <c r="Q8" s="2517"/>
      <c r="R8" s="2517"/>
    </row>
    <row r="9" spans="1:30">
      <c r="A9" s="2901" t="s">
        <v>484</v>
      </c>
      <c r="B9" s="2902" t="s">
        <v>368</v>
      </c>
      <c r="C9" s="2903"/>
      <c r="D9" s="3243"/>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36.1</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0"/>
      <c r="C16" s="3231"/>
      <c r="D16" s="3232"/>
      <c r="E16" s="2925" t="s">
        <v>502</v>
      </c>
      <c r="F16" s="3233"/>
      <c r="G16" s="3234"/>
      <c r="H16" s="3234"/>
      <c r="I16" s="3235"/>
      <c r="J16" s="2517"/>
      <c r="K16" s="2979"/>
      <c r="L16" s="2341"/>
      <c r="M16" s="2341"/>
      <c r="N16" s="2517"/>
      <c r="O16" s="2341"/>
      <c r="P16" s="2517"/>
      <c r="Q16" s="2517"/>
      <c r="R16" s="2517"/>
    </row>
    <row r="17" spans="1:28">
      <c r="A17" s="1859" t="s">
        <v>503</v>
      </c>
      <c r="B17" s="1848" t="s">
        <v>504</v>
      </c>
      <c r="C17" s="953">
        <f>'数据-汇总表'!E3</f>
        <v>115</v>
      </c>
      <c r="D17" s="1901" t="s">
        <v>505</v>
      </c>
      <c r="E17" s="3236" t="s">
        <v>506</v>
      </c>
      <c r="F17" s="3237"/>
      <c r="G17" s="3237"/>
      <c r="H17" s="3237"/>
      <c r="I17" s="3238"/>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9" t="s">
        <v>509</v>
      </c>
      <c r="F18" s="3240"/>
      <c r="G18" s="3240"/>
      <c r="H18" s="3240"/>
      <c r="I18" s="3241"/>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7" t="s">
        <v>514</v>
      </c>
      <c r="C20" s="3218"/>
      <c r="D20" s="3219" t="s">
        <v>515</v>
      </c>
      <c r="E20" s="3220"/>
      <c r="F20" s="2934" t="s">
        <v>516</v>
      </c>
      <c r="G20" s="2655"/>
      <c r="H20" s="2655"/>
      <c r="I20" s="2655"/>
      <c r="J20" s="2517"/>
      <c r="K20" s="3215"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36">
      <c r="A21" s="2933"/>
      <c r="B21" s="2935" t="s">
        <v>518</v>
      </c>
      <c r="C21" s="2543" t="s">
        <v>519</v>
      </c>
      <c r="D21" s="2936" t="s">
        <v>520</v>
      </c>
      <c r="E21" s="2937" t="s">
        <v>519</v>
      </c>
      <c r="F21" s="2938"/>
      <c r="G21" s="2655"/>
      <c r="H21" s="2655"/>
      <c r="I21" s="2655"/>
      <c r="J21" s="2517"/>
      <c r="K21" s="321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36">
      <c r="A22" s="2933"/>
      <c r="B22" s="2939" t="s">
        <v>521</v>
      </c>
      <c r="C22" s="2543" t="s">
        <v>522</v>
      </c>
      <c r="D22" s="2655"/>
      <c r="E22" s="2655"/>
      <c r="F22" s="2655"/>
      <c r="G22" s="2655">
        <v>2007</v>
      </c>
      <c r="H22" s="2655"/>
      <c r="I22" s="2655"/>
      <c r="J22" s="2517"/>
      <c r="K22" s="321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3"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3"/>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3"/>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4"/>
      <c r="B30" s="1848" t="s">
        <v>535</v>
      </c>
      <c r="C30" s="3221"/>
      <c r="D30" s="3222"/>
      <c r="E30" s="2655"/>
      <c r="F30" s="2655"/>
      <c r="G30" s="2655"/>
      <c r="H30" s="2655"/>
      <c r="I30" s="2655"/>
      <c r="J30" s="2517"/>
      <c r="K30" s="2972"/>
      <c r="L30" s="2971"/>
      <c r="M30" s="2971"/>
      <c r="N30" s="2517"/>
      <c r="O30" s="2341"/>
      <c r="P30" s="2517"/>
      <c r="Q30" s="2517"/>
      <c r="R30" s="2517"/>
      <c r="S30" s="2517"/>
      <c r="T30" s="2517"/>
      <c r="U30" s="2517"/>
      <c r="V30" s="2517"/>
    </row>
    <row r="31" spans="1:28">
      <c r="A31" s="3225"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6"/>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6"/>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6" t="s">
        <v>546</v>
      </c>
      <c r="T34" s="1889" t="str">
        <f>NUMBERSTRING(7-K34,1)&amp;"通"</f>
        <v>七通</v>
      </c>
      <c r="U34" s="2517"/>
      <c r="V34" s="2517"/>
    </row>
    <row r="35" spans="1:30">
      <c r="A35" s="2959"/>
      <c r="B35" s="3216" t="s">
        <v>547</v>
      </c>
      <c r="C35" s="3216"/>
      <c r="D35" s="3216"/>
      <c r="E35" s="3216"/>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2">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3.2">
      <c r="A3" s="2801"/>
      <c r="B3" s="2802">
        <f>IF(C3="否",G5-AT5,G5)</f>
        <v>115</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3.2">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3.2">
      <c r="A5" s="1998" t="s">
        <v>577</v>
      </c>
      <c r="B5" s="2227"/>
      <c r="C5" s="2227"/>
      <c r="D5" s="2350"/>
      <c r="E5" s="2806" t="s">
        <v>124</v>
      </c>
      <c r="F5" s="2806">
        <f>SUM(F13:F587)</f>
        <v>0</v>
      </c>
      <c r="G5" s="2806">
        <f>SUM(G13:G587)</f>
        <v>115</v>
      </c>
      <c r="H5" s="2806">
        <f t="shared" ref="H5:AT5" si="0">SUM(H13:H656)</f>
        <v>115</v>
      </c>
      <c r="I5" s="2806">
        <f t="shared" si="0"/>
        <v>115</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115</v>
      </c>
      <c r="BA5" s="2859">
        <f t="shared" si="1"/>
        <v>115</v>
      </c>
      <c r="BB5" s="2859">
        <f t="shared" si="1"/>
        <v>115</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3.2">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5.2">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3.2">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3.2">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3.2">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3.2">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3.2">
      <c r="A13" s="908"/>
      <c r="B13" s="908"/>
      <c r="C13" s="908">
        <v>708</v>
      </c>
      <c r="D13" s="2820" t="s">
        <v>605</v>
      </c>
      <c r="E13" s="2806">
        <f>IF($C$3="是",ROUND($A$3*G13/$B$3,2),ROUND($A$3*(G13-AT13)/$B$3,2))</f>
        <v>0</v>
      </c>
      <c r="F13" s="2821"/>
      <c r="G13" s="2822">
        <f>H13+AC13+AT13</f>
        <v>115</v>
      </c>
      <c r="H13" s="2809">
        <f>SUMIF(I$12:AB$12,"总值",I13:AB13)</f>
        <v>115</v>
      </c>
      <c r="I13" s="2834">
        <v>115</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708</v>
      </c>
      <c r="AY13" s="2350">
        <f>ROUND($AY$6*AZ13/$AZ$5,2)</f>
        <v>0</v>
      </c>
      <c r="AZ13" s="2806">
        <f>BA13+BL13</f>
        <v>115</v>
      </c>
      <c r="BA13" s="2806">
        <f>SUM(BB13:BK13)</f>
        <v>115</v>
      </c>
      <c r="BB13" s="2806">
        <f>IF($D13="是",I13-J13,0)</f>
        <v>115</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3.2">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3.2">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3.2">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3.2">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D21" sqref="D21"/>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606</v>
      </c>
      <c r="B1" s="2288"/>
      <c r="C1" s="2288"/>
      <c r="D1" s="2288"/>
      <c r="E1" s="2288"/>
      <c r="F1" s="2288"/>
      <c r="G1" s="2288"/>
      <c r="H1" s="2288"/>
      <c r="I1" s="2288"/>
      <c r="J1" s="2288"/>
      <c r="K1" s="2288"/>
      <c r="L1" s="2288"/>
      <c r="M1" s="2288"/>
      <c r="N1" s="2288"/>
      <c r="O1" s="2288"/>
      <c r="P1" s="2288"/>
    </row>
    <row r="2" spans="1:16" ht="14.4">
      <c r="A2" s="3253" t="s">
        <v>607</v>
      </c>
      <c r="B2" s="3253"/>
      <c r="C2" s="3253"/>
      <c r="D2" s="2142" t="s">
        <v>608</v>
      </c>
      <c r="E2" s="2734" t="s">
        <v>609</v>
      </c>
      <c r="F2" s="2592"/>
      <c r="G2" s="2735"/>
      <c r="H2" s="2736"/>
      <c r="I2" s="2430" t="s">
        <v>610</v>
      </c>
      <c r="J2" s="2592"/>
      <c r="K2" s="2592"/>
      <c r="L2" s="2592"/>
      <c r="M2" s="2592"/>
      <c r="N2" s="1175"/>
      <c r="O2" s="2592"/>
      <c r="P2" s="2592"/>
    </row>
    <row r="3" spans="1:16" ht="14.4">
      <c r="A3" s="3254" t="s">
        <v>611</v>
      </c>
      <c r="B3" s="3254"/>
      <c r="C3" s="3254"/>
      <c r="D3" s="2737">
        <f>'数据-基础表'!AY6</f>
        <v>0</v>
      </c>
      <c r="E3" s="2737">
        <f>'数据-基础表'!AZ5</f>
        <v>115</v>
      </c>
      <c r="F3" s="2592"/>
      <c r="G3" s="2738"/>
      <c r="H3" s="2241" t="s">
        <v>612</v>
      </c>
      <c r="I3" s="2096" t="e">
        <f>ROUND('数据-基础表'!B3/'数据-基础表'!A3,2)</f>
        <v>#DIV/0!</v>
      </c>
      <c r="J3" s="2592"/>
      <c r="K3" s="2592"/>
      <c r="L3" s="2592"/>
      <c r="M3" s="2592"/>
      <c r="N3" s="1175"/>
      <c r="O3" s="2592"/>
      <c r="P3" s="2592"/>
    </row>
    <row r="4" spans="1:16" ht="14.4">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ht="14.4">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ht="14.4">
      <c r="A6" s="2743"/>
      <c r="B6" s="3258" t="s">
        <v>617</v>
      </c>
      <c r="C6" s="3258"/>
      <c r="D6" s="2241">
        <f>ROUND($D$3*E6/$E$3,2)</f>
        <v>0</v>
      </c>
      <c r="E6" s="2742">
        <f>E3-E5</f>
        <v>115</v>
      </c>
      <c r="F6" s="2592"/>
      <c r="G6" s="2744" t="s">
        <v>618</v>
      </c>
      <c r="H6" s="2745" t="s">
        <v>614</v>
      </c>
      <c r="I6" s="2784" t="e">
        <f>ROUND(F31/D31,2)</f>
        <v>#DIV/0!</v>
      </c>
      <c r="J6" s="2592"/>
      <c r="K6" s="2592"/>
      <c r="L6" s="2592"/>
      <c r="M6" s="2592"/>
      <c r="N6" s="2592"/>
      <c r="O6" s="2592"/>
      <c r="P6" s="2592"/>
    </row>
    <row r="7" spans="1:16" ht="14.4">
      <c r="A7" s="3244"/>
      <c r="B7" s="3245"/>
      <c r="C7" s="3246"/>
      <c r="D7" s="2739" t="s">
        <v>608</v>
      </c>
      <c r="E7" s="2746" t="s">
        <v>619</v>
      </c>
      <c r="F7" s="2592"/>
      <c r="G7" s="2747" t="s">
        <v>620</v>
      </c>
      <c r="H7" s="2712"/>
      <c r="I7" s="2785">
        <v>3.5</v>
      </c>
      <c r="J7" s="2592"/>
      <c r="K7" s="2592"/>
      <c r="L7" s="2592"/>
      <c r="M7" s="2592"/>
      <c r="N7" s="2592"/>
      <c r="O7" s="2592"/>
      <c r="P7" s="2592"/>
    </row>
    <row r="8" spans="1:16" ht="14.4">
      <c r="A8" s="2738" t="s">
        <v>621</v>
      </c>
      <c r="B8" s="2745" t="s">
        <v>622</v>
      </c>
      <c r="C8" s="2241" t="s">
        <v>623</v>
      </c>
      <c r="D8" s="2241">
        <f t="shared" ref="D8:D15" si="0">ROUND($D$3*E8/$E$3,2)</f>
        <v>0</v>
      </c>
      <c r="E8" s="2748">
        <f>SUMIF('数据-基础表'!BB10:BK10,"地上",'数据-基础表'!BB5:BK5)</f>
        <v>115</v>
      </c>
      <c r="F8" s="2592"/>
      <c r="G8" s="2592"/>
      <c r="H8" s="2592"/>
      <c r="I8" s="2592"/>
      <c r="J8" s="2592"/>
      <c r="K8" s="2592"/>
      <c r="L8" s="2592"/>
      <c r="M8" s="2592"/>
      <c r="N8" s="2592"/>
      <c r="O8" s="2592"/>
      <c r="P8" s="2592"/>
    </row>
    <row r="9" spans="1:16" ht="14.4">
      <c r="A9" s="2744"/>
      <c r="B9" s="2749"/>
      <c r="C9" s="2241" t="s">
        <v>624</v>
      </c>
      <c r="D9" s="2241">
        <f t="shared" si="0"/>
        <v>0</v>
      </c>
      <c r="E9" s="2750">
        <v>0</v>
      </c>
      <c r="F9" s="2592"/>
      <c r="G9" s="2592"/>
      <c r="H9" s="2592"/>
      <c r="I9" s="2592"/>
      <c r="J9" s="2592"/>
      <c r="K9" s="2592"/>
      <c r="L9" s="2592"/>
      <c r="M9" s="2592"/>
      <c r="N9" s="2592"/>
      <c r="O9" s="2592"/>
      <c r="P9" s="2592"/>
    </row>
    <row r="10" spans="1:16" ht="14.4">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3"/>
      <c r="B16" s="2749"/>
      <c r="C16" s="2745" t="s">
        <v>631</v>
      </c>
      <c r="D16" s="2745">
        <f>SUM(D8:D15)</f>
        <v>0</v>
      </c>
      <c r="E16" s="2751">
        <f>SUM(E8:E15)</f>
        <v>115</v>
      </c>
      <c r="F16" s="2592"/>
      <c r="G16" s="2592"/>
      <c r="H16" s="2752" t="s">
        <v>632</v>
      </c>
      <c r="I16" s="2786"/>
      <c r="J16" s="2288"/>
      <c r="K16" s="3247" t="s">
        <v>632</v>
      </c>
      <c r="L16" s="3248"/>
      <c r="M16" s="3248"/>
      <c r="N16" s="3248"/>
      <c r="O16" s="3248"/>
      <c r="P16" s="3249"/>
    </row>
    <row r="17" spans="1:19" ht="14.4">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4.4">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ht="14.4">
      <c r="A19" s="2764"/>
      <c r="B19" s="2745" t="s">
        <v>648</v>
      </c>
      <c r="C19" s="2765" t="s">
        <v>2802</v>
      </c>
      <c r="D19" s="2241">
        <f>ROUND($D$3*E19/$E$3,2)</f>
        <v>0</v>
      </c>
      <c r="E19" s="2766">
        <f t="shared" ref="E19:E26" si="1">SUM(F19:G19)</f>
        <v>115</v>
      </c>
      <c r="F19" s="2767">
        <f>'数据-基础表'!I13</f>
        <v>115</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115</v>
      </c>
    </row>
    <row r="20" spans="1:19" ht="14.4">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ht="14.4">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ht="14.4">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ht="14.4">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ht="14.4">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ht="14.4">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ht="14.4">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4.4">
      <c r="A27" s="2764"/>
      <c r="B27" s="2241"/>
      <c r="C27" s="2433" t="s">
        <v>649</v>
      </c>
      <c r="D27" s="2772">
        <f>SUM(D19:D26)</f>
        <v>0</v>
      </c>
      <c r="E27" s="2773">
        <f>IF(SUM(E19:E26)='数据-基础表'!BA5,SUM(E19:E26),IF(F27="地上面积有误","面积有误","地下面积有误"))</f>
        <v>115</v>
      </c>
      <c r="F27" s="2772">
        <f>IF(SUM(F19:F26)=E8,SUM(F19:F26),"地上面积有误")</f>
        <v>115</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115</v>
      </c>
    </row>
    <row r="28" spans="1:19" ht="14.4">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ht="14.4">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4.4">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4.4">
      <c r="A31" s="2778"/>
      <c r="B31" s="2702"/>
      <c r="C31" s="2184" t="s">
        <v>653</v>
      </c>
      <c r="D31" s="2779">
        <f>D27+D30</f>
        <v>0</v>
      </c>
      <c r="E31" s="2779">
        <f>E27+E30</f>
        <v>115</v>
      </c>
      <c r="F31" s="2780">
        <f>F27+F30</f>
        <v>115</v>
      </c>
      <c r="G31" s="2781">
        <f>G27+G30</f>
        <v>0</v>
      </c>
      <c r="H31" s="2592"/>
      <c r="I31" s="2592"/>
      <c r="J31" s="2592"/>
      <c r="K31" s="2592"/>
      <c r="L31" s="2592"/>
      <c r="M31" s="2592"/>
      <c r="N31" s="2592"/>
      <c r="O31" s="2592"/>
      <c r="P31" s="2592"/>
    </row>
    <row r="32" spans="1:19" ht="14.4">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M7" sqref="AM7"/>
    </sheetView>
  </sheetViews>
  <sheetFormatPr defaultColWidth="13.77734375" defaultRowHeight="13.2"/>
  <cols>
    <col min="1" max="1" width="20.88671875" style="2556" customWidth="1"/>
    <col min="2" max="2" width="12" style="2217" customWidth="1"/>
    <col min="3" max="3" width="12.77734375" style="2217" customWidth="1"/>
    <col min="4" max="4" width="9.109375" style="2557" customWidth="1"/>
    <col min="5" max="5" width="15" style="2217" customWidth="1"/>
    <col min="6" max="10" width="8.88671875" style="2217" customWidth="1"/>
    <col min="11" max="12" width="12.33203125" style="2558"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7.4414062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897"/>
    <col min="41" max="41" width="11.6640625" style="897" customWidth="1"/>
    <col min="42" max="42" width="9.77734375" style="897" customWidth="1"/>
    <col min="43" max="67" width="13.77734375" style="897"/>
    <col min="68" max="16384" width="13.77734375" style="2217"/>
  </cols>
  <sheetData>
    <row r="1" spans="1:67" ht="17.399999999999999">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4.4">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3.8">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36.1</v>
      </c>
      <c r="G6" s="2578">
        <f>IF(ISERROR(ROUND(POWER(1+H6,D6-F6)*(POWER(1+H6,F6)-1)/(POWER(1+H6,D6)-1),3)),0,ROUND(POWER(1+H6,D6-F6)*(POWER(1+H6,F6)-1)/(POWER(1+H6,D6)-1),3))</f>
        <v>0.90700000000000003</v>
      </c>
      <c r="H6" s="2579">
        <v>0.05</v>
      </c>
      <c r="I6" s="2579">
        <v>5.5E-2</v>
      </c>
      <c r="J6" s="2580">
        <v>7.0000000000000007E-2</v>
      </c>
      <c r="K6" s="2663">
        <f>SUMIF('数据-汇总表'!C$19:C$33,A6,'数据-汇总表'!E$19:E$33)</f>
        <v>115</v>
      </c>
      <c r="L6" s="2664">
        <v>4500</v>
      </c>
      <c r="M6" s="2665">
        <f t="shared" ref="M6:M14" si="0">ROUND(K6*L6/10000,0)</f>
        <v>52</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36.1</v>
      </c>
      <c r="AF6" s="2228"/>
      <c r="AG6" s="1595">
        <f>IF(AF6="",0,AE6-AF6)</f>
        <v>0</v>
      </c>
      <c r="AH6" s="2715"/>
      <c r="AI6" s="2716">
        <v>365</v>
      </c>
      <c r="AJ6" s="2228"/>
      <c r="AK6" s="2717">
        <v>5.0000000000000001E-3</v>
      </c>
      <c r="AL6" s="2718">
        <v>1E-3</v>
      </c>
      <c r="AM6" s="2719">
        <v>0.01</v>
      </c>
      <c r="AN6" s="2720" t="s">
        <v>285</v>
      </c>
      <c r="AO6" s="1227">
        <f ca="1">SUMIF(INDIRECT("'"&amp;AN6&amp;"'"&amp;"!A:A"),"总价",INDIRECT("'"&amp;AN6&amp;"'"&amp;"!B:B"))</f>
        <v>111.5305</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115</v>
      </c>
      <c r="L16" s="2674">
        <f>ROUND(M16*10000/SUM(K6:K14),0)</f>
        <v>4522</v>
      </c>
      <c r="M16" s="2674">
        <f>SUM(M6:M14)</f>
        <v>52</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10.591304347826087</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4">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115</v>
      </c>
      <c r="U18" s="2125">
        <v>423400</v>
      </c>
      <c r="V18" s="3168">
        <f>U18/365/K16</f>
        <v>10.086956521739131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4">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4">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94.7</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4">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2.11</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4">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4">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4">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3.8">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4">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8.8">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8.8">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8.8">
      <c r="A29" s="2613" t="s">
        <v>714</v>
      </c>
      <c r="B29" s="2614">
        <f>ROUND('数据-取费表'!B28*'数据-取费表'!K16,0)</f>
        <v>23000</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8.8">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8.8">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8.8">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4">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4">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4">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4">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4">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4">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4">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3.8">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4">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4">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4">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4">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4">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4">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4">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4">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4">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4">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4">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4">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8.8">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4">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4">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4">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4">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4">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4">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4">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4">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4">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4">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499" customWidth="1"/>
    <col min="2" max="3" width="24.44140625" style="1515" customWidth="1"/>
    <col min="4" max="4" width="2.6640625" style="1515" customWidth="1"/>
    <col min="5" max="5" width="5.88671875" style="1515" customWidth="1"/>
    <col min="6" max="7" width="27" style="1515"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114" customWidth="1"/>
    <col min="19" max="29" width="9" style="2114"/>
    <col min="30" max="16384" width="9" style="2499"/>
  </cols>
  <sheetData>
    <row r="1" spans="1:29" s="2498" customFormat="1" ht="17.399999999999999">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39.6">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ht="24">
      <c r="A6" s="2511"/>
      <c r="B6" s="1889" t="s">
        <v>772</v>
      </c>
      <c r="C6" s="2516"/>
      <c r="D6" s="2510"/>
      <c r="E6" s="2515"/>
      <c r="F6" s="1889" t="s">
        <v>776</v>
      </c>
      <c r="G6" s="2516" t="s">
        <v>777</v>
      </c>
      <c r="H6" s="2114"/>
      <c r="I6" s="2114"/>
      <c r="J6" s="2114"/>
      <c r="K6" s="2114"/>
      <c r="L6" s="2114"/>
      <c r="M6" s="2114"/>
      <c r="N6" s="2114"/>
      <c r="O6" s="2114"/>
      <c r="P6" s="2114"/>
      <c r="Q6" s="2114"/>
    </row>
    <row r="7" spans="1:29" ht="36">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782</v>
      </c>
      <c r="B13" s="2525"/>
      <c r="C13" s="2525"/>
      <c r="D13" s="2524"/>
      <c r="E13" s="2525"/>
      <c r="F13" s="2525"/>
      <c r="G13" s="2525"/>
    </row>
    <row r="14" spans="1:29">
      <c r="A14" s="2528"/>
      <c r="B14" s="2528"/>
      <c r="C14" s="2529" t="s">
        <v>765</v>
      </c>
      <c r="D14" s="2510"/>
      <c r="E14" s="2530"/>
      <c r="F14" s="2530"/>
      <c r="G14" s="2504" t="s">
        <v>766</v>
      </c>
    </row>
    <row r="15" spans="1:29" ht="39.6">
      <c r="A15" s="2531" t="s">
        <v>767</v>
      </c>
      <c r="B15" s="2532" t="s">
        <v>768</v>
      </c>
      <c r="C15" s="2533">
        <f>C3</f>
        <v>0</v>
      </c>
      <c r="D15" s="2510"/>
      <c r="E15" s="2534" t="s">
        <v>767</v>
      </c>
      <c r="F15" s="2532" t="s">
        <v>769</v>
      </c>
      <c r="G15" s="2535" t="str">
        <f>G3</f>
        <v>估价对象位于XX开发区，园区建设成熟度XX，产业集聚程度XX</v>
      </c>
    </row>
    <row r="16" spans="1:29" ht="39.6">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39.6">
      <c r="A18" s="2536"/>
      <c r="B18" s="2540" t="s">
        <v>772</v>
      </c>
      <c r="C18" s="2541">
        <f>C6</f>
        <v>0</v>
      </c>
      <c r="D18" s="2517"/>
      <c r="E18" s="2539"/>
      <c r="F18" s="2540" t="s">
        <v>778</v>
      </c>
      <c r="G18" s="2541" t="str">
        <f>G7</f>
        <v>该园区内是否有污染型企业，绿化情况，卫生条件，整体环境状况判断</v>
      </c>
    </row>
    <row r="19" spans="1:17" ht="26.4">
      <c r="A19" s="2536"/>
      <c r="B19" s="2540" t="s">
        <v>783</v>
      </c>
      <c r="C19" s="2542"/>
      <c r="D19" s="2510"/>
      <c r="E19" s="2539"/>
      <c r="F19" s="1889" t="s">
        <v>597</v>
      </c>
      <c r="G19" s="2541" t="str">
        <f>G5</f>
        <v>估价对象所在区域公共配套设施齐备情况</v>
      </c>
    </row>
    <row r="20" spans="1:17" ht="26.4">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33" sqref="E33"/>
    </sheetView>
  </sheetViews>
  <sheetFormatPr defaultColWidth="9" defaultRowHeight="14.4"/>
  <cols>
    <col min="1" max="1" width="25" style="2484" customWidth="1"/>
    <col min="2" max="9" width="15.77734375" style="2484" customWidth="1"/>
    <col min="10" max="16384" width="9" style="2484"/>
  </cols>
  <sheetData>
    <row r="1" spans="1:11" ht="16.2">
      <c r="A1" s="2485" t="s">
        <v>786</v>
      </c>
      <c r="B1" s="2485">
        <f>SUM(B14:B23)</f>
        <v>115</v>
      </c>
      <c r="C1" s="2486"/>
      <c r="D1" s="2486"/>
      <c r="E1" s="2486"/>
      <c r="F1" s="2486"/>
      <c r="G1" s="2487"/>
      <c r="H1" s="2487"/>
      <c r="I1" s="2487"/>
      <c r="J1" s="2487"/>
      <c r="K1" s="2487"/>
    </row>
    <row r="2" spans="1:11" ht="16.2">
      <c r="A2" s="2485" t="s">
        <v>787</v>
      </c>
      <c r="B2" s="2485">
        <f>SUM(C14:C23)</f>
        <v>0</v>
      </c>
      <c r="C2" s="2486"/>
      <c r="D2" s="2486"/>
      <c r="E2" s="2486"/>
      <c r="F2" s="2486"/>
      <c r="G2" s="2487"/>
      <c r="H2" s="2487"/>
      <c r="I2" s="2487"/>
      <c r="J2" s="2487"/>
      <c r="K2" s="2487"/>
    </row>
    <row r="3" spans="1:11" ht="15.6">
      <c r="A3" s="2485" t="s">
        <v>788</v>
      </c>
      <c r="B3" s="2488">
        <f>项目基本情况!D3</f>
        <v>45958</v>
      </c>
      <c r="C3" s="2486"/>
      <c r="D3" s="2486"/>
      <c r="E3" s="2486"/>
      <c r="F3" s="2486"/>
      <c r="G3" s="2487"/>
      <c r="H3" s="2487"/>
      <c r="I3" s="2487"/>
      <c r="J3" s="2487"/>
      <c r="K3" s="2487"/>
    </row>
    <row r="4" spans="1:11" ht="31.2">
      <c r="A4" s="2485" t="s">
        <v>789</v>
      </c>
      <c r="B4" s="2485" t="s">
        <v>790</v>
      </c>
      <c r="C4" s="2485" t="s">
        <v>791</v>
      </c>
      <c r="D4" s="2485" t="s">
        <v>792</v>
      </c>
      <c r="E4" s="2486"/>
      <c r="F4" s="2487"/>
      <c r="G4" s="2487"/>
      <c r="H4" s="2487"/>
      <c r="I4" s="2487"/>
      <c r="J4" s="2487"/>
      <c r="K4" s="2487"/>
    </row>
    <row r="5" spans="1:11" ht="15.6">
      <c r="A5" s="2485" t="s">
        <v>793</v>
      </c>
      <c r="B5" s="2485">
        <f ca="1">SUM(D14:D23)</f>
        <v>197</v>
      </c>
      <c r="C5" s="2485">
        <f ca="1">IF(B5=D14,结果表!H102,ROUND(B5*10000/$B$1,0))</f>
        <v>17127</v>
      </c>
      <c r="D5" s="2485" t="e">
        <f ca="1">ROUND(B5*10000/$B$2,0)</f>
        <v>#DIV/0!</v>
      </c>
      <c r="E5" s="2486"/>
      <c r="F5" s="2487"/>
      <c r="G5" s="2487"/>
      <c r="H5" s="2487"/>
      <c r="I5" s="2487"/>
      <c r="J5" s="2487"/>
      <c r="K5" s="2487"/>
    </row>
    <row r="6" spans="1:11" ht="15.6">
      <c r="A6" s="2485" t="s">
        <v>794</v>
      </c>
      <c r="B6" s="2485">
        <f ca="1">SUM(G14:G23)</f>
        <v>197</v>
      </c>
      <c r="C6" s="2485">
        <f ca="1">IF(B6=G14,结果表!H108,ROUND(B6*10000/$B$1,0))</f>
        <v>17127</v>
      </c>
      <c r="D6" s="2485" t="e">
        <f ca="1">ROUND(B6*10000/$B$2,0)</f>
        <v>#DIV/0!</v>
      </c>
      <c r="E6" s="2486"/>
      <c r="F6" s="2487"/>
      <c r="G6" s="2487"/>
      <c r="H6" s="2487"/>
      <c r="I6" s="2487"/>
      <c r="J6" s="2487"/>
      <c r="K6" s="2487"/>
    </row>
    <row r="7" spans="1:11" ht="15.6">
      <c r="A7" s="2485" t="s">
        <v>795</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796</v>
      </c>
      <c r="B9" s="2489"/>
      <c r="C9" s="2486"/>
      <c r="D9" s="2486"/>
      <c r="E9" s="2486"/>
      <c r="F9" s="2487"/>
      <c r="G9" s="2487"/>
      <c r="H9" s="2487"/>
      <c r="I9" s="2487"/>
      <c r="J9" s="2487"/>
      <c r="K9" s="2487"/>
    </row>
    <row r="10" spans="1:11" ht="15.6">
      <c r="A10" s="2485" t="s">
        <v>797</v>
      </c>
      <c r="B10" s="2485">
        <f>IF(E10="",0,ROUND(B1*(E10*365/G10)/10000,0))</f>
        <v>0</v>
      </c>
      <c r="C10" s="2485" t="s">
        <v>798</v>
      </c>
      <c r="D10" s="2485" t="s">
        <v>797</v>
      </c>
      <c r="E10" s="2490"/>
      <c r="F10" s="2491" t="s">
        <v>799</v>
      </c>
      <c r="G10" s="2492"/>
      <c r="H10" s="2487"/>
      <c r="I10" s="2487"/>
      <c r="J10" s="2487"/>
      <c r="K10" s="2487"/>
    </row>
    <row r="11" spans="1:11" ht="15.6">
      <c r="A11" s="2485" t="s">
        <v>800</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801</v>
      </c>
      <c r="B13" s="2494" t="s">
        <v>786</v>
      </c>
      <c r="C13" s="2494" t="s">
        <v>787</v>
      </c>
      <c r="D13" s="2494" t="s">
        <v>802</v>
      </c>
      <c r="E13" s="2485" t="s">
        <v>791</v>
      </c>
      <c r="F13" s="2485" t="s">
        <v>792</v>
      </c>
      <c r="G13" s="2494" t="s">
        <v>803</v>
      </c>
      <c r="H13" s="2494" t="s">
        <v>804</v>
      </c>
      <c r="I13" s="2494" t="s">
        <v>805</v>
      </c>
      <c r="J13" s="2487"/>
      <c r="K13" s="2487"/>
    </row>
    <row r="14" spans="1:11" ht="15.6">
      <c r="A14" s="2495" t="s">
        <v>806</v>
      </c>
      <c r="B14" s="2496">
        <f>'数据-汇总表'!F19</f>
        <v>115</v>
      </c>
      <c r="C14" s="2496"/>
      <c r="D14" s="2496">
        <f ca="1">结果表!G19</f>
        <v>197</v>
      </c>
      <c r="E14" s="2496">
        <f ca="1">ROUND(D14*10000/B14,0)</f>
        <v>17130</v>
      </c>
      <c r="F14" s="2496" t="e">
        <f ca="1">ROUND(D14*10000/C14,0)</f>
        <v>#DIV/0!</v>
      </c>
      <c r="G14" s="2496">
        <f ca="1">D14</f>
        <v>197</v>
      </c>
      <c r="H14" s="2496"/>
      <c r="I14" s="2496"/>
      <c r="J14" s="2487"/>
      <c r="K14" s="2487"/>
    </row>
    <row r="15" spans="1:11" ht="15.6">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808</v>
      </c>
      <c r="B16" s="2497"/>
      <c r="C16" s="2497"/>
      <c r="D16" s="2497"/>
      <c r="E16" s="2496" t="e">
        <f t="shared" si="0"/>
        <v>#DIV/0!</v>
      </c>
      <c r="F16" s="2496" t="e">
        <f t="shared" si="1"/>
        <v>#DIV/0!</v>
      </c>
      <c r="G16" s="2489"/>
      <c r="H16" s="2489"/>
      <c r="I16" s="2497"/>
      <c r="J16" s="2487"/>
      <c r="K16" s="2487"/>
    </row>
    <row r="17" spans="1:11" ht="15.6">
      <c r="A17" s="2495" t="s">
        <v>809</v>
      </c>
      <c r="B17" s="2497"/>
      <c r="C17" s="2497"/>
      <c r="D17" s="2497"/>
      <c r="E17" s="2496" t="e">
        <f t="shared" si="0"/>
        <v>#DIV/0!</v>
      </c>
      <c r="F17" s="2496" t="e">
        <f t="shared" si="1"/>
        <v>#DIV/0!</v>
      </c>
      <c r="G17" s="2489"/>
      <c r="H17" s="2489"/>
      <c r="I17" s="2497"/>
      <c r="J17" s="2487"/>
      <c r="K17" s="2487"/>
    </row>
    <row r="18" spans="1:11" ht="15.6">
      <c r="A18" s="2495" t="s">
        <v>810</v>
      </c>
      <c r="B18" s="2497"/>
      <c r="C18" s="2497"/>
      <c r="D18" s="2497"/>
      <c r="E18" s="2496" t="e">
        <f t="shared" si="0"/>
        <v>#DIV/0!</v>
      </c>
      <c r="F18" s="2496" t="e">
        <f t="shared" si="1"/>
        <v>#DIV/0!</v>
      </c>
      <c r="G18" s="2497"/>
      <c r="H18" s="2497"/>
      <c r="I18" s="2497"/>
      <c r="J18" s="2487"/>
      <c r="K18" s="2487"/>
    </row>
    <row r="19" spans="1:11" ht="15.6">
      <c r="A19" s="2495" t="s">
        <v>811</v>
      </c>
      <c r="B19" s="2497"/>
      <c r="C19" s="2497"/>
      <c r="D19" s="2497"/>
      <c r="E19" s="2496" t="e">
        <f t="shared" si="0"/>
        <v>#DIV/0!</v>
      </c>
      <c r="F19" s="2496" t="e">
        <f t="shared" si="1"/>
        <v>#DIV/0!</v>
      </c>
      <c r="G19" s="2497"/>
      <c r="H19" s="2497"/>
      <c r="I19" s="2497"/>
      <c r="J19" s="2487"/>
      <c r="K19" s="2487"/>
    </row>
    <row r="20" spans="1:11" ht="15.6">
      <c r="A20" s="2495" t="s">
        <v>812</v>
      </c>
      <c r="B20" s="2497"/>
      <c r="C20" s="2497"/>
      <c r="D20" s="2497"/>
      <c r="E20" s="2496" t="e">
        <f t="shared" si="0"/>
        <v>#DIV/0!</v>
      </c>
      <c r="F20" s="2496" t="e">
        <f t="shared" si="1"/>
        <v>#DIV/0!</v>
      </c>
      <c r="G20" s="2497"/>
      <c r="H20" s="2497"/>
      <c r="I20" s="2497"/>
      <c r="J20" s="2487"/>
      <c r="K20" s="2487"/>
    </row>
    <row r="21" spans="1:11" ht="15.6">
      <c r="A21" s="2495" t="s">
        <v>813</v>
      </c>
      <c r="B21" s="2497"/>
      <c r="C21" s="2497"/>
      <c r="D21" s="2497"/>
      <c r="E21" s="2496" t="e">
        <f t="shared" si="0"/>
        <v>#DIV/0!</v>
      </c>
      <c r="F21" s="2496" t="e">
        <f t="shared" si="1"/>
        <v>#DIV/0!</v>
      </c>
      <c r="G21" s="2497"/>
      <c r="H21" s="2497"/>
      <c r="I21" s="2497"/>
      <c r="J21" s="2487"/>
      <c r="K21" s="2487"/>
    </row>
    <row r="22" spans="1:11" ht="15.6">
      <c r="A22" s="2495" t="s">
        <v>814</v>
      </c>
      <c r="B22" s="2497"/>
      <c r="C22" s="2497"/>
      <c r="D22" s="2497"/>
      <c r="E22" s="2496" t="e">
        <f t="shared" si="0"/>
        <v>#DIV/0!</v>
      </c>
      <c r="F22" s="2496" t="e">
        <f t="shared" si="1"/>
        <v>#DIV/0!</v>
      </c>
      <c r="G22" s="2497"/>
      <c r="H22" s="2497"/>
      <c r="I22" s="2497"/>
      <c r="J22" s="2487"/>
      <c r="K22" s="2487"/>
    </row>
    <row r="23" spans="1:11" ht="15.6">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PageLayoutView="80" workbookViewId="0">
      <selection activeCell="D108" sqref="D108"/>
    </sheetView>
  </sheetViews>
  <sheetFormatPr defaultColWidth="12.6640625" defaultRowHeight="21.75" customHeight="1"/>
  <cols>
    <col min="1" max="2" width="12.6640625" style="2217"/>
    <col min="3" max="4" width="12.6640625" style="2217" customWidth="1"/>
    <col min="5" max="9" width="12.6640625" style="2217"/>
    <col min="10" max="11" width="12.6640625" style="898" customWidth="1"/>
    <col min="12" max="12" width="12.6640625" style="898"/>
    <col min="13" max="13" width="14.109375" style="898" customWidth="1"/>
    <col min="14" max="26" width="12.6640625" style="898"/>
    <col min="27" max="35" width="12.6640625" style="2218"/>
    <col min="36" max="16384" width="12.6640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5" t="str">
        <f>项目基本情况!S2</f>
        <v>北京市房地产</v>
      </c>
      <c r="B2" s="3336"/>
      <c r="C2" s="3336"/>
      <c r="D2" s="3336"/>
      <c r="E2" s="3336"/>
      <c r="F2" s="3336"/>
      <c r="G2" s="3336"/>
      <c r="H2" s="3336"/>
      <c r="I2" s="3337"/>
    </row>
    <row r="3" spans="1:12" ht="13.2">
      <c r="A3" s="3338" t="s">
        <v>818</v>
      </c>
      <c r="B3" s="3339"/>
      <c r="C3" s="3339"/>
      <c r="D3" s="3339"/>
      <c r="E3" s="3339"/>
      <c r="F3" s="3339"/>
      <c r="G3" s="3339"/>
      <c r="H3" s="3339"/>
      <c r="I3" s="3339"/>
    </row>
    <row r="4" spans="1:12" ht="14.4">
      <c r="A4" s="2223" t="s">
        <v>819</v>
      </c>
      <c r="B4" s="2224" t="s">
        <v>820</v>
      </c>
      <c r="C4" s="2225" t="s">
        <v>2803</v>
      </c>
      <c r="D4" s="2225" t="s">
        <v>285</v>
      </c>
      <c r="E4" s="3340" t="s">
        <v>821</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262" t="s">
        <v>822</v>
      </c>
      <c r="B5" s="3270">
        <v>25</v>
      </c>
      <c r="C5" s="3352"/>
      <c r="D5" s="3273"/>
      <c r="E5" s="1888" t="s">
        <v>823</v>
      </c>
      <c r="F5" s="2229"/>
      <c r="G5" s="2229"/>
      <c r="H5" s="2229"/>
      <c r="I5" s="2109"/>
    </row>
    <row r="6" spans="1:12" ht="13.2">
      <c r="A6" s="3262"/>
      <c r="B6" s="3270"/>
      <c r="C6" s="3353"/>
      <c r="D6" s="3273"/>
      <c r="E6" s="1888" t="s">
        <v>824</v>
      </c>
      <c r="F6" s="2229"/>
      <c r="G6" s="2229"/>
      <c r="H6" s="2229"/>
      <c r="I6" s="2109"/>
    </row>
    <row r="7" spans="1:12" ht="13.2">
      <c r="A7" s="3262"/>
      <c r="B7" s="3270"/>
      <c r="C7" s="3354"/>
      <c r="D7" s="3273"/>
      <c r="E7" s="1888" t="s">
        <v>825</v>
      </c>
      <c r="F7" s="2229"/>
      <c r="G7" s="2229"/>
      <c r="H7" s="2229"/>
      <c r="I7" s="2109"/>
    </row>
    <row r="8" spans="1:12" ht="13.2">
      <c r="A8" s="3262" t="s">
        <v>826</v>
      </c>
      <c r="B8" s="3270">
        <v>15</v>
      </c>
      <c r="C8" s="3352"/>
      <c r="D8" s="3273"/>
      <c r="E8" s="1888" t="s">
        <v>827</v>
      </c>
      <c r="F8" s="2229"/>
      <c r="G8" s="2229"/>
      <c r="H8" s="2229"/>
      <c r="I8" s="2109"/>
    </row>
    <row r="9" spans="1:12" ht="13.2">
      <c r="A9" s="3262"/>
      <c r="B9" s="3270"/>
      <c r="C9" s="3354"/>
      <c r="D9" s="3273"/>
      <c r="E9" s="1888" t="s">
        <v>828</v>
      </c>
      <c r="F9" s="2229"/>
      <c r="G9" s="2229"/>
      <c r="H9" s="2229"/>
      <c r="I9" s="2109"/>
    </row>
    <row r="10" spans="1:12" ht="13.2">
      <c r="A10" s="3262" t="s">
        <v>829</v>
      </c>
      <c r="B10" s="3270">
        <v>15</v>
      </c>
      <c r="C10" s="3352"/>
      <c r="D10" s="3273"/>
      <c r="E10" s="1888" t="s">
        <v>830</v>
      </c>
      <c r="F10" s="2229"/>
      <c r="G10" s="2229"/>
      <c r="H10" s="2229"/>
      <c r="I10" s="2109"/>
    </row>
    <row r="11" spans="1:12" ht="13.2">
      <c r="A11" s="3262"/>
      <c r="B11" s="3270"/>
      <c r="C11" s="3354"/>
      <c r="D11" s="3273"/>
      <c r="E11" s="1888" t="s">
        <v>831</v>
      </c>
      <c r="F11" s="2229"/>
      <c r="G11" s="2229"/>
      <c r="H11" s="2229"/>
      <c r="I11" s="2109"/>
    </row>
    <row r="12" spans="1:12" ht="13.2">
      <c r="A12" s="3262" t="s">
        <v>832</v>
      </c>
      <c r="B12" s="3270">
        <v>15</v>
      </c>
      <c r="C12" s="3352"/>
      <c r="D12" s="3273"/>
      <c r="E12" s="1888" t="s">
        <v>833</v>
      </c>
      <c r="F12" s="2229"/>
      <c r="G12" s="2229"/>
      <c r="H12" s="2229"/>
      <c r="I12" s="2109"/>
    </row>
    <row r="13" spans="1:12" ht="13.2">
      <c r="A13" s="3262"/>
      <c r="B13" s="3270"/>
      <c r="C13" s="3354"/>
      <c r="D13" s="3273"/>
      <c r="E13" s="1888" t="s">
        <v>834</v>
      </c>
      <c r="F13" s="2229"/>
      <c r="G13" s="2229"/>
      <c r="H13" s="2229"/>
      <c r="I13" s="2109"/>
    </row>
    <row r="14" spans="1:12" ht="13.2">
      <c r="A14" s="3262" t="s">
        <v>835</v>
      </c>
      <c r="B14" s="3270">
        <v>30</v>
      </c>
      <c r="C14" s="3352">
        <v>7</v>
      </c>
      <c r="D14" s="3273">
        <v>3</v>
      </c>
      <c r="E14" s="1888" t="s">
        <v>836</v>
      </c>
      <c r="F14" s="2229"/>
      <c r="G14" s="2229"/>
      <c r="H14" s="2229"/>
      <c r="I14" s="2109"/>
    </row>
    <row r="15" spans="1:12" ht="13.2">
      <c r="A15" s="3262"/>
      <c r="B15" s="3270"/>
      <c r="C15" s="3353"/>
      <c r="D15" s="3273"/>
      <c r="E15" s="1888" t="s">
        <v>837</v>
      </c>
      <c r="F15" s="2229"/>
      <c r="G15" s="2229"/>
      <c r="H15" s="2229"/>
      <c r="I15" s="2109"/>
    </row>
    <row r="16" spans="1:12" ht="13.2">
      <c r="A16" s="3262"/>
      <c r="B16" s="3270"/>
      <c r="C16" s="3354"/>
      <c r="D16" s="3273"/>
      <c r="E16" s="1888" t="s">
        <v>838</v>
      </c>
      <c r="F16" s="2229"/>
      <c r="G16" s="2229"/>
      <c r="H16" s="2229"/>
      <c r="I16" s="2109"/>
    </row>
    <row r="17" spans="1:36" ht="14.4">
      <c r="A17" s="2230" t="s">
        <v>839</v>
      </c>
      <c r="B17" s="2231"/>
      <c r="C17" s="2232">
        <f>SUM(C5:C16)</f>
        <v>7</v>
      </c>
      <c r="D17" s="2232">
        <f>SUM(D5:D16)</f>
        <v>3</v>
      </c>
      <c r="E17" s="939"/>
      <c r="F17" s="939"/>
      <c r="G17" s="939"/>
      <c r="H17" s="939"/>
      <c r="I17" s="939"/>
      <c r="K17" s="1848"/>
      <c r="L17" s="1848" t="s">
        <v>840</v>
      </c>
      <c r="M17" s="1848" t="s">
        <v>841</v>
      </c>
    </row>
    <row r="18" spans="1:36" ht="31.95" customHeight="1">
      <c r="A18" s="2233" t="s">
        <v>842</v>
      </c>
      <c r="B18" s="2234"/>
      <c r="C18" s="2235">
        <f>ROUND(C17/SUM(C17:D17),2)</f>
        <v>0.7</v>
      </c>
      <c r="D18" s="2235">
        <f>1-C18</f>
        <v>0.30000000000000004</v>
      </c>
      <c r="E18" s="3343" t="s">
        <v>843</v>
      </c>
      <c r="F18" s="3344"/>
      <c r="G18" s="3344"/>
      <c r="H18" s="3344"/>
      <c r="I18" s="3344"/>
      <c r="K18" s="1848" t="s">
        <v>504</v>
      </c>
      <c r="L18" s="1848">
        <f>IF(C1="",'数据-汇总表'!E3,SUMIF(项目类型,C1,'数据-汇总表'!E17:E26)+SUMIF(项目类型,C1,'数据-汇总表'!I17:I26))</f>
        <v>115</v>
      </c>
      <c r="M18" s="1848">
        <f>IF(C1="",'数据-汇总表'!E3,SUMIF(项目类型,C1,'数据-汇总表'!E17:E26))</f>
        <v>115</v>
      </c>
    </row>
    <row r="19" spans="1:36" ht="14.4">
      <c r="A19" s="1230" t="s">
        <v>844</v>
      </c>
      <c r="B19" s="2236" t="s">
        <v>845</v>
      </c>
      <c r="C19" s="2237">
        <f ca="1">SUMIF(INDIRECT("'"&amp;C4&amp;"'"&amp;"!A:A"),结果表!B19,INDIRECT("'"&amp;C4&amp;"'"&amp;"!B:B"))</f>
        <v>233.57650000000001</v>
      </c>
      <c r="D19" s="1348">
        <f ca="1">SUMIF(INDIRECT("'"&amp;D4&amp;"'"&amp;"!A:A"),结果表!B19,INDIRECT("'"&amp;D4&amp;"'"&amp;"!B:B"))</f>
        <v>111.5305</v>
      </c>
      <c r="E19" s="1230" t="s">
        <v>846</v>
      </c>
      <c r="F19" s="2236" t="s">
        <v>845</v>
      </c>
      <c r="G19" s="2238">
        <f ca="1">ROUND(C19*$C$18+D19*$D$18,0)</f>
        <v>197</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4.4">
      <c r="A20" s="2240"/>
      <c r="B20" s="2241" t="s">
        <v>848</v>
      </c>
      <c r="C20" s="1592">
        <f ca="1">SUMIF(INDIRECT("'"&amp;C4&amp;"'"&amp;"!A:A"),结果表!B20,INDIRECT("'"&amp;C4&amp;"'"&amp;"!B:B"))</f>
        <v>20311</v>
      </c>
      <c r="D20" s="1595">
        <f ca="1">SUMIF(INDIRECT("'"&amp;D4&amp;"'"&amp;"!A:A"),结果表!B20,INDIRECT("'"&amp;D4&amp;"'"&amp;"!B:B"))</f>
        <v>9698</v>
      </c>
      <c r="E20" s="2240"/>
      <c r="F20" s="2241" t="s">
        <v>848</v>
      </c>
      <c r="G20" s="2242">
        <f ca="1">ROUND(C20*$C$18+D20*$D$18,0)</f>
        <v>17127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4">
      <c r="A22" s="2248" t="s">
        <v>851</v>
      </c>
      <c r="B22" s="2249"/>
      <c r="C22" s="2250"/>
      <c r="D22" s="2251">
        <f ca="1">IF(C19&lt;D19,D19/C19-1,C19/D19-1)</f>
        <v>1.0942836264519573</v>
      </c>
      <c r="E22" s="939"/>
      <c r="F22" s="939"/>
      <c r="G22" s="939"/>
      <c r="H22" s="939"/>
      <c r="I22" s="939"/>
    </row>
    <row r="23" spans="1:36" ht="13.2">
      <c r="A23" s="1991"/>
      <c r="B23" s="1991"/>
      <c r="C23" s="1991"/>
      <c r="D23" s="1991"/>
      <c r="E23" s="939"/>
      <c r="F23" s="939"/>
      <c r="G23" s="939"/>
      <c r="H23" s="939"/>
      <c r="I23" s="939"/>
    </row>
    <row r="24" spans="1:36" ht="14.4">
      <c r="A24" s="3263" t="s">
        <v>852</v>
      </c>
      <c r="B24" s="2236" t="s">
        <v>845</v>
      </c>
      <c r="C24" s="2238">
        <f>IF(B30=0,0,D30)</f>
        <v>0</v>
      </c>
      <c r="D24" s="2252"/>
      <c r="E24" s="939"/>
      <c r="F24" s="939"/>
      <c r="G24" s="939"/>
      <c r="H24" s="939"/>
      <c r="I24" s="939"/>
    </row>
    <row r="25" spans="1:36" ht="14.4">
      <c r="A25" s="326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20149.411764705881</v>
      </c>
      <c r="H26" s="939"/>
      <c r="I26" s="939"/>
    </row>
    <row r="27" spans="1:36" ht="13.8">
      <c r="A27" s="2255"/>
      <c r="B27" s="2256">
        <v>0</v>
      </c>
      <c r="C27" s="2256">
        <v>0</v>
      </c>
      <c r="D27" s="2257">
        <f>ROUND(C27*B27/10000,0)</f>
        <v>0</v>
      </c>
      <c r="E27" s="939"/>
      <c r="F27" s="939"/>
      <c r="G27" s="939">
        <f>25000/0.85</f>
        <v>29411.764705882353</v>
      </c>
      <c r="H27" s="939"/>
      <c r="I27" s="939"/>
    </row>
    <row r="28" spans="1:36" ht="13.8">
      <c r="A28" s="2255"/>
      <c r="B28" s="2256"/>
      <c r="C28" s="2256"/>
      <c r="D28" s="2257"/>
      <c r="E28" s="939"/>
      <c r="F28" s="939"/>
      <c r="G28" s="939"/>
      <c r="H28" s="939"/>
      <c r="I28" s="939"/>
    </row>
    <row r="29" spans="1:36" ht="13.8">
      <c r="A29" s="2255"/>
      <c r="B29" s="2256"/>
      <c r="C29" s="2256"/>
      <c r="D29" s="2257"/>
      <c r="E29" s="939"/>
      <c r="F29" s="939"/>
      <c r="G29" s="939"/>
      <c r="H29" s="939"/>
      <c r="I29" s="939"/>
    </row>
    <row r="30" spans="1:36" ht="14.4">
      <c r="A30" s="2256" t="s">
        <v>857</v>
      </c>
      <c r="B30" s="2256"/>
      <c r="C30" s="2256"/>
      <c r="D30" s="2256"/>
      <c r="E30" s="2258" t="s">
        <v>858</v>
      </c>
      <c r="F30" s="939"/>
      <c r="G30" s="939"/>
      <c r="H30" s="939"/>
      <c r="I30" s="939"/>
    </row>
    <row r="31" spans="1:36" s="2216" customFormat="1" ht="26.4"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1" t="s">
        <v>860</v>
      </c>
      <c r="B32" s="2262"/>
      <c r="C32" s="2263">
        <f ca="1">IF(D32="总价",G19-C24,G20-C25)</f>
        <v>17127</v>
      </c>
      <c r="D32" s="2264" t="s">
        <v>2780</v>
      </c>
      <c r="E32" s="939"/>
      <c r="F32" s="939"/>
      <c r="G32" s="939"/>
      <c r="H32" s="939"/>
      <c r="I32" s="939"/>
    </row>
    <row r="33" spans="1:15" ht="14.4">
      <c r="A33" s="2130" t="s">
        <v>861</v>
      </c>
      <c r="B33" s="1888"/>
      <c r="C33" s="2265"/>
      <c r="D33" s="2266"/>
      <c r="E33" s="2267" t="s">
        <v>862</v>
      </c>
      <c r="F33" s="2268" t="str">
        <f>IF(D32="楼面单价","取值（单价）","取值（总价）")</f>
        <v>取值（单价）</v>
      </c>
      <c r="G33" s="939"/>
      <c r="H33" s="939"/>
      <c r="I33" s="939"/>
    </row>
    <row r="34" spans="1:15" ht="14.4">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4.4">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4.4">
      <c r="A36" s="3265" t="s">
        <v>867</v>
      </c>
      <c r="B36" s="2281" t="s">
        <v>868</v>
      </c>
      <c r="C36" s="2282"/>
      <c r="D36" s="2283"/>
      <c r="E36" s="2284"/>
      <c r="F36" s="2285"/>
      <c r="G36" s="939"/>
      <c r="H36" s="939"/>
      <c r="I36" s="939"/>
    </row>
    <row r="37" spans="1:15" ht="14.4">
      <c r="A37" s="3266"/>
      <c r="B37" s="2286" t="s">
        <v>869</v>
      </c>
      <c r="C37" s="2287"/>
      <c r="D37" s="2288"/>
      <c r="E37" s="2288"/>
      <c r="F37" s="2285"/>
      <c r="G37" s="939"/>
      <c r="H37" s="939"/>
      <c r="I37" s="939"/>
    </row>
    <row r="38" spans="1:15" ht="14.4">
      <c r="A38" s="3267"/>
      <c r="B38" s="2289" t="s">
        <v>870</v>
      </c>
      <c r="C38" s="2290"/>
      <c r="D38" s="2291" t="s">
        <v>871</v>
      </c>
      <c r="E38" s="2288"/>
      <c r="F38" s="2285"/>
      <c r="G38" s="939"/>
      <c r="H38" s="939"/>
      <c r="I38" s="939"/>
    </row>
    <row r="39" spans="1:15" ht="14.4">
      <c r="A39" s="2240" t="s">
        <v>872</v>
      </c>
      <c r="B39" s="2292" t="s">
        <v>854</v>
      </c>
      <c r="C39" s="2293" t="s">
        <v>855</v>
      </c>
      <c r="D39" s="2293" t="s">
        <v>873</v>
      </c>
      <c r="E39" s="2294" t="s">
        <v>856</v>
      </c>
      <c r="F39" s="2285"/>
      <c r="G39" s="939"/>
      <c r="H39" s="939"/>
      <c r="I39" s="939"/>
    </row>
    <row r="40" spans="1:15" ht="13.8">
      <c r="A40" s="2295" t="s">
        <v>874</v>
      </c>
      <c r="B40" s="2296"/>
      <c r="C40" s="957"/>
      <c r="D40" s="957"/>
      <c r="E40" s="2297"/>
      <c r="F40" s="2285"/>
      <c r="G40" s="939"/>
      <c r="H40" s="939"/>
      <c r="I40" s="939"/>
    </row>
    <row r="41" spans="1:15" ht="13.8">
      <c r="A41" s="2295" t="s">
        <v>875</v>
      </c>
      <c r="B41" s="2296"/>
      <c r="C41" s="957"/>
      <c r="D41" s="957"/>
      <c r="E41" s="2297"/>
      <c r="F41" s="2285"/>
      <c r="G41" s="939"/>
      <c r="H41" s="939"/>
      <c r="I41" s="939"/>
    </row>
    <row r="42" spans="1:15" ht="13.8">
      <c r="A42" s="2298"/>
      <c r="B42" s="2299"/>
      <c r="C42" s="2300"/>
      <c r="D42" s="2300"/>
      <c r="E42" s="2280"/>
      <c r="F42" s="2285"/>
      <c r="G42" s="939"/>
      <c r="H42" s="939"/>
      <c r="I42" s="939"/>
    </row>
    <row r="43" spans="1:15" ht="13.2">
      <c r="A43" s="2301"/>
      <c r="B43" s="2301"/>
      <c r="C43" s="2301"/>
      <c r="D43" s="2301"/>
      <c r="E43" s="2301"/>
      <c r="F43" s="2302"/>
      <c r="G43" s="2302"/>
      <c r="H43" s="2302"/>
      <c r="I43" s="2354"/>
    </row>
    <row r="44" spans="1:15" ht="17.399999999999999">
      <c r="A44" s="2303" t="s">
        <v>876</v>
      </c>
      <c r="B44" s="2304"/>
      <c r="C44" s="2304"/>
      <c r="D44" s="2305"/>
      <c r="E44" s="2305"/>
      <c r="F44" s="2306"/>
      <c r="G44" s="2306"/>
      <c r="H44" s="2306"/>
      <c r="I44" s="2306"/>
      <c r="J44" s="851" t="s">
        <v>877</v>
      </c>
      <c r="K44" s="681"/>
      <c r="L44" s="681"/>
      <c r="M44" s="681"/>
      <c r="N44" s="681"/>
      <c r="O44" s="681"/>
    </row>
    <row r="45" spans="1:15" ht="14.25" customHeight="1">
      <c r="A45" s="3345" t="s">
        <v>878</v>
      </c>
      <c r="B45" s="3346"/>
      <c r="C45" s="3347"/>
      <c r="D45" s="1847">
        <f ca="1">ROUND(H101*F45,0)</f>
        <v>197</v>
      </c>
      <c r="E45" s="2307" t="s">
        <v>879</v>
      </c>
      <c r="F45" s="2308">
        <v>1</v>
      </c>
      <c r="G45" s="1858" t="s">
        <v>880</v>
      </c>
      <c r="H45" s="939"/>
      <c r="I45" s="939"/>
      <c r="J45" s="3334" t="s">
        <v>881</v>
      </c>
      <c r="K45" s="3334"/>
      <c r="L45" s="3334"/>
      <c r="M45" s="3334"/>
      <c r="N45" s="3334"/>
      <c r="O45" s="3334"/>
    </row>
    <row r="46" spans="1:15" ht="14.25" customHeight="1">
      <c r="A46" s="3348" t="s">
        <v>882</v>
      </c>
      <c r="B46" s="3349"/>
      <c r="C46" s="3349"/>
      <c r="D46" s="3349"/>
      <c r="E46" s="3349"/>
      <c r="F46" s="3349"/>
      <c r="G46" s="3350"/>
      <c r="H46" s="2309"/>
      <c r="I46" s="940"/>
      <c r="J46" s="580">
        <v>1</v>
      </c>
      <c r="K46" s="3324" t="s">
        <v>883</v>
      </c>
      <c r="L46" s="3324"/>
      <c r="M46" s="3351"/>
      <c r="N46" s="3351"/>
      <c r="O46" s="3351"/>
    </row>
    <row r="47" spans="1:15" ht="12" customHeight="1">
      <c r="A47" s="2310" t="s">
        <v>884</v>
      </c>
      <c r="B47" s="2311"/>
      <c r="C47" s="2312"/>
      <c r="D47" s="1897" t="s">
        <v>885</v>
      </c>
      <c r="E47" s="1848" t="s">
        <v>886</v>
      </c>
      <c r="F47" s="2313" t="s">
        <v>887</v>
      </c>
      <c r="G47" s="2314" t="s">
        <v>888</v>
      </c>
      <c r="H47" s="2315"/>
      <c r="I47" s="940"/>
      <c r="J47" s="580">
        <v>2</v>
      </c>
      <c r="K47" s="3324" t="s">
        <v>889</v>
      </c>
      <c r="L47" s="3324"/>
      <c r="M47" s="3331">
        <f>'数据-取费表'!B2</f>
        <v>45958</v>
      </c>
      <c r="N47" s="3331"/>
      <c r="O47" s="3331"/>
    </row>
    <row r="48" spans="1:15" ht="26.4">
      <c r="A48" s="3332" t="s">
        <v>890</v>
      </c>
      <c r="B48" s="3326"/>
      <c r="C48" s="332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4" t="s">
        <v>892</v>
      </c>
      <c r="L48" s="3324"/>
      <c r="M48" s="3333">
        <f ca="1">H101</f>
        <v>197</v>
      </c>
      <c r="N48" s="3333"/>
      <c r="O48" s="3333"/>
    </row>
    <row r="49" spans="1:35" ht="25.5" customHeight="1">
      <c r="A49" s="2316" t="s">
        <v>893</v>
      </c>
      <c r="B49" s="3300" t="s">
        <v>894</v>
      </c>
      <c r="C49" s="3300"/>
      <c r="D49" s="2320">
        <v>0</v>
      </c>
      <c r="E49" s="1907" t="s">
        <v>895</v>
      </c>
      <c r="F49" s="2321" t="s">
        <v>124</v>
      </c>
      <c r="G49" s="3327"/>
      <c r="H49" s="2322" t="s">
        <v>896</v>
      </c>
      <c r="I49" s="2356"/>
      <c r="J49" s="580">
        <v>4</v>
      </c>
      <c r="K49" s="3324" t="str">
        <f>IF(项目基本情况!E8="房地产抵押价值","房地产抵押价值","抵押担保权已注销时的房地产抵押价值")</f>
        <v>房地产抵押价值</v>
      </c>
      <c r="L49" s="3324"/>
      <c r="M49" s="3333">
        <f ca="1">IF(项目基本情况!E8="房地产抵押价值",H107,H109)</f>
        <v>197</v>
      </c>
      <c r="N49" s="3333"/>
      <c r="O49" s="3333"/>
    </row>
    <row r="50" spans="1:35" ht="25.5" customHeight="1">
      <c r="A50" s="2323"/>
      <c r="B50" s="3300" t="s">
        <v>897</v>
      </c>
      <c r="C50" s="3300"/>
      <c r="D50" s="2324"/>
      <c r="E50" s="1922"/>
      <c r="F50" s="2321"/>
      <c r="G50" s="3328"/>
      <c r="H50" s="2325" t="s">
        <v>898</v>
      </c>
      <c r="I50" s="2356"/>
      <c r="J50" s="3334" t="s">
        <v>899</v>
      </c>
      <c r="K50" s="3334"/>
      <c r="L50" s="3334"/>
      <c r="M50" s="3334"/>
      <c r="N50" s="3334"/>
      <c r="O50" s="3334"/>
    </row>
    <row r="51" spans="1:35" ht="20.399999999999999" customHeight="1">
      <c r="A51" s="2326"/>
      <c r="B51" s="3300" t="s">
        <v>900</v>
      </c>
      <c r="C51" s="3300"/>
      <c r="D51" s="1897"/>
      <c r="E51" s="1911"/>
      <c r="F51" s="2321"/>
      <c r="G51" s="3329"/>
      <c r="H51" s="2325" t="s">
        <v>901</v>
      </c>
      <c r="I51" s="2356"/>
      <c r="J51" s="2355" t="s">
        <v>902</v>
      </c>
      <c r="K51" s="3324" t="s">
        <v>903</v>
      </c>
      <c r="L51" s="3324"/>
      <c r="M51" s="2355" t="s">
        <v>904</v>
      </c>
      <c r="N51" s="2355" t="s">
        <v>905</v>
      </c>
      <c r="O51" s="2355" t="s">
        <v>906</v>
      </c>
    </row>
    <row r="52" spans="1:35" ht="24" customHeight="1">
      <c r="A52" s="2327" t="s">
        <v>907</v>
      </c>
      <c r="B52" s="3300" t="s">
        <v>908</v>
      </c>
      <c r="C52" s="3300"/>
      <c r="D52" s="1897">
        <f ca="1">ROUND(D45*'数据-取费表'!B41/(1+'数据-取费表'!C42),0)</f>
        <v>11</v>
      </c>
      <c r="E52" s="1901" t="s">
        <v>909</v>
      </c>
      <c r="F52" s="2328">
        <f>'数据-取费表'!B41</f>
        <v>5.6000000000000001E-2</v>
      </c>
      <c r="G52" s="2329"/>
      <c r="H52" s="2012"/>
      <c r="I52" s="2357"/>
      <c r="J52" s="580">
        <v>1</v>
      </c>
      <c r="K52" s="3320" t="s">
        <v>910</v>
      </c>
      <c r="L52" s="3320"/>
      <c r="M52" s="2358" t="b">
        <f>D48</f>
        <v>0</v>
      </c>
      <c r="N52" s="580" t="str">
        <f>E48</f>
        <v>销售额×税（费）率</v>
      </c>
      <c r="O52" s="2359">
        <f>F48</f>
        <v>5.6000000000000001E-2</v>
      </c>
    </row>
    <row r="53" spans="1:35" ht="12" customHeight="1">
      <c r="A53" s="2327" t="s">
        <v>911</v>
      </c>
      <c r="B53" s="3299" t="s">
        <v>912</v>
      </c>
      <c r="C53" s="3316"/>
      <c r="D53" s="1897">
        <f ca="1">ROUND(D45*'数据-取费表'!B41/(1+'数据-取费表'!C42),0)</f>
        <v>11</v>
      </c>
      <c r="E53" s="1901" t="s">
        <v>909</v>
      </c>
      <c r="F53" s="2328">
        <f>'数据-取费表'!B41</f>
        <v>5.6000000000000001E-2</v>
      </c>
      <c r="G53" s="2329"/>
      <c r="H53" s="2012"/>
      <c r="I53" s="2357"/>
      <c r="J53" s="580">
        <v>2</v>
      </c>
      <c r="K53" s="3320" t="s">
        <v>913</v>
      </c>
      <c r="L53" s="3320"/>
      <c r="M53" s="2358">
        <f t="shared" ref="M53:O54" ca="1" si="0">D55</f>
        <v>0</v>
      </c>
      <c r="N53" s="580" t="str">
        <f t="shared" si="0"/>
        <v>销售额×税（费）率</v>
      </c>
      <c r="O53" s="2359" t="str">
        <f t="shared" si="0"/>
        <v>免征</v>
      </c>
    </row>
    <row r="54" spans="1:35" ht="12" customHeight="1">
      <c r="A54" s="2327" t="s">
        <v>914</v>
      </c>
      <c r="B54" s="3299" t="s">
        <v>915</v>
      </c>
      <c r="C54" s="3316"/>
      <c r="D54" s="1897">
        <f ca="1">C68</f>
        <v>11</v>
      </c>
      <c r="E54" s="1911" t="s">
        <v>916</v>
      </c>
      <c r="F54" s="2328">
        <f>'数据-取费表'!B41</f>
        <v>5.6000000000000001E-2</v>
      </c>
      <c r="G54" s="2329"/>
      <c r="H54" s="2330"/>
      <c r="I54" s="2357"/>
      <c r="J54" s="580">
        <v>3</v>
      </c>
      <c r="K54" s="3320" t="s">
        <v>917</v>
      </c>
      <c r="L54" s="3320"/>
      <c r="M54" s="2358">
        <f t="shared" ca="1" si="0"/>
        <v>112</v>
      </c>
      <c r="N54" s="580" t="str">
        <f t="shared" si="0"/>
        <v>增值额×税（费）率</v>
      </c>
      <c r="O54" s="2360" t="str">
        <f t="shared" si="0"/>
        <v>免征</v>
      </c>
    </row>
    <row r="55" spans="1:35" ht="24" customHeight="1">
      <c r="A55" s="3325" t="s">
        <v>918</v>
      </c>
      <c r="B55" s="3326"/>
      <c r="C55" s="3326"/>
      <c r="D55" s="1998">
        <f ca="1">IF(H55="个人住宅",0,ROUND(D45*I55,0))</f>
        <v>0</v>
      </c>
      <c r="E55" s="1901" t="s">
        <v>919</v>
      </c>
      <c r="F55" s="2328" t="str">
        <f>IF(H55="正常",I55,"免征")</f>
        <v>免征</v>
      </c>
      <c r="G55" s="2329"/>
      <c r="H55" s="2319"/>
      <c r="I55" s="2361">
        <f>'数据-取费表'!B49</f>
        <v>5.0000000000000001E-4</v>
      </c>
      <c r="J55" s="580">
        <f>IF(H59="非个人房产","",4)</f>
        <v>4</v>
      </c>
      <c r="K55" s="3320" t="str">
        <f>IF(H59="非个人房产","——","个人所得税")</f>
        <v>个人所得税</v>
      </c>
      <c r="L55" s="3320"/>
      <c r="M55" s="2362">
        <f ca="1">D59</f>
        <v>2</v>
      </c>
      <c r="N55" s="561" t="str">
        <f>E59</f>
        <v>差额计税</v>
      </c>
      <c r="O55" s="2363">
        <f>F59</f>
        <v>0.01</v>
      </c>
    </row>
    <row r="56" spans="1:35" ht="25.2">
      <c r="A56" s="3325" t="s">
        <v>920</v>
      </c>
      <c r="B56" s="3326"/>
      <c r="C56" s="3326"/>
      <c r="D56" s="1998">
        <f ca="1">IF(H56="个人住宅",D57,D58)</f>
        <v>112</v>
      </c>
      <c r="E56" s="1901" t="s">
        <v>921</v>
      </c>
      <c r="F56" s="2328" t="str">
        <f>IF(H56="正常",F58,"免征")</f>
        <v>免征</v>
      </c>
      <c r="G56" s="2331" t="s">
        <v>922</v>
      </c>
      <c r="H56" s="2332"/>
      <c r="I56" s="2341"/>
      <c r="J56" s="580" t="str">
        <f>IF(项目基本情况!K6="上海银行",IF(J55="",4,J55+1),"")</f>
        <v/>
      </c>
      <c r="K56" s="3314" t="str">
        <f>IF(项目基本情况!K6="上海银行","其他处置费用","")</f>
        <v/>
      </c>
      <c r="L56" s="3330"/>
      <c r="M56" s="2358" t="str">
        <f>IF(项目基本情况!K6="上海银行",M69,"")</f>
        <v/>
      </c>
      <c r="N56" s="3314" t="str">
        <f>IF(项目基本情况!K6="上海银行","包含处置中涉及的律师、诉讼、拍卖、评估等费用","")</f>
        <v/>
      </c>
      <c r="O56" s="3315"/>
    </row>
    <row r="57" spans="1:35" ht="13.2">
      <c r="A57" s="2327" t="s">
        <v>893</v>
      </c>
      <c r="B57" s="3299" t="s">
        <v>923</v>
      </c>
      <c r="C57" s="3316"/>
      <c r="D57" s="2320">
        <v>0</v>
      </c>
      <c r="E57" s="1907" t="s">
        <v>895</v>
      </c>
      <c r="F57" s="1848"/>
      <c r="G57" s="2329"/>
      <c r="H57" s="2333"/>
      <c r="I57" s="2341"/>
      <c r="J57" s="3320">
        <f>IF(AND(J55="",J56=""),4,IF(项目基本情况!K6="上海银行",结果表!J56+1,结果表!J55+1))</f>
        <v>5</v>
      </c>
      <c r="K57" s="3320" t="s">
        <v>924</v>
      </c>
      <c r="L57" s="2364" t="s">
        <v>925</v>
      </c>
      <c r="M57" s="2365"/>
      <c r="N57" s="2366">
        <f ca="1">SUMIF(M52:M56,"&lt;9e307")</f>
        <v>114</v>
      </c>
      <c r="O57" s="2367"/>
      <c r="P57" s="2368">
        <f ca="1">N57/M49</f>
        <v>0.57868020304568524</v>
      </c>
    </row>
    <row r="58" spans="1:35" ht="25.2">
      <c r="A58" s="2327" t="s">
        <v>907</v>
      </c>
      <c r="B58" s="3299" t="s">
        <v>926</v>
      </c>
      <c r="C58" s="3300"/>
      <c r="D58" s="1998">
        <f ca="1">IF(H58="转让取得",C81,C97)</f>
        <v>112</v>
      </c>
      <c r="E58" s="1901" t="s">
        <v>921</v>
      </c>
      <c r="F58" s="1848" t="s">
        <v>124</v>
      </c>
      <c r="G58" s="2329"/>
      <c r="H58" s="2332"/>
      <c r="I58" s="2341"/>
      <c r="J58" s="3320"/>
      <c r="K58" s="3320"/>
      <c r="L58" s="2364" t="s">
        <v>927</v>
      </c>
      <c r="M58" s="2369"/>
      <c r="N58" s="2370" t="str">
        <f ca="1">NUMBERSTRING(INT(N57*10000),2)&amp;"元整"</f>
        <v>壹佰壹拾肆万元整</v>
      </c>
      <c r="O58" s="2371"/>
    </row>
    <row r="59" spans="1:35" ht="24">
      <c r="A59" s="3317" t="s">
        <v>928</v>
      </c>
      <c r="B59" s="3318"/>
      <c r="C59" s="3318"/>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1">
        <f>J57+1</f>
        <v>6</v>
      </c>
      <c r="K59" s="3320" t="s">
        <v>930</v>
      </c>
      <c r="L59" s="580" t="s">
        <v>925</v>
      </c>
      <c r="M59" s="2373"/>
      <c r="N59" s="2374">
        <f ca="1">M49-N57</f>
        <v>83</v>
      </c>
      <c r="O59" s="2375"/>
    </row>
    <row r="60" spans="1:35" ht="12" customHeight="1">
      <c r="A60" s="2339"/>
      <c r="B60" s="1991"/>
      <c r="C60" s="1991"/>
      <c r="D60" s="1991"/>
      <c r="E60" s="2340"/>
      <c r="F60" s="2341"/>
      <c r="G60" s="2341"/>
      <c r="H60" s="940"/>
      <c r="I60" s="939"/>
      <c r="J60" s="3322"/>
      <c r="K60" s="3320"/>
      <c r="L60" s="2364" t="s">
        <v>927</v>
      </c>
      <c r="M60" s="2369"/>
      <c r="N60" s="2370" t="str">
        <f ca="1">NUMBERSTRING(INT(N59*10000),2)&amp;"元整"</f>
        <v>捌拾叁万元整</v>
      </c>
      <c r="O60" s="2371"/>
    </row>
    <row r="61" spans="1:35" ht="13.2">
      <c r="A61" s="3319" t="s">
        <v>931</v>
      </c>
      <c r="B61" s="3319"/>
      <c r="C61" s="3319"/>
      <c r="D61" s="3319"/>
      <c r="E61" s="3319"/>
      <c r="F61" s="2341"/>
      <c r="G61" s="2341"/>
      <c r="H61" s="940"/>
      <c r="I61" s="939"/>
      <c r="J61" s="580">
        <f>J59+1</f>
        <v>7</v>
      </c>
      <c r="K61" s="3320" t="s">
        <v>932</v>
      </c>
      <c r="L61" s="3320"/>
      <c r="M61" s="2376"/>
      <c r="N61" s="2377">
        <f ca="1">ROUND(N59*10000/'数据-汇总表'!E3,0)</f>
        <v>7217</v>
      </c>
      <c r="O61" s="2378"/>
    </row>
    <row r="62" spans="1:35" ht="13.2">
      <c r="A62" s="3297" t="s">
        <v>933</v>
      </c>
      <c r="B62" s="3298"/>
      <c r="C62" s="532"/>
      <c r="D62" s="532" t="s">
        <v>934</v>
      </c>
      <c r="E62" s="2342" t="s">
        <v>888</v>
      </c>
      <c r="F62" s="2341"/>
      <c r="G62" s="2341"/>
      <c r="H62" s="940"/>
      <c r="I62" s="939"/>
    </row>
    <row r="63" spans="1:35" ht="13.2">
      <c r="A63" s="2343" t="s">
        <v>935</v>
      </c>
      <c r="B63" s="590" t="s">
        <v>936</v>
      </c>
      <c r="C63" s="2344">
        <f ca="1">ROUND((C64+C65)/(1+'数据-取费表'!C42),0)</f>
        <v>188</v>
      </c>
      <c r="D63" s="590"/>
      <c r="E63" s="2345"/>
      <c r="F63" s="2341"/>
      <c r="G63" s="2341"/>
      <c r="H63" s="940"/>
      <c r="I63" s="939"/>
      <c r="J63" s="3323" t="s">
        <v>937</v>
      </c>
      <c r="K63" s="2379" t="s">
        <v>938</v>
      </c>
      <c r="L63" s="2379">
        <f ca="1">IF(M49&gt;10000,M49*0.5%,IF(AND(M49&gt;1000,M49&lt;=10000),M49*1%,IF(AND(M49&gt;100,M49&lt;=1000),M49*3%,IF(AND(M49&gt;10,M49&lt;=100),M49*5%,M49*8%))))</f>
        <v>5.91</v>
      </c>
      <c r="M63" s="1848">
        <f ca="1">ROUND(L63,1)</f>
        <v>5.9</v>
      </c>
      <c r="N63" s="2380"/>
      <c r="Z63" s="2218"/>
      <c r="AI63" s="2217"/>
    </row>
    <row r="64" spans="1:35" ht="14.25" customHeight="1">
      <c r="A64" s="2346" t="s">
        <v>939</v>
      </c>
      <c r="B64" s="513" t="s">
        <v>940</v>
      </c>
      <c r="C64" s="2347">
        <f ca="1">D45</f>
        <v>197</v>
      </c>
      <c r="D64" s="513" t="s">
        <v>124</v>
      </c>
      <c r="E64" s="2348"/>
      <c r="F64" s="2341"/>
      <c r="G64" s="2341"/>
      <c r="H64" s="940"/>
      <c r="I64" s="939"/>
      <c r="J64" s="3323"/>
      <c r="K64" s="2379" t="s">
        <v>941</v>
      </c>
      <c r="L64" s="2379">
        <f ca="1">IF(M49&gt;2000,M49*0.5%,IF(AND(M49&gt;1000,M49&lt;=2000),M49*0.6%,IF(AND(M49&gt;500,M49&lt;=1000),M49*0.7%,IF(AND(M49&gt;200,M49&lt;=500),M49*0.8%,IF(AND(M49&gt;100,M49&lt;=200),M49*0.9%,IF(AND(M49&gt;50,M49&lt;=100),M49*1%,IF(AND(M49&gt;20,M49&lt;=50),M49*1.5%,IF(AND(M49&gt;10,M49&lt;=20),M49*2%,IF(AND(M49&gt;1,M49&lt;=10),M49*2.5%)))))))))</f>
        <v>1.7730000000000001</v>
      </c>
      <c r="M64" s="1848">
        <f t="shared" ref="M64:M65" ca="1" si="1">ROUND(L64,1)</f>
        <v>1.8</v>
      </c>
      <c r="N64" s="2012" t="s">
        <v>942</v>
      </c>
      <c r="Z64" s="2218"/>
      <c r="AI64" s="2217"/>
    </row>
    <row r="65" spans="1:35" ht="14.25" customHeight="1">
      <c r="A65" s="2346" t="s">
        <v>943</v>
      </c>
      <c r="B65" s="513" t="s">
        <v>944</v>
      </c>
      <c r="C65" s="2382"/>
      <c r="D65" s="513"/>
      <c r="E65" s="2348"/>
      <c r="F65" s="2341"/>
      <c r="G65" s="2341"/>
      <c r="H65" s="940"/>
      <c r="I65" s="939"/>
      <c r="J65" s="3323"/>
      <c r="K65" s="2379" t="s">
        <v>945</v>
      </c>
      <c r="L65" s="2379">
        <f ca="1">IF(M49&gt;1000,M49*0.1%,IF(AND(M49&gt;500,M49&lt;=1000),M49*0.5%,IF(AND(M49&gt;50,M49&lt;=500),M49*1%,IF(AND(M49&gt;1,M49&lt;=50),M49*1.5%))))</f>
        <v>1.97</v>
      </c>
      <c r="M65" s="1848">
        <f t="shared" ca="1" si="1"/>
        <v>2</v>
      </c>
      <c r="N65" s="2012" t="s">
        <v>942</v>
      </c>
      <c r="Z65" s="2218"/>
      <c r="AI65" s="2217"/>
    </row>
    <row r="66" spans="1:35" ht="14.25" customHeight="1">
      <c r="A66" s="2343" t="s">
        <v>946</v>
      </c>
      <c r="B66" s="2383" t="s">
        <v>947</v>
      </c>
      <c r="C66" s="2384"/>
      <c r="D66" s="2383" t="s">
        <v>124</v>
      </c>
      <c r="E66" s="2385" t="s">
        <v>948</v>
      </c>
      <c r="F66" s="2341"/>
      <c r="G66" s="2341"/>
      <c r="H66" s="940"/>
      <c r="I66" s="939"/>
      <c r="J66" s="3323"/>
      <c r="K66" s="2379" t="s">
        <v>949</v>
      </c>
      <c r="L66" s="2379">
        <f ca="1">M49*0.5%</f>
        <v>0.98499999999999999</v>
      </c>
      <c r="M66" s="1848">
        <f ca="1">IF(L66&gt;0.5,0.5,ROUND(L66,0))</f>
        <v>0.5</v>
      </c>
      <c r="N66" s="2012" t="s">
        <v>950</v>
      </c>
      <c r="Z66" s="2218"/>
      <c r="AI66" s="2217"/>
    </row>
    <row r="67" spans="1:35" ht="14.25" customHeight="1">
      <c r="A67" s="2343" t="s">
        <v>951</v>
      </c>
      <c r="B67" s="2383" t="s">
        <v>952</v>
      </c>
      <c r="C67" s="2386">
        <f ca="1">C63-C66</f>
        <v>188</v>
      </c>
      <c r="D67" s="513" t="s">
        <v>124</v>
      </c>
      <c r="E67" s="2348"/>
      <c r="F67" s="2341"/>
      <c r="G67" s="2341"/>
      <c r="H67" s="940"/>
      <c r="I67" s="939"/>
      <c r="J67" s="3323"/>
      <c r="K67" s="2379" t="s">
        <v>953</v>
      </c>
      <c r="L67" s="2379">
        <f ca="1">IF(M49&gt;=10000,(8.25+(M49-10000)*0.01%),IF(AND(M49&gt;=8000,M49&lt;10000),(7.85+(M49-8000)*0.02%),IF(AND(M49&gt;=5000,M49&lt;8000),(6.65+(M49-5000)*0.04%),IF(AND(M49&gt;=2000,M49&lt;5000),(4.25+(PM49-2000)*0.08%),IF(AND(M49&gt;=1000,M49&lt;2000),(2.75+(M49-1000)*0.15%),IF(AND(M49&gt;=100,M49&lt;1000),(0.5+(M49-100)*0.25%),IF(AND(M49&gt;0,M49&lt;100),M49*0.5%)))))))</f>
        <v>0.74249999999999994</v>
      </c>
      <c r="M67" s="1848">
        <f ca="1">ROUND(L67*0.9,1)</f>
        <v>0.7</v>
      </c>
      <c r="N67" s="2380"/>
      <c r="Z67" s="2218"/>
      <c r="AI67" s="2217"/>
    </row>
    <row r="68" spans="1:35" ht="14.25" customHeight="1">
      <c r="A68" s="2387" t="s">
        <v>954</v>
      </c>
      <c r="B68" s="2388" t="s">
        <v>955</v>
      </c>
      <c r="C68" s="2389">
        <f ca="1">IF(C67&lt;=0,0,ROUND(C67*D68,0))</f>
        <v>11</v>
      </c>
      <c r="D68" s="775">
        <f>'数据-取费表'!B41</f>
        <v>5.6000000000000001E-2</v>
      </c>
      <c r="E68" s="2390"/>
      <c r="F68" s="2341"/>
      <c r="G68" s="2341"/>
      <c r="H68" s="940"/>
      <c r="I68" s="939"/>
      <c r="J68" s="3323"/>
      <c r="K68" s="2379" t="s">
        <v>956</v>
      </c>
      <c r="L68" s="2379">
        <f ca="1">IF(M49&gt;10000,M49*0.5%,IF(AND(M49&gt;5000,M49&lt;=10000),M49*1%,IF(AND(M49&gt;1000,M49&lt;=5000),M49*2%,IF(AND(M49&gt;200,M49&lt;=1000),M49*3%,M49*5%))))</f>
        <v>9.8500000000000014</v>
      </c>
      <c r="M68" s="1848">
        <f ca="1">ROUND(L68,1)</f>
        <v>9.9</v>
      </c>
      <c r="N68" s="2380"/>
      <c r="Z68" s="2218"/>
      <c r="AI68" s="2217"/>
    </row>
    <row r="69" spans="1:35" ht="16.5" customHeight="1">
      <c r="A69" s="2391"/>
      <c r="B69" s="2392"/>
      <c r="C69" s="2393"/>
      <c r="D69" s="697"/>
      <c r="E69" s="2394"/>
      <c r="F69" s="2340"/>
      <c r="G69" s="2340"/>
      <c r="H69" s="2301"/>
      <c r="I69" s="1991"/>
      <c r="J69" s="3323"/>
      <c r="K69" s="2379" t="s">
        <v>957</v>
      </c>
      <c r="L69" s="2379"/>
      <c r="M69" s="1848">
        <f ca="1">ROUND(SUM(M63:M68),0)</f>
        <v>21</v>
      </c>
      <c r="N69" s="2454">
        <f ca="1">M69/M49</f>
        <v>0.1065989847715736</v>
      </c>
      <c r="Z69" s="2218"/>
      <c r="AI69" s="2217"/>
    </row>
    <row r="70" spans="1:35" s="880" customFormat="1" ht="13.8">
      <c r="A70" s="3295" t="s">
        <v>958</v>
      </c>
      <c r="B70" s="3296"/>
      <c r="C70" s="3296"/>
      <c r="D70" s="3296"/>
      <c r="E70" s="3296"/>
      <c r="F70" s="3296"/>
      <c r="G70" s="3296"/>
      <c r="H70" s="3296"/>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3.8">
      <c r="A71" s="3297" t="s">
        <v>933</v>
      </c>
      <c r="B71" s="329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3.8">
      <c r="A72" s="2343" t="s">
        <v>935</v>
      </c>
      <c r="B72" s="2383" t="s">
        <v>959</v>
      </c>
      <c r="C72" s="2386">
        <f ca="1">ROUND(D45/(1+'数据-取费表'!C42),0)</f>
        <v>188</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3.8">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28.8">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9" t="s">
        <v>968</v>
      </c>
      <c r="F76" s="3300"/>
      <c r="G76" s="3300"/>
      <c r="H76" s="330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277" t="s">
        <v>973</v>
      </c>
      <c r="F78" s="3278"/>
      <c r="G78" s="3278"/>
      <c r="H78" s="3279"/>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3.8">
      <c r="A79" s="2343" t="s">
        <v>951</v>
      </c>
      <c r="B79" s="2383" t="s">
        <v>974</v>
      </c>
      <c r="C79" s="2386">
        <f ca="1">C72-C73</f>
        <v>187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187</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3.8">
      <c r="A83" s="3295" t="s">
        <v>978</v>
      </c>
      <c r="B83" s="3296"/>
      <c r="C83" s="3296"/>
      <c r="D83" s="3296"/>
      <c r="E83" s="3296"/>
      <c r="F83" s="3296"/>
      <c r="G83" s="3296"/>
      <c r="H83" s="3296"/>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3.8">
      <c r="A84" s="3297" t="s">
        <v>933</v>
      </c>
      <c r="B84" s="329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3.8">
      <c r="A85" s="2343" t="s">
        <v>935</v>
      </c>
      <c r="B85" s="2383" t="s">
        <v>959</v>
      </c>
      <c r="C85" s="2386">
        <f ca="1">ROUND(D45/(1+'数据-取费表'!C42),0)</f>
        <v>188</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3.8">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3.8">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4">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3.8">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4">
      <c r="A90" s="2346" t="s">
        <v>943</v>
      </c>
      <c r="B90" s="513" t="s">
        <v>985</v>
      </c>
      <c r="C90" s="2423"/>
      <c r="D90" s="2409"/>
      <c r="E90" s="2424" t="str">
        <f>IF(H88="-","土地取得成本中已包含该笔费用"," ")</f>
        <v xml:space="preserve"> </v>
      </c>
      <c r="F90" s="2411"/>
      <c r="G90" s="3309" t="s">
        <v>986</v>
      </c>
      <c r="H90" s="331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7" t="s">
        <v>990</v>
      </c>
      <c r="F91" s="3278"/>
      <c r="G91" s="3278"/>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7" t="s">
        <v>993</v>
      </c>
      <c r="F92" s="3278"/>
      <c r="G92" s="3278"/>
      <c r="H92" s="3279"/>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277" t="s">
        <v>973</v>
      </c>
      <c r="F93" s="3278"/>
      <c r="G93" s="3278"/>
      <c r="H93" s="3279"/>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0" t="s">
        <v>998</v>
      </c>
      <c r="F94" s="3281"/>
      <c r="G94" s="3281"/>
      <c r="H94" s="3282"/>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3.8">
      <c r="A95" s="2343" t="s">
        <v>951</v>
      </c>
      <c r="B95" s="2383" t="s">
        <v>974</v>
      </c>
      <c r="C95" s="2386">
        <f ca="1">ROUND(C85-C86,0)</f>
        <v>187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187</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283"/>
      <c r="E100" s="3256" t="s">
        <v>1001</v>
      </c>
      <c r="F100" s="3256"/>
      <c r="G100" s="3256"/>
      <c r="H100" s="3283"/>
      <c r="I100" s="939"/>
    </row>
    <row r="101" spans="1:35" ht="18.75" customHeight="1">
      <c r="A101" s="3284" t="s">
        <v>1002</v>
      </c>
      <c r="B101" s="3285"/>
      <c r="C101" s="2431" t="str">
        <f>C4</f>
        <v>比较法-办公</v>
      </c>
      <c r="D101" s="2432" t="str">
        <f>D4</f>
        <v>收益法 (元)</v>
      </c>
      <c r="E101" s="3308" t="s">
        <v>1003</v>
      </c>
      <c r="F101" s="3303"/>
      <c r="G101" s="2434" t="s">
        <v>1004</v>
      </c>
      <c r="H101" s="2435">
        <f ca="1">H118</f>
        <v>197</v>
      </c>
      <c r="I101" s="939"/>
    </row>
    <row r="102" spans="1:35" ht="18.75" customHeight="1">
      <c r="A102" s="3268" t="s">
        <v>1005</v>
      </c>
      <c r="B102" s="2436" t="s">
        <v>1004</v>
      </c>
      <c r="C102" s="2431">
        <f ca="1">IF(D32="楼面单价",ROUND(C19,0),C19)</f>
        <v>234</v>
      </c>
      <c r="D102" s="2432">
        <f ca="1">IF(D32="楼面单价",ROUND(D19,0),D19)</f>
        <v>112</v>
      </c>
      <c r="E102" s="3308"/>
      <c r="F102" s="3303"/>
      <c r="G102" s="2434" t="s">
        <v>99</v>
      </c>
      <c r="H102" s="2329">
        <f ca="1">I118</f>
        <v>17127</v>
      </c>
      <c r="I102" s="939"/>
    </row>
    <row r="103" spans="1:35" ht="42.75" customHeight="1">
      <c r="A103" s="3268"/>
      <c r="B103" s="2436" t="s">
        <v>99</v>
      </c>
      <c r="C103" s="2437">
        <f ca="1">C20</f>
        <v>20311</v>
      </c>
      <c r="D103" s="2438">
        <f ca="1">D20</f>
        <v>9698</v>
      </c>
      <c r="E103" s="3286" t="s">
        <v>1006</v>
      </c>
      <c r="F103" s="3287"/>
      <c r="G103" s="2439" t="s">
        <v>102</v>
      </c>
      <c r="H103" s="2435">
        <f>IF(D36="正常操作",H104+H105+H106,H105+H106)</f>
        <v>0</v>
      </c>
      <c r="I103" s="939"/>
    </row>
    <row r="104" spans="1:35" ht="18.75" customHeight="1">
      <c r="A104" s="3268" t="s">
        <v>1007</v>
      </c>
      <c r="B104" s="2440" t="s">
        <v>1004</v>
      </c>
      <c r="C104" s="2441">
        <f ca="1">H118</f>
        <v>197</v>
      </c>
      <c r="D104" s="2442"/>
      <c r="E104" s="2286" t="s">
        <v>1008</v>
      </c>
      <c r="F104" s="2443"/>
      <c r="G104" s="2439" t="s">
        <v>102</v>
      </c>
      <c r="H104" s="2444">
        <f>IF(D36="同一抵押权人同一抵押物续贷",C36&amp;"（续贷，未扣减，详见特别提示）",C36)</f>
        <v>0</v>
      </c>
      <c r="I104" s="939"/>
    </row>
    <row r="105" spans="1:35" ht="18.75" customHeight="1">
      <c r="A105" s="3269"/>
      <c r="B105" s="2445" t="s">
        <v>99</v>
      </c>
      <c r="C105" s="2446">
        <f ca="1">I118</f>
        <v>17127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1969605</v>
      </c>
      <c r="E107" s="3302" t="str">
        <f>IF(项目基本情况!E8="已注销","——","3.房地产抵押价值")</f>
        <v>3.房地产抵押价值</v>
      </c>
      <c r="F107" s="3303"/>
      <c r="G107" s="2434" t="s">
        <v>1004</v>
      </c>
      <c r="H107" s="2435">
        <f ca="1">IF(E107="——","——",H101-H103)</f>
        <v>197</v>
      </c>
      <c r="I107" s="939"/>
    </row>
    <row r="108" spans="1:35" ht="18.75" customHeight="1">
      <c r="A108" s="939"/>
      <c r="B108" s="939"/>
      <c r="C108" s="939"/>
      <c r="D108" s="939"/>
      <c r="E108" s="3302"/>
      <c r="F108" s="3303"/>
      <c r="G108" s="2434" t="s">
        <v>99</v>
      </c>
      <c r="H108" s="2329">
        <f ca="1">IF(H107=H101,H102,ROUND(H107*10000/'数据-汇总表'!E3,0))</f>
        <v>17127</v>
      </c>
      <c r="I108" s="939"/>
    </row>
    <row r="109" spans="1:35" ht="18.75" customHeight="1">
      <c r="A109" s="939"/>
      <c r="B109" s="939"/>
      <c r="C109" s="939"/>
      <c r="D109" s="939"/>
      <c r="E109" s="3302" t="str">
        <f>IF(项目基本情况!E8="已注销及未注销","4.抵押担保权已注销时的房地产抵押价值",IF(项目基本情况!E8="已注销","3.抵押担保权已注销时的房地产抵押价值","——"))</f>
        <v>——</v>
      </c>
      <c r="F109" s="3303"/>
      <c r="G109" s="2434" t="s">
        <v>1004</v>
      </c>
      <c r="H109" s="2450" t="str">
        <f>IF(E109="——","——",H101-H105-H106)</f>
        <v>——</v>
      </c>
      <c r="I109" s="939"/>
    </row>
    <row r="110" spans="1:35" ht="18.75" customHeight="1">
      <c r="A110" s="939"/>
      <c r="B110" s="939"/>
      <c r="C110" s="939"/>
      <c r="D110" s="939"/>
      <c r="E110" s="3302"/>
      <c r="F110" s="3303"/>
      <c r="G110" s="2434" t="s">
        <v>99</v>
      </c>
      <c r="H110" s="2329" t="str">
        <f>IF(H109="——","——",ROUND(H109*10000/'数据-汇总表'!E3,0))</f>
        <v>——</v>
      </c>
      <c r="I110" s="939"/>
    </row>
    <row r="111" spans="1:35" ht="18.75" customHeight="1">
      <c r="A111" s="939"/>
      <c r="B111" s="939"/>
      <c r="C111" s="939"/>
      <c r="D111" s="939"/>
      <c r="E111" s="3304" t="str">
        <f>IF(项目基本情况!E9="抵押净值",IF(OR(项目基本情况!E8="已注销",项目基本情况!E8="房地产抵押价值"),"4.抵押净值","5.抵押净值"),"——")</f>
        <v>——</v>
      </c>
      <c r="F111" s="3305"/>
      <c r="G111" s="2434" t="s">
        <v>1004</v>
      </c>
      <c r="H111" s="2435" t="str">
        <f>IF(E111="——","——",N59)</f>
        <v>——</v>
      </c>
      <c r="I111" s="939"/>
    </row>
    <row r="112" spans="1:35" ht="18.75" customHeight="1">
      <c r="A112" s="939"/>
      <c r="B112" s="939"/>
      <c r="C112" s="939"/>
      <c r="D112" s="939"/>
      <c r="E112" s="3306"/>
      <c r="F112" s="3307"/>
      <c r="G112" s="2451" t="s">
        <v>99</v>
      </c>
      <c r="H112" s="2452" t="str">
        <f>IF(E111="——","——",N61)</f>
        <v>——</v>
      </c>
      <c r="I112" s="939"/>
    </row>
    <row r="113" spans="1:27" ht="18.75" customHeight="1">
      <c r="A113" s="939"/>
      <c r="B113" s="939"/>
      <c r="C113" s="939"/>
      <c r="D113" s="939"/>
      <c r="E113" s="3288" t="s">
        <v>1010</v>
      </c>
      <c r="F113" s="3288"/>
      <c r="G113" s="3288"/>
      <c r="H113" s="3288"/>
      <c r="I113" s="939"/>
    </row>
    <row r="114" spans="1:27" ht="3.75" customHeight="1">
      <c r="A114" s="1991"/>
      <c r="B114" s="1991"/>
      <c r="C114" s="1991"/>
      <c r="D114" s="1991"/>
      <c r="E114" s="2339"/>
      <c r="F114" s="2339"/>
      <c r="G114" s="2339"/>
      <c r="H114" s="2339"/>
      <c r="I114" s="1991"/>
    </row>
    <row r="115" spans="1:27" ht="18.75" customHeight="1">
      <c r="A115" s="3289" t="s">
        <v>1012</v>
      </c>
      <c r="B115" s="3290"/>
      <c r="C115" s="3290"/>
      <c r="D115" s="3290"/>
      <c r="E115" s="3290"/>
      <c r="F115" s="3290"/>
      <c r="G115" s="3290"/>
      <c r="H115" s="3290"/>
      <c r="I115" s="3291"/>
    </row>
    <row r="116" spans="1:27" ht="27" customHeight="1">
      <c r="A116" s="3262" t="s">
        <v>1013</v>
      </c>
      <c r="B116" s="3271" t="s">
        <v>1014</v>
      </c>
      <c r="C116" s="3271" t="s">
        <v>1015</v>
      </c>
      <c r="D116" s="3292" t="s">
        <v>1016</v>
      </c>
      <c r="E116" s="3293"/>
      <c r="F116" s="3294" t="s">
        <v>1017</v>
      </c>
      <c r="G116" s="3294"/>
      <c r="H116" s="3262" t="s">
        <v>1018</v>
      </c>
      <c r="I116" s="3262"/>
    </row>
    <row r="117" spans="1:27" ht="18.75" customHeight="1">
      <c r="A117" s="3262"/>
      <c r="B117" s="3272"/>
      <c r="C117" s="3272"/>
      <c r="D117" s="872" t="s">
        <v>1019</v>
      </c>
      <c r="E117" s="872" t="s">
        <v>848</v>
      </c>
      <c r="F117" s="872" t="s">
        <v>1019</v>
      </c>
      <c r="G117" s="872" t="s">
        <v>848</v>
      </c>
      <c r="H117" s="872" t="s">
        <v>1019</v>
      </c>
      <c r="I117" s="872" t="s">
        <v>848</v>
      </c>
    </row>
    <row r="118" spans="1:27" ht="24.75" customHeight="1">
      <c r="A118" s="2453" t="str">
        <f>项目基本情况!S2</f>
        <v>北京市房地产</v>
      </c>
      <c r="B118" s="872">
        <f>M18</f>
        <v>115</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197</v>
      </c>
      <c r="I118" s="872">
        <f ca="1">ROUND(IF(D32="楼面单价",C32,H118*10000/B118),0)</f>
        <v>17127</v>
      </c>
    </row>
    <row r="119" spans="1:27" ht="18.75" customHeight="1">
      <c r="A119" s="3262" t="s">
        <v>1020</v>
      </c>
      <c r="B119" s="3262"/>
      <c r="C119" s="3262"/>
      <c r="D119" s="3274" t="e">
        <f ca="1">NUMBERSTRING(INT(D118*10000),2)&amp;"元整"</f>
        <v>#REF!</v>
      </c>
      <c r="E119" s="3276"/>
      <c r="F119" s="3274" t="e">
        <f ca="1">NUMBERSTRING(INT(F118*10000),2)&amp;"元整"</f>
        <v>#REF!</v>
      </c>
      <c r="G119" s="3276"/>
      <c r="H119" s="3274" t="str">
        <f ca="1">NUMBERSTRING(INT(H118*10000),2)&amp;"元整"</f>
        <v>壹佰玖拾柒万元整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4" t="s">
        <v>1020</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197</v>
      </c>
      <c r="E122" s="3312"/>
      <c r="F122" s="3312"/>
      <c r="G122" s="3312"/>
      <c r="H122" s="3312"/>
      <c r="I122" s="3313"/>
      <c r="AA122" s="898"/>
    </row>
    <row r="123" spans="1:27" ht="18.75" customHeight="1">
      <c r="A123" s="3262" t="s">
        <v>1020</v>
      </c>
      <c r="B123" s="3262"/>
      <c r="C123" s="3262"/>
      <c r="D123" s="3274" t="str">
        <f ca="1">NUMBERSTRING(INT(D122*10000),2)&amp;"元整"</f>
        <v>壹佰玖拾柒万元整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1020</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1020</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1028</v>
      </c>
      <c r="B1" s="2204"/>
      <c r="C1" s="341"/>
      <c r="D1" s="341"/>
      <c r="E1" s="341"/>
      <c r="F1" s="341"/>
      <c r="G1" s="2206">
        <f>MATCH(B1,'数据-取费表'!A6:A16,0)+5</f>
        <v>7</v>
      </c>
    </row>
    <row r="2" spans="1:9" s="331" customFormat="1" ht="18" customHeight="1">
      <c r="A2" s="343" t="s">
        <v>1029</v>
      </c>
      <c r="B2" s="344">
        <f ca="1">IF(D2="——",C52,C52-E2)</f>
        <v>31188</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2712000</v>
      </c>
      <c r="C3" s="342" t="s">
        <v>1032</v>
      </c>
      <c r="D3" s="342"/>
      <c r="E3" s="342"/>
      <c r="F3" s="342"/>
      <c r="G3" s="342"/>
    </row>
    <row r="4" spans="1:9" s="332" customFormat="1" ht="16.2">
      <c r="A4" s="348" t="s">
        <v>1033</v>
      </c>
      <c r="B4" s="349"/>
      <c r="C4" s="349"/>
      <c r="D4" s="349"/>
      <c r="E4" s="349"/>
      <c r="F4" s="349"/>
      <c r="G4" s="350"/>
    </row>
    <row r="5" spans="1:9" s="333" customFormat="1" ht="13.5" customHeight="1">
      <c r="A5" s="351" t="s">
        <v>1034</v>
      </c>
      <c r="B5" s="352" t="s">
        <v>1035</v>
      </c>
      <c r="C5" s="353">
        <f>C6+C7+C8</f>
        <v>23000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23000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115</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115</v>
      </c>
      <c r="E19" s="353">
        <f>'数据-取费表'!B31</f>
        <v>200</v>
      </c>
      <c r="F19" s="375"/>
      <c r="G19" s="2212"/>
    </row>
    <row r="20" spans="1:7" s="333" customFormat="1" ht="13.5" customHeight="1">
      <c r="A20" s="351" t="s">
        <v>1067</v>
      </c>
      <c r="B20" s="352" t="s">
        <v>1068</v>
      </c>
      <c r="C20" s="376">
        <f ca="1">ROUND((C5+C19)*F20,0)</f>
        <v>690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1484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1462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6.4">
      <c r="A27" s="351" t="s">
        <v>1084</v>
      </c>
      <c r="B27" s="392" t="s">
        <v>1085</v>
      </c>
      <c r="C27" s="393">
        <f ca="1">C28</f>
        <v>3554</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3554</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31123</v>
      </c>
      <c r="D31" s="399"/>
      <c r="E31" s="353"/>
      <c r="F31" s="400"/>
      <c r="G31" s="381" t="s">
        <v>1093</v>
      </c>
    </row>
    <row r="32" spans="1:7" s="332" customFormat="1" ht="16.2">
      <c r="A32" s="401" t="s">
        <v>1094</v>
      </c>
      <c r="B32" s="402"/>
      <c r="C32" s="402"/>
      <c r="D32" s="402"/>
      <c r="E32" s="402"/>
      <c r="F32" s="402"/>
      <c r="G32" s="403"/>
    </row>
    <row r="33" spans="1:7" s="333" customFormat="1" ht="13.5" customHeight="1">
      <c r="A33" s="351" t="s">
        <v>1034</v>
      </c>
      <c r="B33" s="352" t="s">
        <v>1095</v>
      </c>
      <c r="C33" s="404">
        <f ca="1">SUM(C34:C38)</f>
        <v>58</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52</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115</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9</v>
      </c>
      <c r="D45" s="379">
        <f ca="1">C47</f>
        <v>3.0000000000000001E-3</v>
      </c>
      <c r="E45" s="380" t="s">
        <v>1106</v>
      </c>
      <c r="F45" s="394">
        <f ca="1">F27</f>
        <v>0.15</v>
      </c>
      <c r="G45" s="395" t="s">
        <v>1109</v>
      </c>
    </row>
    <row r="46" spans="1:7" s="333" customFormat="1" ht="13.5" customHeight="1">
      <c r="A46" s="384" t="s">
        <v>1038</v>
      </c>
      <c r="B46" s="396" t="s">
        <v>1110</v>
      </c>
      <c r="C46" s="397">
        <f ca="1">ROUND((C33+C39)*F27,0)</f>
        <v>9</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77</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65</v>
      </c>
      <c r="D51" s="376"/>
      <c r="E51" s="376"/>
      <c r="F51" s="411"/>
      <c r="G51" s="381" t="s">
        <v>1120</v>
      </c>
    </row>
    <row r="52" spans="1:7" s="332" customFormat="1" ht="16.2">
      <c r="A52" s="412" t="s">
        <v>1121</v>
      </c>
      <c r="B52" s="413"/>
      <c r="C52" s="414">
        <f ca="1">C31+C51</f>
        <v>31188</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28" sqref="I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6.2">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23000</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23000</v>
      </c>
      <c r="D10" s="369">
        <f ca="1">IF(B1="",'数据-汇总表'!E6,IF(INDIRECT("'数据-取费表'!c"&amp;$G$1)="住宅",INDIRECT("'数据-取费表'!s"&amp;$G$1),INDIRECT("'数据-取费表'!k"&amp;$G$1)+INDIRECT("'数据-取费表'!s"&amp;$G$1)))</f>
        <v>115</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115</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6.4">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6.2">
      <c r="A32" s="401" t="s">
        <v>1126</v>
      </c>
      <c r="B32" s="402"/>
      <c r="C32" s="402"/>
      <c r="D32" s="402"/>
      <c r="E32" s="402"/>
      <c r="F32" s="402"/>
      <c r="G32" s="403"/>
    </row>
    <row r="33" spans="1:7" s="333" customFormat="1" ht="13.5" customHeight="1">
      <c r="A33" s="351" t="s">
        <v>1034</v>
      </c>
      <c r="B33" s="352" t="s">
        <v>1127</v>
      </c>
      <c r="C33" s="404">
        <f ca="1">SUM(C34:C38)</f>
        <v>576725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517500</v>
      </c>
      <c r="D34" s="359"/>
      <c r="E34" s="362"/>
      <c r="F34" s="405"/>
      <c r="G34" s="361"/>
    </row>
    <row r="35" spans="1:7" ht="13.5" customHeight="1">
      <c r="A35" s="384" t="s">
        <v>1040</v>
      </c>
      <c r="B35" s="357" t="s">
        <v>1098</v>
      </c>
      <c r="C35" s="362">
        <f ca="1">ROUND(C34*F35,0)</f>
        <v>25875</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23000</v>
      </c>
      <c r="D37" s="359">
        <f ca="1">D19</f>
        <v>115</v>
      </c>
      <c r="E37" s="397">
        <f>'数据-取费表'!B35</f>
        <v>200</v>
      </c>
      <c r="F37" s="406"/>
      <c r="G37" s="408"/>
    </row>
    <row r="38" spans="1:7" ht="13.5" customHeight="1">
      <c r="A38" s="384" t="s">
        <v>1104</v>
      </c>
      <c r="B38" s="357" t="s">
        <v>970</v>
      </c>
      <c r="C38" s="362">
        <f ca="1">ROUND(C34*F38,0)</f>
        <v>10350</v>
      </c>
      <c r="D38" s="362"/>
      <c r="E38" s="362"/>
      <c r="F38" s="406">
        <f>'数据-取费表'!B36</f>
        <v>0.02</v>
      </c>
      <c r="G38" s="361" t="s">
        <v>1099</v>
      </c>
    </row>
    <row r="39" spans="1:7" s="333" customFormat="1" ht="13.5" customHeight="1">
      <c r="A39" s="351" t="s">
        <v>1065</v>
      </c>
      <c r="B39" s="352" t="s">
        <v>1068</v>
      </c>
      <c r="C39" s="376">
        <f ca="1">ROUND(C33*F20,0)</f>
        <v>17302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18593</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18051</v>
      </c>
      <c r="D42" s="386"/>
      <c r="E42" s="386"/>
      <c r="F42" s="387"/>
      <c r="G42" s="3355" t="s">
        <v>1128</v>
      </c>
    </row>
    <row r="43" spans="1:7" ht="13.5" customHeight="1">
      <c r="A43" s="384" t="s">
        <v>1040</v>
      </c>
      <c r="B43" s="357" t="s">
        <v>1078</v>
      </c>
      <c r="C43" s="386">
        <f ca="1">ROUND(IF('数据-取费表'!B22&lt;=1,C39*F22*'数据-取费表'!B20/2,C39*(POWER((1+F22),'数据-取费表'!B20/2)-1)),0)</f>
        <v>542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89104</v>
      </c>
      <c r="D45" s="379">
        <f ca="1">C47</f>
        <v>3.0000000000000001E-3</v>
      </c>
      <c r="E45" s="380" t="s">
        <v>1106</v>
      </c>
      <c r="F45" s="394">
        <f ca="1">F27</f>
        <v>0.15</v>
      </c>
      <c r="G45" s="395" t="s">
        <v>1109</v>
      </c>
    </row>
    <row r="46" spans="1:7" s="333" customFormat="1" ht="13.5" customHeight="1">
      <c r="A46" s="384" t="s">
        <v>1038</v>
      </c>
      <c r="B46" s="396" t="s">
        <v>1110</v>
      </c>
      <c r="C46" s="397">
        <f ca="1">ROUND((C33+C39)*F27,0)</f>
        <v>89104</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760182</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646155</v>
      </c>
      <c r="D51" s="376"/>
      <c r="E51" s="376"/>
      <c r="F51" s="411"/>
      <c r="G51" s="381" t="s">
        <v>1120</v>
      </c>
    </row>
    <row r="52" spans="1:7" s="332" customFormat="1" ht="16.2">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87" customWidth="1"/>
    <col min="2" max="2" width="25.77734375" style="2120" customWidth="1"/>
    <col min="3" max="3" width="10.33203125" style="2121" customWidth="1"/>
    <col min="4" max="4" width="9.88671875" style="2120" customWidth="1"/>
    <col min="5" max="5" width="9.44140625" style="987" customWidth="1"/>
    <col min="6" max="6" width="10.109375" style="2120" customWidth="1"/>
    <col min="7" max="7" width="10.77734375" style="2120" customWidth="1"/>
    <col min="8" max="8" width="10" style="2120" customWidth="1"/>
    <col min="9" max="11" width="9.44140625" style="2120" customWidth="1"/>
    <col min="12" max="12" width="9" style="2120" customWidth="1"/>
    <col min="13" max="13" width="10.44140625" style="2120" customWidth="1"/>
    <col min="14" max="254" width="9" style="2120" customWidth="1"/>
    <col min="255" max="16384" width="6.6640625" style="2120"/>
  </cols>
  <sheetData>
    <row r="1" spans="1:33" ht="21">
      <c r="A1" s="339" t="s">
        <v>1131</v>
      </c>
      <c r="B1" s="939"/>
      <c r="C1" s="2122"/>
      <c r="D1" s="2123"/>
      <c r="E1" s="2124"/>
      <c r="F1" s="2124"/>
      <c r="G1" s="2125"/>
      <c r="H1" s="2124"/>
      <c r="I1" s="2124"/>
      <c r="J1" s="2124"/>
      <c r="K1" s="2192">
        <f>MATCH(C1,'数据-取费表'!A6:A16,0)+5</f>
        <v>7</v>
      </c>
    </row>
    <row r="2" spans="1:33" ht="18" customHeight="1">
      <c r="A2" s="343" t="s">
        <v>1029</v>
      </c>
      <c r="B2" s="347">
        <f ca="1">C32</f>
        <v>26473</v>
      </c>
      <c r="C2" s="2126" t="s">
        <v>1132</v>
      </c>
      <c r="D2" s="2126"/>
      <c r="E2" s="2124"/>
      <c r="F2" s="2124"/>
      <c r="G2" s="2124"/>
      <c r="H2" s="2124"/>
      <c r="I2" s="2124"/>
      <c r="J2" s="2124"/>
      <c r="K2" s="2124"/>
    </row>
    <row r="3" spans="1:33" ht="18" customHeight="1">
      <c r="A3" s="346" t="s">
        <v>1031</v>
      </c>
      <c r="B3" s="347">
        <f ca="1">ROUND(B2*10000/IF(C1="",'数据-汇总表'!E3,INDIRECT("'数据-取费表'!K"&amp;$K$1)),0)</f>
        <v>2302000</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4.4">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115</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115</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-22998</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115</v>
      </c>
      <c r="E20" s="950">
        <f>'数据-取费表'!B28</f>
        <v>200</v>
      </c>
      <c r="F20" s="2150"/>
      <c r="G20" s="1998"/>
      <c r="H20" s="2157"/>
      <c r="I20" s="2157"/>
      <c r="J20" s="2157"/>
      <c r="K20" s="2200"/>
    </row>
    <row r="21" spans="1:33" s="2115" customFormat="1" ht="13.5" customHeight="1">
      <c r="A21" s="2133" t="s">
        <v>939</v>
      </c>
      <c r="B21" s="2158" t="s">
        <v>1163</v>
      </c>
      <c r="C21" s="2159">
        <f ca="1">C16+C17+C18</f>
        <v>-22998</v>
      </c>
      <c r="D21" s="2160"/>
      <c r="E21" s="2161"/>
      <c r="F21" s="2161"/>
      <c r="G21" s="1888" t="s">
        <v>1164</v>
      </c>
      <c r="H21" s="1999"/>
      <c r="I21" s="1999"/>
      <c r="J21" s="1999"/>
      <c r="K21" s="2000"/>
    </row>
    <row r="22" spans="1:33" s="2115" customFormat="1" ht="13.5" customHeight="1">
      <c r="A22" s="2133" t="s">
        <v>943</v>
      </c>
      <c r="B22" s="2158" t="s">
        <v>1165</v>
      </c>
      <c r="C22" s="2159">
        <f ca="1">ROUND(C21*F22,0)</f>
        <v>-690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-3553</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-3553</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26473</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39.6">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36">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ht="24">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36">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6">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24">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6">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42" zoomScaleNormal="70" workbookViewId="0">
      <selection activeCell="D64" sqref="D64"/>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233.57650000000001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20311</v>
      </c>
      <c r="C3" s="1376" t="s">
        <v>1377</v>
      </c>
      <c r="D3" s="1377">
        <f>IF(D1="",'数据-汇总表'!E3,SUMIF('数据-汇总表'!$C19:$C33,D1,'数据-汇总表'!$E19:$E33))</f>
        <v>115</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369" t="s">
        <v>1384</v>
      </c>
      <c r="Q4" s="3370"/>
      <c r="R4" s="3375" t="s">
        <v>1380</v>
      </c>
      <c r="S4" s="3376"/>
      <c r="T4" s="3375" t="s">
        <v>1381</v>
      </c>
      <c r="U4" s="3376"/>
      <c r="V4" s="3381" t="s">
        <v>1382</v>
      </c>
      <c r="W4" s="3381"/>
      <c r="X4" s="2095"/>
      <c r="Y4" s="3375" t="s">
        <v>1384</v>
      </c>
      <c r="Z4" s="3376"/>
      <c r="AA4" s="3363" t="s">
        <v>1380</v>
      </c>
      <c r="AB4" s="3363" t="s">
        <v>1381</v>
      </c>
      <c r="AC4" s="3366" t="s">
        <v>1382</v>
      </c>
    </row>
    <row r="5" spans="1:29">
      <c r="A5" s="1029"/>
      <c r="B5" s="1030"/>
      <c r="C5" s="3409" t="s">
        <v>2804</v>
      </c>
      <c r="D5" s="3410"/>
      <c r="E5" s="3409" t="s">
        <v>2804</v>
      </c>
      <c r="F5" s="3410"/>
      <c r="G5" s="3409" t="s">
        <v>2804</v>
      </c>
      <c r="H5" s="3410"/>
      <c r="I5" s="3409" t="s">
        <v>2804</v>
      </c>
      <c r="J5" s="3410"/>
      <c r="K5" s="1171"/>
      <c r="L5" s="1172"/>
      <c r="M5" s="1122"/>
      <c r="N5" s="1122"/>
      <c r="O5" s="1122"/>
      <c r="P5" s="3371"/>
      <c r="Q5" s="3372"/>
      <c r="R5" s="3377"/>
      <c r="S5" s="3378"/>
      <c r="T5" s="3377"/>
      <c r="U5" s="3378"/>
      <c r="V5" s="3382"/>
      <c r="W5" s="3382"/>
      <c r="X5" s="1214"/>
      <c r="Y5" s="3377"/>
      <c r="Z5" s="3378"/>
      <c r="AA5" s="3364"/>
      <c r="AB5" s="3364"/>
      <c r="AC5" s="3367"/>
    </row>
    <row r="6" spans="1:29" ht="14.4">
      <c r="A6" s="1031"/>
      <c r="B6" s="1032"/>
      <c r="C6" s="3400" t="s">
        <v>1389</v>
      </c>
      <c r="D6" s="3401"/>
      <c r="E6" s="3402" t="s">
        <v>1389</v>
      </c>
      <c r="F6" s="3403"/>
      <c r="G6" s="3400" t="s">
        <v>1389</v>
      </c>
      <c r="H6" s="3401"/>
      <c r="I6" s="3400" t="s">
        <v>1389</v>
      </c>
      <c r="J6" s="3401"/>
      <c r="K6" s="1171" t="s">
        <v>1390</v>
      </c>
      <c r="L6" s="1172"/>
      <c r="M6" s="1122"/>
      <c r="N6" s="1122"/>
      <c r="O6" s="1122"/>
      <c r="P6" s="3373"/>
      <c r="Q6" s="3374"/>
      <c r="R6" s="3377"/>
      <c r="S6" s="3378"/>
      <c r="T6" s="3379"/>
      <c r="U6" s="3380"/>
      <c r="V6" s="3382"/>
      <c r="W6" s="3382"/>
      <c r="X6" s="1214"/>
      <c r="Y6" s="3379"/>
      <c r="Z6" s="3380"/>
      <c r="AA6" s="3365"/>
      <c r="AB6" s="3365"/>
      <c r="AC6" s="3368"/>
    </row>
    <row r="7" spans="1:29" s="1008" customFormat="1" ht="14.4">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90"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2096">
        <f>D7/J7</f>
        <v>1</v>
      </c>
    </row>
    <row r="8" spans="1:29" s="1008" customFormat="1" ht="14.4">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90" t="s">
        <v>1397</v>
      </c>
      <c r="Q8" s="3389"/>
      <c r="R8" s="1215" t="s">
        <v>1393</v>
      </c>
      <c r="S8" s="1216">
        <f t="shared" si="0"/>
        <v>105</v>
      </c>
      <c r="T8" s="1215" t="s">
        <v>1393</v>
      </c>
      <c r="U8" s="1216">
        <f t="shared" si="1"/>
        <v>105</v>
      </c>
      <c r="V8" s="1215" t="s">
        <v>1393</v>
      </c>
      <c r="W8" s="1216">
        <f t="shared" si="2"/>
        <v>105</v>
      </c>
      <c r="X8" s="1217"/>
      <c r="Y8" s="3388" t="s">
        <v>1397</v>
      </c>
      <c r="Z8" s="3389"/>
      <c r="AA8" s="1227">
        <f t="shared" ref="AA8:AA47" si="3">D8/F8</f>
        <v>0.95238095238095233</v>
      </c>
      <c r="AB8" s="1227">
        <f t="shared" ref="AB8:AB47" si="4">D8/H8</f>
        <v>0.95238095238095233</v>
      </c>
      <c r="AC8" s="2096">
        <f t="shared" ref="AC8:AC47" si="5">D8/J8</f>
        <v>0.95238095238095233</v>
      </c>
    </row>
    <row r="9" spans="1:29" s="1008" customFormat="1" ht="14.4">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2096">
        <f t="shared" si="5"/>
        <v>1</v>
      </c>
    </row>
    <row r="10" spans="1:29" s="1009" customFormat="1" ht="28.8">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1" t="s">
        <v>1406</v>
      </c>
      <c r="Q15" s="625" t="str">
        <f t="shared" si="6"/>
        <v>办公集聚程度</v>
      </c>
      <c r="R15" s="1219" t="s">
        <v>1393</v>
      </c>
      <c r="S15" s="1220">
        <f t="shared" si="0"/>
        <v>100</v>
      </c>
      <c r="T15" s="1219" t="s">
        <v>1393</v>
      </c>
      <c r="U15" s="1220">
        <f t="shared" si="1"/>
        <v>100</v>
      </c>
      <c r="V15" s="1219" t="s">
        <v>1393</v>
      </c>
      <c r="W15" s="1220">
        <f t="shared" si="2"/>
        <v>100</v>
      </c>
      <c r="X15" s="1214"/>
      <c r="Y15" s="339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2"/>
      <c r="Q16" s="625"/>
      <c r="R16" s="1219"/>
      <c r="S16" s="1220"/>
      <c r="T16" s="1219"/>
      <c r="U16" s="1220"/>
      <c r="V16" s="1219"/>
      <c r="W16" s="1220"/>
      <c r="X16" s="1214"/>
      <c r="Y16" s="339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2"/>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2097">
        <v>1</v>
      </c>
    </row>
    <row r="25" spans="1:29" ht="28.8">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2"/>
      <c r="Q25" s="625" t="str">
        <f>B25</f>
        <v>毗邻道路的类型与等级</v>
      </c>
      <c r="R25" s="1219" t="s">
        <v>1393</v>
      </c>
      <c r="S25" s="1220">
        <f>F25</f>
        <v>100</v>
      </c>
      <c r="T25" s="1219" t="s">
        <v>1393</v>
      </c>
      <c r="U25" s="1220">
        <f>H25</f>
        <v>100</v>
      </c>
      <c r="V25" s="1219" t="s">
        <v>1393</v>
      </c>
      <c r="W25" s="1220">
        <f>J25</f>
        <v>100</v>
      </c>
      <c r="X25" s="1214"/>
      <c r="Y25" s="339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2"/>
      <c r="Q26" s="625"/>
      <c r="R26" s="1219"/>
      <c r="S26" s="1220"/>
      <c r="T26" s="1219"/>
      <c r="U26" s="1220"/>
      <c r="V26" s="1219"/>
      <c r="W26" s="1220"/>
      <c r="X26" s="1214"/>
      <c r="Y26" s="3397"/>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92"/>
      <c r="Q27" s="625" t="str">
        <f t="shared" ref="Q27:Q47" si="11">B27</f>
        <v>楼层</v>
      </c>
      <c r="R27" s="1219" t="s">
        <v>1393</v>
      </c>
      <c r="S27" s="1220">
        <f>F27</f>
        <v>100</v>
      </c>
      <c r="T27" s="1219" t="s">
        <v>1393</v>
      </c>
      <c r="U27" s="1220">
        <f>H27</f>
        <v>103</v>
      </c>
      <c r="V27" s="1219" t="s">
        <v>1393</v>
      </c>
      <c r="W27" s="1220">
        <f>J27</f>
        <v>103</v>
      </c>
      <c r="X27" s="1214"/>
      <c r="Y27" s="3397"/>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2"/>
      <c r="Q28" s="794" t="str">
        <f t="shared" si="11"/>
        <v>朝向</v>
      </c>
      <c r="R28" s="1215" t="s">
        <v>1393</v>
      </c>
      <c r="S28" s="1216">
        <f>F28</f>
        <v>100</v>
      </c>
      <c r="T28" s="1215" t="s">
        <v>1393</v>
      </c>
      <c r="U28" s="1216">
        <f>H28</f>
        <v>100</v>
      </c>
      <c r="V28" s="1215" t="s">
        <v>1393</v>
      </c>
      <c r="W28" s="1216">
        <f>J28</f>
        <v>100</v>
      </c>
      <c r="X28" s="1217"/>
      <c r="Y28" s="339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2"/>
      <c r="Q32" s="625">
        <f t="shared" si="11"/>
        <v>111</v>
      </c>
      <c r="R32" s="1219" t="s">
        <v>1393</v>
      </c>
      <c r="S32" s="1220">
        <f t="shared" si="12"/>
        <v>100</v>
      </c>
      <c r="T32" s="1219" t="s">
        <v>1393</v>
      </c>
      <c r="U32" s="1220">
        <f t="shared" si="13"/>
        <v>100</v>
      </c>
      <c r="V32" s="1219" t="s">
        <v>1393</v>
      </c>
      <c r="W32" s="1220">
        <f t="shared" si="14"/>
        <v>100</v>
      </c>
      <c r="X32" s="1214"/>
      <c r="Y32" s="339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3" t="s">
        <v>1421</v>
      </c>
      <c r="Q33" s="625" t="str">
        <f t="shared" si="11"/>
        <v>建筑类型</v>
      </c>
      <c r="R33" s="1219" t="s">
        <v>1393</v>
      </c>
      <c r="S33" s="1220">
        <f t="shared" si="12"/>
        <v>100</v>
      </c>
      <c r="T33" s="1219" t="s">
        <v>1393</v>
      </c>
      <c r="U33" s="1220">
        <f t="shared" si="13"/>
        <v>100</v>
      </c>
      <c r="V33" s="1219" t="s">
        <v>1393</v>
      </c>
      <c r="W33" s="1220">
        <f t="shared" si="14"/>
        <v>100</v>
      </c>
      <c r="X33" s="1214"/>
      <c r="Y33" s="339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115</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94"/>
      <c r="Q34" s="1415" t="str">
        <f t="shared" si="11"/>
        <v>项目建筑规模</v>
      </c>
      <c r="R34" s="1221" t="s">
        <v>1393</v>
      </c>
      <c r="S34" s="1222">
        <f t="shared" si="12"/>
        <v>100</v>
      </c>
      <c r="T34" s="1221" t="s">
        <v>1393</v>
      </c>
      <c r="U34" s="1222">
        <f t="shared" si="13"/>
        <v>100</v>
      </c>
      <c r="V34" s="1221" t="s">
        <v>1393</v>
      </c>
      <c r="W34" s="1222">
        <f t="shared" si="14"/>
        <v>100</v>
      </c>
      <c r="X34" s="1223"/>
      <c r="Y34" s="3398"/>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4"/>
      <c r="Q35" s="625" t="str">
        <f t="shared" si="11"/>
        <v>建筑结构</v>
      </c>
      <c r="R35" s="1219" t="s">
        <v>1393</v>
      </c>
      <c r="S35" s="1220">
        <f t="shared" si="12"/>
        <v>100</v>
      </c>
      <c r="T35" s="1219" t="s">
        <v>1393</v>
      </c>
      <c r="U35" s="1220">
        <f t="shared" si="13"/>
        <v>100</v>
      </c>
      <c r="V35" s="1219" t="s">
        <v>1393</v>
      </c>
      <c r="W35" s="1220">
        <f t="shared" si="14"/>
        <v>100</v>
      </c>
      <c r="X35" s="1214"/>
      <c r="Y35" s="339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4"/>
      <c r="Q37" s="625" t="str">
        <f t="shared" si="11"/>
        <v>成新度</v>
      </c>
      <c r="R37" s="1219" t="s">
        <v>1393</v>
      </c>
      <c r="S37" s="1220">
        <f t="shared" si="12"/>
        <v>100</v>
      </c>
      <c r="T37" s="1219" t="s">
        <v>1393</v>
      </c>
      <c r="U37" s="1220">
        <f t="shared" si="13"/>
        <v>100</v>
      </c>
      <c r="V37" s="1219" t="s">
        <v>1393</v>
      </c>
      <c r="W37" s="1220">
        <f t="shared" si="14"/>
        <v>100</v>
      </c>
      <c r="X37" s="1214"/>
      <c r="Y37" s="339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4"/>
      <c r="Q38" s="794" t="str">
        <f t="shared" si="11"/>
        <v>写字楼等级</v>
      </c>
      <c r="R38" s="1215" t="s">
        <v>1393</v>
      </c>
      <c r="S38" s="1216">
        <f t="shared" si="12"/>
        <v>100</v>
      </c>
      <c r="T38" s="1215" t="s">
        <v>1393</v>
      </c>
      <c r="U38" s="1216">
        <f t="shared" si="13"/>
        <v>100</v>
      </c>
      <c r="V38" s="1215" t="s">
        <v>1393</v>
      </c>
      <c r="W38" s="1216">
        <f t="shared" si="14"/>
        <v>100</v>
      </c>
      <c r="X38" s="1217"/>
      <c r="Y38" s="339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4" t="s">
        <v>1421</v>
      </c>
      <c r="Q39" s="625" t="str">
        <f t="shared" si="11"/>
        <v>物业管理</v>
      </c>
      <c r="R39" s="1219" t="s">
        <v>1393</v>
      </c>
      <c r="S39" s="1220">
        <f t="shared" si="12"/>
        <v>100</v>
      </c>
      <c r="T39" s="1219" t="s">
        <v>1393</v>
      </c>
      <c r="U39" s="1220">
        <f t="shared" si="13"/>
        <v>100</v>
      </c>
      <c r="V39" s="1219" t="s">
        <v>1393</v>
      </c>
      <c r="W39" s="1220">
        <f t="shared" si="14"/>
        <v>100</v>
      </c>
      <c r="X39" s="1214"/>
      <c r="Y39" s="339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4"/>
      <c r="Q40" s="625" t="str">
        <f t="shared" si="11"/>
        <v>市政基础设施</v>
      </c>
      <c r="R40" s="1219" t="s">
        <v>1393</v>
      </c>
      <c r="S40" s="1220">
        <f t="shared" si="12"/>
        <v>100</v>
      </c>
      <c r="T40" s="1219" t="s">
        <v>1393</v>
      </c>
      <c r="U40" s="1220">
        <f t="shared" si="13"/>
        <v>100</v>
      </c>
      <c r="V40" s="1219" t="s">
        <v>1393</v>
      </c>
      <c r="W40" s="1220">
        <f t="shared" si="14"/>
        <v>100</v>
      </c>
      <c r="X40" s="1214"/>
      <c r="Y40" s="339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4"/>
      <c r="Q41" s="625" t="str">
        <f t="shared" si="11"/>
        <v>层高</v>
      </c>
      <c r="R41" s="1219" t="s">
        <v>1393</v>
      </c>
      <c r="S41" s="1220">
        <f t="shared" si="12"/>
        <v>100</v>
      </c>
      <c r="T41" s="1219" t="s">
        <v>1393</v>
      </c>
      <c r="U41" s="1220">
        <f t="shared" si="13"/>
        <v>100</v>
      </c>
      <c r="V41" s="1219" t="s">
        <v>1393</v>
      </c>
      <c r="W41" s="1220">
        <f t="shared" si="14"/>
        <v>100</v>
      </c>
      <c r="X41" s="1214"/>
      <c r="Y41" s="339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4"/>
      <c r="Q42" s="1415" t="str">
        <f t="shared" si="11"/>
        <v>单套建筑面积</v>
      </c>
      <c r="R42" s="1221" t="s">
        <v>1393</v>
      </c>
      <c r="S42" s="1222">
        <f t="shared" si="12"/>
        <v>100</v>
      </c>
      <c r="T42" s="1221" t="s">
        <v>1393</v>
      </c>
      <c r="U42" s="1222">
        <f t="shared" si="13"/>
        <v>100</v>
      </c>
      <c r="V42" s="1221" t="s">
        <v>1393</v>
      </c>
      <c r="W42" s="1222">
        <f t="shared" si="14"/>
        <v>100</v>
      </c>
      <c r="X42" s="1223"/>
      <c r="Y42" s="339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94"/>
      <c r="Q43" s="625" t="str">
        <f t="shared" si="11"/>
        <v>内部装修</v>
      </c>
      <c r="R43" s="1219" t="s">
        <v>1393</v>
      </c>
      <c r="S43" s="1220">
        <f t="shared" si="12"/>
        <v>104</v>
      </c>
      <c r="T43" s="1219" t="s">
        <v>1393</v>
      </c>
      <c r="U43" s="1220">
        <f t="shared" si="13"/>
        <v>100</v>
      </c>
      <c r="V43" s="1219" t="s">
        <v>1393</v>
      </c>
      <c r="W43" s="1220">
        <f t="shared" si="14"/>
        <v>100</v>
      </c>
      <c r="X43" s="1214"/>
      <c r="Y43" s="3398"/>
      <c r="Z43" s="1204" t="str">
        <f t="shared" si="15"/>
        <v>内部装修</v>
      </c>
      <c r="AA43" s="1204">
        <f t="shared" si="3"/>
        <v>0.96153846153846156</v>
      </c>
      <c r="AB43" s="1204">
        <f t="shared" si="4"/>
        <v>1</v>
      </c>
      <c r="AC43" s="2097">
        <f t="shared" si="5"/>
        <v>1</v>
      </c>
    </row>
    <row r="44" spans="1:29" ht="28.8">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4"/>
      <c r="Q44" s="625" t="str">
        <f t="shared" si="11"/>
        <v>内部装修维护情况</v>
      </c>
      <c r="R44" s="1219" t="s">
        <v>1393</v>
      </c>
      <c r="S44" s="1220">
        <f t="shared" si="12"/>
        <v>100</v>
      </c>
      <c r="T44" s="1219" t="s">
        <v>1393</v>
      </c>
      <c r="U44" s="1220">
        <f t="shared" si="13"/>
        <v>100</v>
      </c>
      <c r="V44" s="1219" t="s">
        <v>1393</v>
      </c>
      <c r="W44" s="1220">
        <f t="shared" si="14"/>
        <v>100</v>
      </c>
      <c r="X44" s="1214"/>
      <c r="Y44" s="339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4"/>
      <c r="Q45" s="794">
        <f t="shared" si="11"/>
        <v>111</v>
      </c>
      <c r="R45" s="1215" t="s">
        <v>1393</v>
      </c>
      <c r="S45" s="1216">
        <f t="shared" si="12"/>
        <v>100</v>
      </c>
      <c r="T45" s="1215" t="s">
        <v>1393</v>
      </c>
      <c r="U45" s="1216">
        <f t="shared" si="13"/>
        <v>100</v>
      </c>
      <c r="V45" s="1215" t="s">
        <v>1393</v>
      </c>
      <c r="W45" s="1216">
        <f t="shared" si="14"/>
        <v>100</v>
      </c>
      <c r="X45" s="1217"/>
      <c r="Y45" s="339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5"/>
      <c r="Q47" s="625">
        <f t="shared" si="11"/>
        <v>111</v>
      </c>
      <c r="R47" s="1219" t="s">
        <v>1393</v>
      </c>
      <c r="S47" s="1220">
        <f t="shared" si="12"/>
        <v>100</v>
      </c>
      <c r="T47" s="1219" t="s">
        <v>1393</v>
      </c>
      <c r="U47" s="1220">
        <f t="shared" si="13"/>
        <v>100</v>
      </c>
      <c r="V47" s="1219" t="s">
        <v>1393</v>
      </c>
      <c r="W47" s="1220">
        <f t="shared" si="14"/>
        <v>100</v>
      </c>
      <c r="X47" s="1214"/>
      <c r="Y47" s="3399"/>
      <c r="Z47" s="1204">
        <f t="shared" si="15"/>
        <v>111</v>
      </c>
      <c r="AA47" s="1204">
        <f t="shared" si="3"/>
        <v>1</v>
      </c>
      <c r="AB47" s="1204">
        <f t="shared" si="4"/>
        <v>1</v>
      </c>
      <c r="AC47" s="2097">
        <f t="shared" si="5"/>
        <v>1</v>
      </c>
    </row>
    <row r="48" spans="1:29" ht="14.4">
      <c r="A48" s="1105" t="s">
        <v>1437</v>
      </c>
      <c r="B48" s="1398"/>
      <c r="C48" s="1399" t="s">
        <v>124</v>
      </c>
      <c r="D48" s="1108"/>
      <c r="E48" s="1109">
        <v>20078</v>
      </c>
      <c r="F48" s="1110"/>
      <c r="G48" s="1109">
        <v>22984</v>
      </c>
      <c r="H48" s="1112"/>
      <c r="I48" s="1109">
        <v>23029</v>
      </c>
      <c r="J48" s="1112"/>
      <c r="K48" s="1195"/>
      <c r="L48" s="1196"/>
      <c r="M48" s="1122"/>
      <c r="N48" s="1122"/>
      <c r="O48" s="1122"/>
      <c r="P48" s="3383" t="str">
        <f>A48</f>
        <v>成交单价（元/平方米）</v>
      </c>
      <c r="Q48" s="3384"/>
      <c r="R48" s="3382">
        <f>E48</f>
        <v>20078</v>
      </c>
      <c r="S48" s="3382"/>
      <c r="T48" s="3382">
        <f>G48</f>
        <v>22984</v>
      </c>
      <c r="U48" s="3382"/>
      <c r="V48" s="3382">
        <f>I48</f>
        <v>23029</v>
      </c>
      <c r="W48" s="3382"/>
      <c r="X48" s="1162"/>
      <c r="Y48" s="1229"/>
      <c r="Z48" s="1162"/>
      <c r="AA48" s="1162"/>
      <c r="AB48" s="1162"/>
      <c r="AC48" s="1067"/>
    </row>
    <row r="49" spans="1:29" ht="14.4">
      <c r="A49" s="1113" t="s">
        <v>1438</v>
      </c>
      <c r="B49" s="1400"/>
      <c r="C49" s="1401">
        <f>R50</f>
        <v>20311</v>
      </c>
      <c r="D49" s="1116" t="s">
        <v>1439</v>
      </c>
      <c r="E49" s="1402">
        <f>R49</f>
        <v>18386</v>
      </c>
      <c r="F49" s="1117"/>
      <c r="G49" s="1401">
        <f>T49</f>
        <v>21252</v>
      </c>
      <c r="H49" s="1117"/>
      <c r="I49" s="1402">
        <f>V49</f>
        <v>21294</v>
      </c>
      <c r="J49" s="1117"/>
      <c r="K49" s="1197">
        <f>F49+H49+J49</f>
        <v>0</v>
      </c>
      <c r="L49" s="1196"/>
      <c r="M49" s="1122"/>
      <c r="N49" s="1122"/>
      <c r="O49" s="1122"/>
      <c r="P49" s="3383" t="str">
        <f>A49</f>
        <v>比较价值（元/平方米）</v>
      </c>
      <c r="Q49" s="3384"/>
      <c r="R49" s="3382">
        <f>IF(F1="售价",ROUND(PRODUCT(R48,AA7:AA47),0),ROUND(PRODUCT(R48,AA7:AA47),1))</f>
        <v>18386</v>
      </c>
      <c r="S49" s="3382"/>
      <c r="T49" s="3382">
        <f>IF(F1="售价",ROUND(PRODUCT(T48,AB7:AB47),0),ROUND(PRODUCT(T48,AB7:AB47),1))</f>
        <v>21252</v>
      </c>
      <c r="U49" s="3382"/>
      <c r="V49" s="3382">
        <f>IF(F1="售价",ROUND(PRODUCT(V48,AC7:AC47),0),ROUND(PRODUCT(V48,AC7:AC47),1))</f>
        <v>21294</v>
      </c>
      <c r="W49" s="3382"/>
      <c r="X49" s="1162"/>
      <c r="Y49" s="1162"/>
      <c r="Z49" s="1162"/>
      <c r="AA49" s="1162"/>
      <c r="AB49" s="1162"/>
      <c r="AC49" s="1067"/>
    </row>
    <row r="50" spans="1:29" ht="14.4">
      <c r="A50" s="1119" t="s">
        <v>1440</v>
      </c>
      <c r="B50" s="1120"/>
      <c r="C50" s="1032">
        <f>R50</f>
        <v>20311</v>
      </c>
      <c r="D50" s="1032"/>
      <c r="E50" s="1032"/>
      <c r="F50" s="1032"/>
      <c r="G50" s="1032"/>
      <c r="H50" s="1032"/>
      <c r="I50" s="1032"/>
      <c r="J50" s="1121"/>
      <c r="K50" s="1198"/>
      <c r="L50" s="1196"/>
      <c r="M50" s="1122"/>
      <c r="N50" s="1122"/>
      <c r="O50" s="1122"/>
      <c r="P50" s="3385" t="str">
        <f>A50</f>
        <v>估价对象XX用房的比较价值（楼面单价，元/平方米）</v>
      </c>
      <c r="Q50" s="3386"/>
      <c r="R50" s="3387">
        <f>IF(F1="售价",ROUND(IF(D49="简单平均",AVERAGE(R49:V49),R49*F49+T49*H49+V49*J49),0),ROUND(IF(D49="简单平均",AVERAGE(R49:V49),R49*F49+T49*H49+V49*J49),1))</f>
        <v>20311</v>
      </c>
      <c r="S50" s="3387"/>
      <c r="T50" s="3387"/>
      <c r="U50" s="3387"/>
      <c r="V50" s="3387"/>
      <c r="W50" s="3387"/>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9.2026541934080219E-2</v>
      </c>
      <c r="F53" s="1126" t="str">
        <f>IF(OR(E53&gt;=0.3,E53&lt;=-0.3),"超过30%","")</f>
        <v/>
      </c>
      <c r="G53" s="1125">
        <f>IF(G48&lt;G49,G49/G48-1,G48/G49-1)</f>
        <v>8.1498211932994558E-2</v>
      </c>
      <c r="H53" s="1126" t="str">
        <f>IF(OR(G53&gt;=0.3,G53&lt;=-0.3),"超过30%","")</f>
        <v/>
      </c>
      <c r="I53" s="1125">
        <f>IF(I48&lt;I49,I49/I48-1,I48/I49-1)</f>
        <v>8.1478350709119907E-2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0.15587947351245512</v>
      </c>
      <c r="F54" s="1126" t="str">
        <f>IF(OR(E54&gt;=0.2,E54&lt;=-0.2),"超过20%","")</f>
        <v/>
      </c>
      <c r="G54" s="1125">
        <f>IF(G49&lt;I49,I49/G49-1,G49/I49-1)</f>
        <v>1.9762845849802257E-3</v>
      </c>
      <c r="H54" s="1126" t="str">
        <f>IF(OR(G54&gt;=0.2,G54&lt;=-0.2),"超过20%","")</f>
        <v/>
      </c>
      <c r="I54" s="1125">
        <f>IF(I49&lt;E49,E49/I49-1,I49/E49-1)</f>
        <v>0.15816382029805287</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6">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4.4">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4.4">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4.4">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ht="14.4">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8.8">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4.4">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ht="14.4">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4.4">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4.4">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4.4">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4.4">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8.8">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4.4">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ht="14.4">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4.4">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ht="14.4">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ht="14.4">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ht="14.4">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ht="14.4">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ht="14.4">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ht="14.4">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ht="14.4">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ht="14.4">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ht="14.4">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ht="28.8">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24590</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82" t="s">
        <v>1381</v>
      </c>
      <c r="AC4" s="3411" t="s">
        <v>1382</v>
      </c>
    </row>
    <row r="5" spans="1:29">
      <c r="A5" s="1029"/>
      <c r="B5" s="1030"/>
      <c r="C5" s="3421" t="s">
        <v>1385</v>
      </c>
      <c r="D5" s="3410"/>
      <c r="E5" s="3422"/>
      <c r="F5" s="3423"/>
      <c r="G5" s="3421"/>
      <c r="H5" s="3410"/>
      <c r="I5" s="3421"/>
      <c r="J5" s="3410"/>
      <c r="K5" s="1171"/>
      <c r="L5" s="1172"/>
      <c r="M5" s="1122"/>
      <c r="N5" s="1122"/>
      <c r="O5" s="1122"/>
      <c r="P5" s="3414"/>
      <c r="Q5" s="3372"/>
      <c r="R5" s="3377"/>
      <c r="S5" s="3378"/>
      <c r="T5" s="3377"/>
      <c r="U5" s="3378"/>
      <c r="V5" s="3382"/>
      <c r="W5" s="3382"/>
      <c r="X5" s="1214"/>
      <c r="Y5" s="3377"/>
      <c r="Z5" s="3378"/>
      <c r="AA5" s="3364"/>
      <c r="AB5" s="3382"/>
      <c r="AC5" s="3364"/>
    </row>
    <row r="6" spans="1:29" ht="14.4">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82"/>
      <c r="AC6" s="3365"/>
    </row>
    <row r="7" spans="1:29" s="1008" customFormat="1" ht="14.4">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8"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1227">
        <f>D7/J7</f>
        <v>1</v>
      </c>
    </row>
    <row r="8" spans="1:29" s="1008" customFormat="1" ht="14.4">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8" t="s">
        <v>1397</v>
      </c>
      <c r="Q8" s="3389"/>
      <c r="R8" s="1215" t="s">
        <v>1393</v>
      </c>
      <c r="S8" s="1216">
        <f t="shared" si="0"/>
        <v>102</v>
      </c>
      <c r="T8" s="1215" t="s">
        <v>1393</v>
      </c>
      <c r="U8" s="1216">
        <f t="shared" si="1"/>
        <v>102</v>
      </c>
      <c r="V8" s="1215" t="s">
        <v>1393</v>
      </c>
      <c r="W8" s="1216">
        <f t="shared" si="2"/>
        <v>102</v>
      </c>
      <c r="X8" s="1217"/>
      <c r="Y8" s="3388" t="s">
        <v>1397</v>
      </c>
      <c r="Z8" s="3389"/>
      <c r="AA8" s="1227">
        <f t="shared" ref="AA8:AA46" si="3">D8/F8</f>
        <v>0.98039215686274506</v>
      </c>
      <c r="AB8" s="1227">
        <f t="shared" ref="AB8:AB46" si="4">D8/H8</f>
        <v>0.98039215686274506</v>
      </c>
      <c r="AC8" s="1227">
        <f t="shared" ref="AC8:AC46" si="5">D8/J8</f>
        <v>0.98039215686274506</v>
      </c>
    </row>
    <row r="9" spans="1:29" s="1008" customFormat="1" ht="14.4">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1" t="s">
        <v>1406</v>
      </c>
      <c r="Q15" s="625" t="str">
        <f t="shared" si="6"/>
        <v>商业繁华度</v>
      </c>
      <c r="R15" s="1219" t="s">
        <v>1393</v>
      </c>
      <c r="S15" s="1220">
        <f t="shared" si="0"/>
        <v>100</v>
      </c>
      <c r="T15" s="1219" t="s">
        <v>1393</v>
      </c>
      <c r="U15" s="1220">
        <f t="shared" si="1"/>
        <v>100</v>
      </c>
      <c r="V15" s="1219" t="s">
        <v>1393</v>
      </c>
      <c r="W15" s="1220">
        <f t="shared" si="2"/>
        <v>103</v>
      </c>
      <c r="X15" s="1214"/>
      <c r="Y15" s="339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2"/>
      <c r="Q17" s="625" t="str">
        <f>B17</f>
        <v>交通便捷度</v>
      </c>
      <c r="R17" s="1219" t="s">
        <v>1393</v>
      </c>
      <c r="S17" s="1220">
        <f>F17</f>
        <v>100</v>
      </c>
      <c r="T17" s="1219" t="s">
        <v>1393</v>
      </c>
      <c r="U17" s="1220">
        <f>H17</f>
        <v>100</v>
      </c>
      <c r="V17" s="1219" t="s">
        <v>1393</v>
      </c>
      <c r="W17" s="1220">
        <f>J17</f>
        <v>102</v>
      </c>
      <c r="X17" s="1214"/>
      <c r="Y17" s="339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2"/>
      <c r="Q25" s="625" t="str">
        <f t="shared" ref="Q25:Q46" si="11">B25</f>
        <v>临街状况</v>
      </c>
      <c r="R25" s="1219" t="s">
        <v>1393</v>
      </c>
      <c r="S25" s="1220">
        <f>F25</f>
        <v>100</v>
      </c>
      <c r="T25" s="1219" t="s">
        <v>1393</v>
      </c>
      <c r="U25" s="1220">
        <f>H25</f>
        <v>100</v>
      </c>
      <c r="V25" s="1219" t="s">
        <v>1393</v>
      </c>
      <c r="W25" s="1220">
        <f>J25</f>
        <v>100</v>
      </c>
      <c r="X25" s="1214"/>
      <c r="Y25" s="339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2"/>
      <c r="Q26" s="625" t="str">
        <f t="shared" si="11"/>
        <v>平面位置/可视性</v>
      </c>
      <c r="R26" s="1219" t="s">
        <v>1393</v>
      </c>
      <c r="S26" s="1220">
        <f>F26</f>
        <v>100</v>
      </c>
      <c r="T26" s="1219" t="s">
        <v>1393</v>
      </c>
      <c r="U26" s="1220">
        <f>H26</f>
        <v>100</v>
      </c>
      <c r="V26" s="1219" t="s">
        <v>1393</v>
      </c>
      <c r="W26" s="1220">
        <f>J26</f>
        <v>100</v>
      </c>
      <c r="X26" s="1214"/>
      <c r="Y26" s="339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2"/>
      <c r="Q27" s="794" t="str">
        <f t="shared" si="11"/>
        <v>人流量</v>
      </c>
      <c r="R27" s="1215" t="s">
        <v>1393</v>
      </c>
      <c r="S27" s="1216">
        <f>F27</f>
        <v>100</v>
      </c>
      <c r="T27" s="1215" t="s">
        <v>1393</v>
      </c>
      <c r="U27" s="1216">
        <f>H27</f>
        <v>100</v>
      </c>
      <c r="V27" s="1215" t="s">
        <v>1393</v>
      </c>
      <c r="W27" s="1216">
        <f>J27</f>
        <v>100</v>
      </c>
      <c r="X27" s="1217"/>
      <c r="Y27" s="339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3" t="s">
        <v>1421</v>
      </c>
      <c r="Q32" s="625" t="str">
        <f t="shared" si="11"/>
        <v>商业类型</v>
      </c>
      <c r="R32" s="1219" t="s">
        <v>1393</v>
      </c>
      <c r="S32" s="1220">
        <f t="shared" si="12"/>
        <v>100</v>
      </c>
      <c r="T32" s="1219" t="s">
        <v>1393</v>
      </c>
      <c r="U32" s="1220">
        <f t="shared" si="13"/>
        <v>100</v>
      </c>
      <c r="V32" s="1219" t="s">
        <v>1393</v>
      </c>
      <c r="W32" s="1220">
        <f t="shared" si="14"/>
        <v>100</v>
      </c>
      <c r="X32" s="1214"/>
      <c r="Y32" s="339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115</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4"/>
      <c r="Q33" s="1415" t="str">
        <f t="shared" si="11"/>
        <v>项目建筑规模</v>
      </c>
      <c r="R33" s="1221" t="s">
        <v>1393</v>
      </c>
      <c r="S33" s="1222">
        <f t="shared" si="12"/>
        <v>99</v>
      </c>
      <c r="T33" s="1221" t="s">
        <v>1393</v>
      </c>
      <c r="U33" s="1222">
        <f t="shared" si="13"/>
        <v>100</v>
      </c>
      <c r="V33" s="1221" t="s">
        <v>1393</v>
      </c>
      <c r="W33" s="1222">
        <f t="shared" si="14"/>
        <v>100</v>
      </c>
      <c r="X33" s="1223"/>
      <c r="Y33" s="3398"/>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4"/>
      <c r="Q35" s="625" t="str">
        <f t="shared" si="11"/>
        <v>公共部分装修</v>
      </c>
      <c r="R35" s="1219" t="s">
        <v>1393</v>
      </c>
      <c r="S35" s="1220">
        <f t="shared" si="12"/>
        <v>100</v>
      </c>
      <c r="T35" s="1219" t="s">
        <v>1393</v>
      </c>
      <c r="U35" s="1220">
        <f t="shared" si="13"/>
        <v>100</v>
      </c>
      <c r="V35" s="1219" t="s">
        <v>1393</v>
      </c>
      <c r="W35" s="1220">
        <f t="shared" si="14"/>
        <v>100</v>
      </c>
      <c r="X35" s="1214"/>
      <c r="Y35" s="339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4"/>
      <c r="Q36" s="625" t="str">
        <f t="shared" si="11"/>
        <v>成新度</v>
      </c>
      <c r="R36" s="1219" t="s">
        <v>1393</v>
      </c>
      <c r="S36" s="1220">
        <f t="shared" si="12"/>
        <v>100</v>
      </c>
      <c r="T36" s="1219" t="s">
        <v>1393</v>
      </c>
      <c r="U36" s="1220">
        <f t="shared" si="13"/>
        <v>100</v>
      </c>
      <c r="V36" s="1219" t="s">
        <v>1393</v>
      </c>
      <c r="W36" s="1220">
        <f t="shared" si="14"/>
        <v>100</v>
      </c>
      <c r="X36" s="1214"/>
      <c r="Y36" s="339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4"/>
      <c r="Q37" s="794" t="str">
        <f t="shared" si="11"/>
        <v>市政基础设施</v>
      </c>
      <c r="R37" s="1215" t="s">
        <v>1393</v>
      </c>
      <c r="S37" s="1216">
        <f t="shared" si="12"/>
        <v>100</v>
      </c>
      <c r="T37" s="1215" t="s">
        <v>1393</v>
      </c>
      <c r="U37" s="1216">
        <f t="shared" si="13"/>
        <v>100</v>
      </c>
      <c r="V37" s="1215" t="s">
        <v>1393</v>
      </c>
      <c r="W37" s="1216">
        <f t="shared" si="14"/>
        <v>100</v>
      </c>
      <c r="X37" s="1217"/>
      <c r="Y37" s="339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4" t="s">
        <v>1421</v>
      </c>
      <c r="Q38" s="625" t="str">
        <f t="shared" si="11"/>
        <v>业态</v>
      </c>
      <c r="R38" s="1219" t="s">
        <v>1393</v>
      </c>
      <c r="S38" s="1220">
        <f t="shared" si="12"/>
        <v>100</v>
      </c>
      <c r="T38" s="1219" t="s">
        <v>1393</v>
      </c>
      <c r="U38" s="1220">
        <f t="shared" si="13"/>
        <v>100</v>
      </c>
      <c r="V38" s="1219" t="s">
        <v>1393</v>
      </c>
      <c r="W38" s="1220">
        <f t="shared" si="14"/>
        <v>100</v>
      </c>
      <c r="X38" s="1214"/>
      <c r="Y38" s="339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4"/>
      <c r="Q39" s="625" t="str">
        <f t="shared" si="11"/>
        <v>层高</v>
      </c>
      <c r="R39" s="1219" t="s">
        <v>1393</v>
      </c>
      <c r="S39" s="1220">
        <f t="shared" si="12"/>
        <v>104</v>
      </c>
      <c r="T39" s="1219" t="s">
        <v>1393</v>
      </c>
      <c r="U39" s="1220">
        <f t="shared" si="13"/>
        <v>104</v>
      </c>
      <c r="V39" s="1219" t="s">
        <v>1393</v>
      </c>
      <c r="W39" s="1220">
        <f t="shared" si="14"/>
        <v>104</v>
      </c>
      <c r="X39" s="1214"/>
      <c r="Y39" s="339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4"/>
      <c r="Q40" s="625" t="str">
        <f t="shared" si="11"/>
        <v>单套建筑面积</v>
      </c>
      <c r="R40" s="1219" t="s">
        <v>1393</v>
      </c>
      <c r="S40" s="1220">
        <f t="shared" si="12"/>
        <v>100</v>
      </c>
      <c r="T40" s="1219" t="s">
        <v>1393</v>
      </c>
      <c r="U40" s="1220">
        <f t="shared" si="13"/>
        <v>100</v>
      </c>
      <c r="V40" s="1219" t="s">
        <v>1393</v>
      </c>
      <c r="W40" s="1220">
        <f t="shared" si="14"/>
        <v>100</v>
      </c>
      <c r="X40" s="1214"/>
      <c r="Y40" s="339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4"/>
      <c r="Q41" s="1415" t="str">
        <f t="shared" si="11"/>
        <v>进深比</v>
      </c>
      <c r="R41" s="1221" t="s">
        <v>1393</v>
      </c>
      <c r="S41" s="1222">
        <f t="shared" si="12"/>
        <v>100</v>
      </c>
      <c r="T41" s="1221" t="s">
        <v>1393</v>
      </c>
      <c r="U41" s="1222">
        <f t="shared" si="13"/>
        <v>100</v>
      </c>
      <c r="V41" s="1221" t="s">
        <v>1393</v>
      </c>
      <c r="W41" s="1222">
        <f t="shared" si="14"/>
        <v>100</v>
      </c>
      <c r="X41" s="1223"/>
      <c r="Y41" s="339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5"/>
        <v>内部装修</v>
      </c>
      <c r="AA42" s="1204">
        <f t="shared" si="3"/>
        <v>1</v>
      </c>
      <c r="AB42" s="1204">
        <f t="shared" si="4"/>
        <v>1</v>
      </c>
      <c r="AC42" s="1204">
        <f t="shared" si="5"/>
        <v>1</v>
      </c>
    </row>
    <row r="43" spans="1:29" ht="28.8">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4"/>
      <c r="Q44" s="794" t="str">
        <f t="shared" si="11"/>
        <v>户型</v>
      </c>
      <c r="R44" s="1215" t="s">
        <v>1393</v>
      </c>
      <c r="S44" s="1216">
        <f t="shared" si="12"/>
        <v>90</v>
      </c>
      <c r="T44" s="1215" t="s">
        <v>1393</v>
      </c>
      <c r="U44" s="1216">
        <f t="shared" si="13"/>
        <v>90</v>
      </c>
      <c r="V44" s="1215" t="s">
        <v>1393</v>
      </c>
      <c r="W44" s="1216">
        <f t="shared" si="14"/>
        <v>90</v>
      </c>
      <c r="X44" s="1217"/>
      <c r="Y44" s="339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1204">
        <f t="shared" si="5"/>
        <v>1</v>
      </c>
    </row>
    <row r="47" spans="1:29" ht="14.4">
      <c r="A47" s="1105" t="s">
        <v>1437</v>
      </c>
      <c r="B47" s="1398"/>
      <c r="C47" s="1399" t="s">
        <v>124</v>
      </c>
      <c r="D47" s="1108"/>
      <c r="E47" s="1109">
        <v>23131</v>
      </c>
      <c r="F47" s="1110"/>
      <c r="G47" s="1109">
        <v>24588</v>
      </c>
      <c r="H47" s="1112"/>
      <c r="I47" s="1109">
        <v>24559</v>
      </c>
      <c r="J47" s="1112"/>
      <c r="K47" s="1195"/>
      <c r="L47" s="1196"/>
      <c r="M47" s="1122"/>
      <c r="N47" s="1122"/>
      <c r="O47" s="1122"/>
      <c r="P47" s="3384" t="str">
        <f>A47</f>
        <v>成交单价（元/平方米）</v>
      </c>
      <c r="Q47" s="3384"/>
      <c r="R47" s="3382">
        <f>E47</f>
        <v>23131</v>
      </c>
      <c r="S47" s="3382"/>
      <c r="T47" s="3382">
        <f>G47</f>
        <v>24588</v>
      </c>
      <c r="U47" s="3382"/>
      <c r="V47" s="3382">
        <f>I47</f>
        <v>24559</v>
      </c>
      <c r="W47" s="3382"/>
      <c r="X47" s="1162"/>
      <c r="Y47" s="1229"/>
      <c r="Z47" s="1162"/>
      <c r="AA47" s="1162"/>
      <c r="AB47" s="1162"/>
      <c r="AC47" s="1162"/>
    </row>
    <row r="48" spans="1:29" ht="14.4">
      <c r="A48" s="1113" t="s">
        <v>1438</v>
      </c>
      <c r="B48" s="1400"/>
      <c r="C48" s="1401">
        <f>R49</f>
        <v>24590</v>
      </c>
      <c r="D48" s="1116" t="s">
        <v>1439</v>
      </c>
      <c r="E48" s="1402">
        <f>R48</f>
        <v>24473</v>
      </c>
      <c r="F48" s="1117">
        <v>0.4</v>
      </c>
      <c r="G48" s="1401">
        <f>T48</f>
        <v>25754</v>
      </c>
      <c r="H48" s="1117">
        <v>0.2</v>
      </c>
      <c r="I48" s="1402">
        <f>V48</f>
        <v>23543</v>
      </c>
      <c r="J48" s="1117">
        <v>0.4</v>
      </c>
      <c r="K48" s="1197">
        <f>F48+H48+J48</f>
        <v>1</v>
      </c>
      <c r="L48" s="1196"/>
      <c r="M48" s="1122"/>
      <c r="N48" s="1122"/>
      <c r="O48" s="1122"/>
      <c r="P48" s="3384" t="str">
        <f>A48</f>
        <v>比较价值（元/平方米）</v>
      </c>
      <c r="Q48" s="3384"/>
      <c r="R48" s="3382">
        <f>IF(F1="售价",ROUND(PRODUCT(R47,AA7:AA46),0),ROUND(PRODUCT(R47,AA7:AA46),1))</f>
        <v>24473</v>
      </c>
      <c r="S48" s="3382"/>
      <c r="T48" s="3382">
        <f>IF(F1="售价",ROUND(PRODUCT(T47,AB7:AB46),0),ROUND(PRODUCT(T47,AB7:AB46),1))</f>
        <v>25754</v>
      </c>
      <c r="U48" s="3382"/>
      <c r="V48" s="3382">
        <f>IF(F1="售价",ROUND(PRODUCT(V47,AC7:AC46),0),ROUND(PRODUCT(V47,AC7:AC46),1))</f>
        <v>23543</v>
      </c>
      <c r="W48" s="3382"/>
      <c r="X48" s="1162"/>
      <c r="Y48" s="1162"/>
      <c r="Z48" s="1162"/>
      <c r="AA48" s="1162"/>
      <c r="AB48" s="1162"/>
      <c r="AC48" s="1162"/>
    </row>
    <row r="49" spans="1:29" ht="14.4">
      <c r="A49" s="1119" t="s">
        <v>1440</v>
      </c>
      <c r="B49" s="1120"/>
      <c r="C49" s="1032">
        <f>R49</f>
        <v>24590</v>
      </c>
      <c r="D49" s="1032"/>
      <c r="E49" s="1032"/>
      <c r="F49" s="1032"/>
      <c r="G49" s="1032"/>
      <c r="H49" s="1032"/>
      <c r="I49" s="1032"/>
      <c r="J49" s="1032"/>
      <c r="K49" s="1198"/>
      <c r="L49" s="1196"/>
      <c r="M49" s="1122"/>
      <c r="N49" s="1122"/>
      <c r="O49" s="1122"/>
      <c r="P49" s="3418" t="str">
        <f>A49</f>
        <v>估价对象XX用房的比较价值（楼面单价，元/平方米）</v>
      </c>
      <c r="Q49" s="3419"/>
      <c r="R49" s="3420">
        <f>IF(F1="售价",ROUND(IF(D48="简单平均",AVERAGE(R48:V48),R48*F48+T48*H48+V48*J48),0),ROUND(IF(D48="简单平均",AVERAGE(R48:V48),R48*F48+T48*H48+V48*J48),1))</f>
        <v>24590</v>
      </c>
      <c r="S49" s="3420"/>
      <c r="T49" s="3420"/>
      <c r="U49" s="3420"/>
      <c r="V49" s="3420"/>
      <c r="W49" s="342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6">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4.4">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4.4">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4.4">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ht="14.4">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8.8">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4.4">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ht="14.4">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4.4">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4.4">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4.4">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4.4">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4.4">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4.4">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4.4">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4.4">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4.4">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ht="14.4">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4.4">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ht="14.4">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ht="14.4">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ht="14.4">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ht="14.4">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ht="14.4">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ht="14.4">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ht="14.4">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ht="14.4">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ht="14.4">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ht="28.8">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ht="14.4">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商业交易情况</formula1>
    </dataValidation>
    <dataValidation type="list" allowBlank="1" showInputMessage="1" showErrorMessage="1" sqref="E9 G9 I9" xr:uid="{00000000-0002-0000-1700-000006000000}">
      <formula1>商业用途</formula1>
    </dataValidation>
    <dataValidation type="list" allowBlank="1" showInputMessage="1" showErrorMessage="1" sqref="C16 E16 G16 I16" xr:uid="{00000000-0002-0000-1700-000007000000}">
      <formula1>商业繁华度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商业临街状况</formula1>
    </dataValidation>
    <dataValidation type="list" allowBlank="1" showInputMessage="1" showErrorMessage="1" sqref="C27 E27 G27 I27" xr:uid="{00000000-0002-0000-1700-00000D000000}">
      <formula1>商业人流量</formula1>
    </dataValidation>
    <dataValidation type="list" allowBlank="1" showInputMessage="1" showErrorMessage="1" sqref="C28 E28 G28 I28" xr:uid="{00000000-0002-0000-1700-00000E000000}">
      <formula1>商业楼层</formula1>
    </dataValidation>
    <dataValidation type="list" allowBlank="1" showInputMessage="1" showErrorMessage="1" sqref="C32 E32 G32 I32" xr:uid="{00000000-0002-0000-1700-00000F000000}">
      <formula1>商业类型</formula1>
    </dataValidation>
    <dataValidation type="list" allowBlank="1" showInputMessage="1" showErrorMessage="1" sqref="C34 E34 G34 I34" xr:uid="{00000000-0002-0000-1700-000010000000}">
      <formula1>商业建筑结构</formula1>
    </dataValidation>
    <dataValidation type="list" allowBlank="1" showInputMessage="1" showErrorMessage="1" sqref="C35 E35 G35 I35" xr:uid="{00000000-0002-0000-1700-000011000000}">
      <formula1>商业公共部分装修</formula1>
    </dataValidation>
    <dataValidation type="list" allowBlank="1" showInputMessage="1" showErrorMessage="1" sqref="C37 E37 G37 I37" xr:uid="{00000000-0002-0000-1700-000012000000}">
      <formula1>商业基础设施水平</formula1>
    </dataValidation>
    <dataValidation type="list" allowBlank="1" showInputMessage="1" showErrorMessage="1" sqref="C38 E38 G38 I38" xr:uid="{00000000-0002-0000-1700-000013000000}">
      <formula1>商业业态</formula1>
    </dataValidation>
    <dataValidation type="list" allowBlank="1" showInputMessage="1" showErrorMessage="1" sqref="C39 E39 G39 I39" xr:uid="{00000000-0002-0000-1700-000014000000}">
      <formula1>商业层高</formula1>
    </dataValidation>
    <dataValidation type="list" allowBlank="1" showInputMessage="1" showErrorMessage="1" sqref="C41 E41 G41 I41" xr:uid="{00000000-0002-0000-1700-000015000000}">
      <formula1>商业进深比</formula1>
    </dataValidation>
    <dataValidation type="list" allowBlank="1" showInputMessage="1" showErrorMessage="1" sqref="C42 E42 G42 I42" xr:uid="{00000000-0002-0000-1700-000016000000}">
      <formula1>商业内部装修</formula1>
    </dataValidation>
    <dataValidation type="list" allowBlank="1" showInputMessage="1" showErrorMessage="1" sqref="C43 E43 G43 I43" xr:uid="{00000000-0002-0000-1700-000017000000}">
      <formula1>内部装修维护情况</formula1>
    </dataValidation>
    <dataValidation type="list" allowBlank="1" showInputMessage="1" showErrorMessage="1" sqref="D48"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abSelected="1" view="pageBreakPreview" topLeftCell="A31" zoomScale="70" zoomScaleNormal="70" workbookViewId="0">
      <selection activeCell="Q47" sqref="Q47:Q5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t="s">
        <v>230</v>
      </c>
      <c r="D1" s="1820" t="s">
        <v>124</v>
      </c>
      <c r="E1" s="1821" t="s">
        <v>1185</v>
      </c>
      <c r="F1" s="1822">
        <f ca="1">J53</f>
        <v>36.1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111.5305</v>
      </c>
      <c r="C2" s="1826" t="s">
        <v>1187</v>
      </c>
      <c r="D2" s="1827">
        <f ca="1">C40+J29+L46</f>
        <v>1115305</v>
      </c>
      <c r="E2" s="1828" t="s">
        <v>1462</v>
      </c>
      <c r="F2" s="1829"/>
      <c r="G2" s="1830"/>
      <c r="H2" s="1831"/>
      <c r="I2" s="1831"/>
      <c r="J2" s="1831"/>
      <c r="K2" s="1986"/>
      <c r="L2" s="1831"/>
      <c r="M2" s="1831"/>
    </row>
    <row r="3" spans="1:37" ht="18" customHeight="1">
      <c r="A3" s="1832" t="s">
        <v>1188</v>
      </c>
      <c r="B3" s="1833">
        <f ca="1">IF(ISERROR(D2/F43),0,ROUND(D2/F43,0))</f>
        <v>9698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71447</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71358</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115</v>
      </c>
      <c r="G7" s="718"/>
      <c r="H7" s="1854"/>
      <c r="I7" s="3361"/>
      <c r="J7" s="1855"/>
      <c r="K7" s="1852"/>
      <c r="L7" s="1848" t="s">
        <v>1202</v>
      </c>
      <c r="M7" s="1849">
        <f ca="1">F7</f>
        <v>115</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89</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646155</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517500</v>
      </c>
      <c r="D14" s="1879" t="s">
        <v>1215</v>
      </c>
      <c r="E14" s="1880"/>
      <c r="F14" s="1881"/>
      <c r="G14" s="718"/>
      <c r="H14" s="1877" t="s">
        <v>939</v>
      </c>
      <c r="I14" s="1848" t="s">
        <v>1216</v>
      </c>
      <c r="J14" s="950">
        <f ca="1">C29</f>
        <v>760182</v>
      </c>
      <c r="K14" s="1998"/>
      <c r="L14" s="1999"/>
      <c r="M14" s="2000"/>
    </row>
    <row r="15" spans="1:37" s="1816" customFormat="1" ht="18" customHeight="1">
      <c r="A15" s="1877" t="s">
        <v>966</v>
      </c>
      <c r="B15" s="1848" t="s">
        <v>1145</v>
      </c>
      <c r="C15" s="950">
        <f ca="1">ROUND(C14*F15,0)</f>
        <v>25875</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3801</v>
      </c>
      <c r="K16" s="1897" t="s">
        <v>1221</v>
      </c>
      <c r="L16" s="1898"/>
      <c r="M16" s="1844"/>
    </row>
    <row r="17" spans="1:37" s="1816" customFormat="1" ht="18" customHeight="1">
      <c r="A17" s="1877" t="s">
        <v>1222</v>
      </c>
      <c r="B17" s="1848" t="s">
        <v>1223</v>
      </c>
      <c r="C17" s="950">
        <f ca="1">ROUND(F17*(F43+INDIRECT("'数据-取费表'!S"&amp;$G$1)),0)</f>
        <v>23000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10350</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576725</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17302</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3801</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18593</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-3801</v>
      </c>
      <c r="K25" s="1916" t="s">
        <v>1259</v>
      </c>
      <c r="L25" s="1917"/>
      <c r="M25" s="1918"/>
    </row>
    <row r="26" spans="1:37" ht="18" customHeight="1">
      <c r="A26" s="1877" t="s">
        <v>962</v>
      </c>
      <c r="B26" s="1848" t="s">
        <v>1260</v>
      </c>
      <c r="C26" s="950">
        <f ca="1">ROUND((C19+C20)*F26,0)</f>
        <v>89104</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760182</v>
      </c>
      <c r="D29" s="1894"/>
      <c r="E29" s="1870"/>
      <c r="F29" s="1895"/>
      <c r="G29" s="1884"/>
      <c r="H29" s="1896" t="s">
        <v>1275</v>
      </c>
      <c r="I29" s="1925" t="s">
        <v>1276</v>
      </c>
      <c r="J29" s="1926">
        <f ca="1">ROUND(J26/(1+F40)^F41,0)</f>
        <v>0</v>
      </c>
      <c r="K29" s="1927" t="s">
        <v>1277</v>
      </c>
      <c r="L29" s="1928"/>
      <c r="M29" s="1929">
        <f ca="1">INDIRECT("'数据-取费表'!k"&amp;$G$1)</f>
        <v>115</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17122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11961</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3806</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8155</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3801</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646</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714</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54325</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1092962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9504</v>
      </c>
      <c r="D43" s="1927" t="s">
        <v>1282</v>
      </c>
      <c r="E43" s="1928" t="s">
        <v>1283</v>
      </c>
      <c r="F43" s="1929">
        <f ca="1">INDIRECT("'数据-取费表'!k"&amp;$G$1)</f>
        <v>115</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-116.2114</v>
      </c>
      <c r="D45" s="1934" t="s">
        <v>1470</v>
      </c>
      <c r="E45" s="1930"/>
      <c r="F45" s="1930"/>
      <c r="O45" s="2014" t="s">
        <v>1284</v>
      </c>
      <c r="P45" s="1920"/>
      <c r="Q45" s="1920"/>
      <c r="R45" s="1920"/>
    </row>
    <row r="46" spans="1:18" s="718" customFormat="1">
      <c r="A46" s="1935" t="s">
        <v>1285</v>
      </c>
      <c r="C46" s="1936">
        <f ca="1">ROUND(C45,0)</f>
        <v>-116</v>
      </c>
      <c r="D46" s="1937" t="str">
        <f>C2</f>
        <v>万元</v>
      </c>
      <c r="I46" s="2015" t="s">
        <v>1286</v>
      </c>
      <c r="J46" s="2016"/>
      <c r="K46" s="2017"/>
      <c r="L46" s="2018">
        <f ca="1">IF(M47="住宅",0,IF(L48&gt;J51,L60,J60))</f>
        <v>22343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1092962</v>
      </c>
      <c r="R47" s="2063" t="s">
        <v>1294</v>
      </c>
    </row>
    <row r="48" spans="1:18" s="718" customFormat="1" ht="39.6">
      <c r="A48" s="1942" t="s">
        <v>1295</v>
      </c>
      <c r="B48" s="1840" t="s">
        <v>1196</v>
      </c>
      <c r="C48" s="951">
        <f ca="1">C49+C53+C55</f>
        <v>0</v>
      </c>
      <c r="D48" s="1943"/>
      <c r="E48" s="1944"/>
      <c r="F48" s="1945"/>
      <c r="G48" s="1941"/>
      <c r="H48" s="1946"/>
      <c r="I48" s="2028" t="s">
        <v>1296</v>
      </c>
      <c r="J48" s="2029" t="s">
        <v>1471</v>
      </c>
      <c r="K48" s="2030" t="s">
        <v>1297</v>
      </c>
      <c r="L48" s="2031">
        <f ca="1">INDIRECT("'数据-取费表'!f"&amp;$G$1)</f>
        <v>36.1</v>
      </c>
      <c r="O48" s="2026" t="s">
        <v>1047</v>
      </c>
      <c r="P48" s="2027" t="s">
        <v>1298</v>
      </c>
      <c r="Q48" s="2063">
        <f ca="1">J60</f>
        <v>22343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760182</v>
      </c>
      <c r="R49" s="2063" t="s">
        <v>1294</v>
      </c>
    </row>
    <row r="50" spans="1:18" s="718" customFormat="1">
      <c r="A50" s="1953"/>
      <c r="B50" s="915"/>
      <c r="C50" s="1954"/>
      <c r="D50" s="1955"/>
      <c r="E50" s="1956" t="s">
        <v>1202</v>
      </c>
      <c r="F50" s="1957">
        <f ca="1">F7</f>
        <v>115</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166777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36.1</v>
      </c>
      <c r="K53" s="3358" t="s">
        <v>1322</v>
      </c>
      <c r="L53" s="3359"/>
      <c r="O53" s="2026" t="s">
        <v>1147</v>
      </c>
      <c r="P53" s="2027" t="s">
        <v>1323</v>
      </c>
      <c r="Q53" s="2063">
        <f ca="1">Q47+Q48</f>
        <v>1115305</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0.248</v>
      </c>
      <c r="K55" s="2049" t="s">
        <v>1327</v>
      </c>
      <c r="L55" s="2050"/>
      <c r="O55" s="2019" t="s">
        <v>1287</v>
      </c>
      <c r="P55" s="2020" t="s">
        <v>1288</v>
      </c>
      <c r="Q55" s="2062" t="s">
        <v>1289</v>
      </c>
      <c r="R55" s="2062" t="s">
        <v>1290</v>
      </c>
    </row>
    <row r="56" spans="1:18" s="718" customFormat="1" ht="36" customHeight="1">
      <c r="A56" s="1965">
        <v>2</v>
      </c>
      <c r="B56" s="1966" t="s">
        <v>1211</v>
      </c>
      <c r="C56" s="376">
        <f ca="1">C13</f>
        <v>646155</v>
      </c>
      <c r="D56" s="1967"/>
      <c r="E56" s="1968"/>
      <c r="F56" s="1964"/>
      <c r="I56" s="2051" t="s">
        <v>1328</v>
      </c>
      <c r="J56" s="2052" t="s">
        <v>534</v>
      </c>
      <c r="K56" s="2028" t="s">
        <v>1329</v>
      </c>
      <c r="L56" s="2031" t="str">
        <f ca="1">IF(L48&lt;J51,"——",L48-J51)</f>
        <v>——</v>
      </c>
      <c r="O56" s="2026" t="s">
        <v>1044</v>
      </c>
      <c r="P56" s="2027" t="s">
        <v>1293</v>
      </c>
      <c r="Q56" s="2063">
        <f ca="1">C40+J29</f>
        <v>1092962</v>
      </c>
      <c r="R56" s="2063" t="s">
        <v>1294</v>
      </c>
    </row>
    <row r="57" spans="1:18" s="718" customFormat="1" ht="24">
      <c r="A57" s="1969"/>
      <c r="B57" s="1970" t="s">
        <v>1274</v>
      </c>
      <c r="C57" s="386">
        <f ca="1">C29</f>
        <v>760182</v>
      </c>
      <c r="D57" s="1971"/>
      <c r="E57" s="1972"/>
      <c r="F57" s="1973"/>
      <c r="I57" s="2053" t="s">
        <v>1330</v>
      </c>
      <c r="J57" s="2054">
        <f ca="1">IF(OR(M47="住宅",J51&lt;L48,J56="是"),"——",J51-L48)</f>
        <v>14.899999999999999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4447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304073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22343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1092962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3801</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646</v>
      </c>
      <c r="D65" s="1978" t="s">
        <v>1251</v>
      </c>
      <c r="E65" s="1970" t="s">
        <v>1218</v>
      </c>
      <c r="F65" s="1914">
        <f t="shared" ca="1" si="0"/>
        <v>1E-3</v>
      </c>
      <c r="I65" s="2059" t="s">
        <v>1352</v>
      </c>
      <c r="J65" s="1139">
        <v>40</v>
      </c>
      <c r="K65" s="1139">
        <v>30</v>
      </c>
      <c r="L65" s="1139">
        <v>50</v>
      </c>
      <c r="M65" s="2061">
        <v>0.02</v>
      </c>
      <c r="O65" s="2026" t="s">
        <v>1044</v>
      </c>
      <c r="P65" s="2027" t="s">
        <v>1293</v>
      </c>
      <c r="Q65" s="2063">
        <f ca="1">C40+J29</f>
        <v>1092962</v>
      </c>
      <c r="R65" s="2063" t="s">
        <v>1294</v>
      </c>
    </row>
    <row r="66" spans="1:18" s="718" customFormat="1" ht="15.6">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24">
      <c r="A67" s="1965" t="s">
        <v>1257</v>
      </c>
      <c r="B67" s="2065" t="s">
        <v>1258</v>
      </c>
      <c r="C67" s="949">
        <f ca="1">C48-C58</f>
        <v>-4447</v>
      </c>
      <c r="D67" s="1977" t="s">
        <v>1259</v>
      </c>
      <c r="E67" s="2066"/>
      <c r="F67" s="2067"/>
      <c r="O67" s="2034" t="s">
        <v>1305</v>
      </c>
      <c r="P67" s="2027" t="s">
        <v>1336</v>
      </c>
      <c r="Q67" s="2087">
        <f ca="1">L51</f>
        <v>166777</v>
      </c>
      <c r="R67" s="2063" t="s">
        <v>1353</v>
      </c>
    </row>
    <row r="68" spans="1:18" s="718" customFormat="1" ht="15.6">
      <c r="A68" s="2068" t="s">
        <v>1263</v>
      </c>
      <c r="B68" s="2069" t="s">
        <v>1280</v>
      </c>
      <c r="C68" s="1919">
        <f ca="1">ROUND(C67*(1-((1+F70)/(1+F68))^F69)/(F68-F70),0)</f>
        <v>-69152</v>
      </c>
      <c r="D68" s="1980" t="s">
        <v>1265</v>
      </c>
      <c r="E68" s="1970" t="s">
        <v>1266</v>
      </c>
      <c r="F68" s="1856">
        <f ca="1">F40</f>
        <v>5.5E-2</v>
      </c>
      <c r="O68" s="2034" t="s">
        <v>1309</v>
      </c>
      <c r="P68" s="2086" t="s">
        <v>1354</v>
      </c>
      <c r="Q68" s="2063">
        <f ca="1">ROUND(Q69-Q70*Q71,0)</f>
        <v>9094</v>
      </c>
      <c r="R68" s="2063" t="s">
        <v>1355</v>
      </c>
    </row>
    <row r="69" spans="1:18" s="718" customFormat="1">
      <c r="A69" s="2070"/>
      <c r="B69" s="2071"/>
      <c r="C69" s="1855"/>
      <c r="D69" s="2072" t="s">
        <v>1269</v>
      </c>
      <c r="E69" s="1970" t="s">
        <v>1270</v>
      </c>
      <c r="F69" s="1923">
        <f ca="1">F41</f>
        <v>36.1</v>
      </c>
      <c r="O69" s="2034" t="s">
        <v>1356</v>
      </c>
      <c r="P69" s="2086" t="s">
        <v>1357</v>
      </c>
      <c r="Q69" s="2063">
        <f ca="1">C39</f>
        <v>54325</v>
      </c>
      <c r="R69" s="2063" t="s">
        <v>1294</v>
      </c>
    </row>
    <row r="70" spans="1:18" s="718" customFormat="1">
      <c r="A70" s="2073"/>
      <c r="B70" s="2074"/>
      <c r="C70" s="1874"/>
      <c r="D70" s="1982"/>
      <c r="E70" s="1970" t="s">
        <v>1273</v>
      </c>
      <c r="F70" s="1960"/>
      <c r="O70" s="2034" t="s">
        <v>1358</v>
      </c>
      <c r="P70" s="2086" t="s">
        <v>1359</v>
      </c>
      <c r="Q70" s="2063">
        <f ca="1">C13</f>
        <v>646155</v>
      </c>
      <c r="R70" s="2063" t="s">
        <v>1294</v>
      </c>
    </row>
    <row r="71" spans="1:18" s="718" customFormat="1">
      <c r="A71" s="2075" t="s">
        <v>1275</v>
      </c>
      <c r="B71" s="2076" t="s">
        <v>1281</v>
      </c>
      <c r="C71" s="1926">
        <f ca="1">ROUND(C68/F71,0)</f>
        <v>-601</v>
      </c>
      <c r="D71" s="2077" t="s">
        <v>1282</v>
      </c>
      <c r="E71" s="2078" t="s">
        <v>1283</v>
      </c>
      <c r="F71" s="1929">
        <f ca="1">F43</f>
        <v>115</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45231</v>
      </c>
      <c r="D75" s="718"/>
      <c r="E75" s="718"/>
      <c r="F75" s="718"/>
      <c r="K75" s="2013"/>
      <c r="L75" s="718"/>
      <c r="O75" s="2026" t="s">
        <v>1147</v>
      </c>
      <c r="P75" s="2027" t="s">
        <v>1323</v>
      </c>
      <c r="Q75" s="2063">
        <f ca="1">Q65+Q66</f>
        <v>1092962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0.16700000000000004</v>
      </c>
    </row>
    <row r="80" spans="1:18">
      <c r="B80" s="2080" t="s">
        <v>1369</v>
      </c>
      <c r="C80" s="419">
        <f ca="1">ROUND(C75/C39,3)</f>
        <v>0.83299999999999996</v>
      </c>
    </row>
    <row r="81" spans="2:3">
      <c r="B81" s="416" t="s">
        <v>1370</v>
      </c>
      <c r="C81" s="386"/>
    </row>
    <row r="82" spans="2:3">
      <c r="B82" s="418" t="s">
        <v>1123</v>
      </c>
      <c r="C82" s="420">
        <f ca="1">1-C83</f>
        <v>0.40900000000000003</v>
      </c>
    </row>
    <row r="83" spans="2:3">
      <c r="B83" s="418" t="s">
        <v>1124</v>
      </c>
      <c r="C83" s="419">
        <f ca="1">ROUND(C13/C40,3)</f>
        <v>0.59099999999999997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2" customHeight="1">
      <c r="A2" s="1656" t="s">
        <v>1186</v>
      </c>
      <c r="B2" s="1657" t="e">
        <f>IF(D2="——",C40,C40+E2)</f>
        <v>#DIV/0!</v>
      </c>
      <c r="C2" s="1652" t="s">
        <v>1187</v>
      </c>
      <c r="D2" s="1658" t="s">
        <v>1478</v>
      </c>
      <c r="E2" s="1659"/>
      <c r="F2" s="1660"/>
      <c r="G2" s="1661"/>
      <c r="H2" s="1662"/>
      <c r="I2" s="1747"/>
      <c r="J2" s="3436" t="s">
        <v>1479</v>
      </c>
      <c r="K2" s="3437"/>
      <c r="L2" s="1758" t="s">
        <v>1480</v>
      </c>
      <c r="M2" s="1758" t="s">
        <v>1481</v>
      </c>
      <c r="N2" s="1758" t="s">
        <v>1482</v>
      </c>
      <c r="O2" s="1758" t="s">
        <v>1483</v>
      </c>
      <c r="P2" s="1758" t="s">
        <v>1484</v>
      </c>
      <c r="Q2" s="1795" t="s">
        <v>1485</v>
      </c>
      <c r="R2" s="1796" t="s">
        <v>1486</v>
      </c>
      <c r="S2" s="1716"/>
      <c r="T2" s="1716"/>
      <c r="U2" s="1716"/>
      <c r="V2" s="1747"/>
    </row>
    <row r="3" spans="1:22" s="1644" customFormat="1" ht="13.2" customHeight="1">
      <c r="A3" s="1663" t="s">
        <v>1188</v>
      </c>
      <c r="B3" s="1664" t="e">
        <f>ROUND(B2*10000/B4,0)</f>
        <v>#DIV/0!</v>
      </c>
      <c r="C3" s="1652" t="s">
        <v>1189</v>
      </c>
      <c r="D3" s="1652"/>
      <c r="E3" s="1665"/>
      <c r="F3" s="1660"/>
      <c r="G3" s="1661"/>
      <c r="H3" s="1662"/>
      <c r="I3" s="1747"/>
      <c r="J3" s="3430" t="s">
        <v>1487</v>
      </c>
      <c r="K3" s="3431"/>
      <c r="L3" s="1759"/>
      <c r="M3" s="1759"/>
      <c r="N3" s="1759"/>
      <c r="O3" s="1759"/>
      <c r="P3" s="1759"/>
      <c r="Q3" s="1797"/>
      <c r="R3" s="1798">
        <f>SUM(L3:Q3)</f>
        <v>0</v>
      </c>
      <c r="S3" s="1716"/>
      <c r="T3" s="1716"/>
      <c r="U3" s="1716"/>
      <c r="V3" s="1747"/>
    </row>
    <row r="4" spans="1:22" s="1644" customFormat="1" ht="13.2" customHeight="1">
      <c r="A4" s="1666" t="s">
        <v>1488</v>
      </c>
      <c r="B4" s="1667"/>
      <c r="C4" s="1652"/>
      <c r="D4" s="1652"/>
      <c r="E4" s="1665"/>
      <c r="F4" s="1660"/>
      <c r="G4" s="1661"/>
      <c r="H4" s="1662"/>
      <c r="I4" s="1747"/>
      <c r="J4" s="3430" t="s">
        <v>1489</v>
      </c>
      <c r="K4" s="3431"/>
      <c r="L4" s="1760"/>
      <c r="M4" s="1760"/>
      <c r="N4" s="1760"/>
      <c r="O4" s="1760"/>
      <c r="P4" s="1760"/>
      <c r="Q4" s="1799"/>
      <c r="R4" s="1800">
        <f>SUM(L4:Q4)</f>
        <v>0</v>
      </c>
      <c r="S4" s="1716"/>
      <c r="T4" s="1716"/>
      <c r="U4" s="1716"/>
      <c r="V4" s="1747"/>
    </row>
    <row r="5" spans="1:22" s="1644" customFormat="1" ht="13.2"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2" customHeight="1">
      <c r="A6" s="3440" t="s">
        <v>1493</v>
      </c>
      <c r="B6" s="3441"/>
      <c r="C6" s="3442"/>
      <c r="D6" s="1671"/>
      <c r="E6" s="1672"/>
      <c r="F6" s="1673"/>
      <c r="G6" s="1674"/>
      <c r="H6" s="1662"/>
      <c r="I6" s="1747"/>
      <c r="J6" s="3424">
        <v>1</v>
      </c>
      <c r="K6" s="3427"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2" customHeight="1">
      <c r="A7" s="1675" t="s">
        <v>1503</v>
      </c>
      <c r="B7" s="1676"/>
      <c r="C7" s="1677"/>
      <c r="D7" s="1678">
        <f>SUM(D9,D10,D11,D17,0)</f>
        <v>0</v>
      </c>
      <c r="E7" s="1679" t="e">
        <f>E9+E10+E11+E17</f>
        <v>#DIV/0!</v>
      </c>
      <c r="F7" s="1680"/>
      <c r="G7" s="1681"/>
      <c r="H7" s="1662"/>
      <c r="I7" s="1747"/>
      <c r="J7" s="3424"/>
      <c r="K7" s="3428"/>
      <c r="L7" s="1767" t="s">
        <v>1504</v>
      </c>
      <c r="M7" s="1768"/>
      <c r="N7" s="1667"/>
      <c r="O7" s="1769"/>
      <c r="P7" s="1769"/>
      <c r="Q7" s="1700">
        <v>365</v>
      </c>
      <c r="R7" s="1801">
        <f>ROUND(M7*N7*O7*P7*Q7/10000,0)</f>
        <v>0</v>
      </c>
      <c r="S7" s="1716"/>
      <c r="T7" s="1716" t="s">
        <v>1505</v>
      </c>
      <c r="U7" s="1716"/>
      <c r="V7" s="1747"/>
    </row>
    <row r="8" spans="1:22" s="1644" customFormat="1" ht="13.2" customHeight="1">
      <c r="A8" s="1682" t="s">
        <v>1506</v>
      </c>
      <c r="B8" s="3438" t="s">
        <v>1507</v>
      </c>
      <c r="C8" s="3439"/>
      <c r="D8" s="1685" t="s">
        <v>1508</v>
      </c>
      <c r="E8" s="1686" t="s">
        <v>1509</v>
      </c>
      <c r="F8" s="1687" t="s">
        <v>1510</v>
      </c>
      <c r="G8" s="1688"/>
      <c r="H8" s="1662"/>
      <c r="I8" s="1747"/>
      <c r="J8" s="3424"/>
      <c r="K8" s="3428"/>
      <c r="L8" s="1767" t="s">
        <v>1511</v>
      </c>
      <c r="M8" s="1768"/>
      <c r="N8" s="1667"/>
      <c r="O8" s="1769"/>
      <c r="P8" s="1769"/>
      <c r="Q8" s="1700">
        <v>365</v>
      </c>
      <c r="R8" s="1801">
        <f t="shared" ref="R8:R13" si="0">ROUND(M8*N8*O8*P8*Q8/10000,0)</f>
        <v>0</v>
      </c>
      <c r="S8" s="1716"/>
      <c r="T8" s="1716" t="s">
        <v>1512</v>
      </c>
      <c r="U8" s="1716"/>
      <c r="V8" s="1747"/>
    </row>
    <row r="9" spans="1:22" s="1644" customFormat="1" ht="13.2" customHeight="1">
      <c r="A9" s="1682">
        <v>1</v>
      </c>
      <c r="B9" s="3438" t="s">
        <v>1513</v>
      </c>
      <c r="C9" s="3439"/>
      <c r="D9" s="1685">
        <f>ROUND(D6*E9,0)</f>
        <v>0</v>
      </c>
      <c r="E9" s="1689"/>
      <c r="F9" s="1690" t="s">
        <v>1514</v>
      </c>
      <c r="G9" s="1674"/>
      <c r="H9" s="1662"/>
      <c r="I9" s="1747"/>
      <c r="J9" s="3424"/>
      <c r="K9" s="3428"/>
      <c r="L9" s="1767" t="s">
        <v>1515</v>
      </c>
      <c r="M9" s="1768"/>
      <c r="N9" s="1667"/>
      <c r="O9" s="1769"/>
      <c r="P9" s="1769"/>
      <c r="Q9" s="1700">
        <v>365</v>
      </c>
      <c r="R9" s="1801">
        <f t="shared" si="0"/>
        <v>0</v>
      </c>
      <c r="S9" s="1716"/>
      <c r="T9" s="1716"/>
      <c r="U9" s="1716"/>
      <c r="V9" s="1747"/>
    </row>
    <row r="10" spans="1:22" s="1644" customFormat="1" ht="13.2" customHeight="1">
      <c r="A10" s="1682">
        <v>2</v>
      </c>
      <c r="B10" s="3438" t="s">
        <v>1516</v>
      </c>
      <c r="C10" s="3439"/>
      <c r="D10" s="1685">
        <f>ROUND(D6*E10,0)</f>
        <v>0</v>
      </c>
      <c r="E10" s="1689"/>
      <c r="F10" s="1690" t="s">
        <v>1517</v>
      </c>
      <c r="G10" s="1674"/>
      <c r="H10" s="1662"/>
      <c r="I10" s="1747"/>
      <c r="J10" s="3424"/>
      <c r="K10" s="3428"/>
      <c r="L10" s="1767" t="s">
        <v>1518</v>
      </c>
      <c r="M10" s="1768"/>
      <c r="N10" s="1667"/>
      <c r="O10" s="1769"/>
      <c r="P10" s="1769"/>
      <c r="Q10" s="1700">
        <v>365</v>
      </c>
      <c r="R10" s="1801">
        <f t="shared" si="0"/>
        <v>0</v>
      </c>
      <c r="S10" s="1716"/>
      <c r="T10" s="1716"/>
      <c r="U10" s="1716"/>
      <c r="V10" s="1747"/>
    </row>
    <row r="11" spans="1:22" s="1644" customFormat="1" ht="13.2" customHeight="1">
      <c r="A11" s="1682">
        <v>3</v>
      </c>
      <c r="B11" s="3438" t="s">
        <v>1519</v>
      </c>
      <c r="C11" s="3439"/>
      <c r="D11" s="1685">
        <f>D12+D14+D15+D16</f>
        <v>0</v>
      </c>
      <c r="E11" s="1691" t="e">
        <f>D11/D6</f>
        <v>#DIV/0!</v>
      </c>
      <c r="F11" s="1687"/>
      <c r="G11" s="1688"/>
      <c r="H11" s="1662"/>
      <c r="I11" s="1747"/>
      <c r="J11" s="3424"/>
      <c r="K11" s="3428"/>
      <c r="L11" s="1767" t="s">
        <v>1520</v>
      </c>
      <c r="M11" s="1768"/>
      <c r="N11" s="1667"/>
      <c r="O11" s="1769"/>
      <c r="P11" s="1769"/>
      <c r="Q11" s="1700">
        <v>365</v>
      </c>
      <c r="R11" s="1801">
        <f t="shared" si="0"/>
        <v>0</v>
      </c>
      <c r="S11" s="1716"/>
      <c r="T11" s="1716"/>
      <c r="U11" s="1716"/>
      <c r="V11" s="1747"/>
    </row>
    <row r="12" spans="1:22" s="1644" customFormat="1" ht="13.2" customHeight="1">
      <c r="A12" s="1692" t="s">
        <v>1521</v>
      </c>
      <c r="B12" s="3432" t="s">
        <v>1522</v>
      </c>
      <c r="C12" s="3433"/>
      <c r="D12" s="1695">
        <f>ROUND(D13*1.2%*(1-30%),0)</f>
        <v>0</v>
      </c>
      <c r="E12" s="1696">
        <v>1.2E-2</v>
      </c>
      <c r="F12" s="1687" t="s">
        <v>1523</v>
      </c>
      <c r="G12" s="1688"/>
      <c r="H12" s="1662"/>
      <c r="I12" s="1747"/>
      <c r="J12" s="3424"/>
      <c r="K12" s="3428"/>
      <c r="L12" s="1767" t="s">
        <v>1524</v>
      </c>
      <c r="M12" s="1768"/>
      <c r="N12" s="1667"/>
      <c r="O12" s="1769"/>
      <c r="P12" s="1769"/>
      <c r="Q12" s="1700">
        <v>365</v>
      </c>
      <c r="R12" s="1801">
        <f t="shared" si="0"/>
        <v>0</v>
      </c>
      <c r="S12" s="1716"/>
      <c r="T12" s="1716"/>
      <c r="U12" s="1716"/>
      <c r="V12" s="1747"/>
    </row>
    <row r="13" spans="1:22" s="1644" customFormat="1" ht="13.2" customHeight="1">
      <c r="A13" s="1692"/>
      <c r="B13" s="1693"/>
      <c r="C13" s="1697" t="s">
        <v>1525</v>
      </c>
      <c r="D13" s="1698"/>
      <c r="E13" s="1699"/>
      <c r="F13" s="1687"/>
      <c r="G13" s="1688"/>
      <c r="H13" s="1662"/>
      <c r="I13" s="1747"/>
      <c r="J13" s="3424"/>
      <c r="K13" s="3428"/>
      <c r="L13" s="1767" t="s">
        <v>1526</v>
      </c>
      <c r="M13" s="1768"/>
      <c r="N13" s="1667"/>
      <c r="O13" s="1769"/>
      <c r="P13" s="1769"/>
      <c r="Q13" s="1700">
        <v>365</v>
      </c>
      <c r="R13" s="1801">
        <f t="shared" si="0"/>
        <v>0</v>
      </c>
      <c r="S13" s="1716"/>
      <c r="T13" s="1716"/>
      <c r="U13" s="1716"/>
      <c r="V13" s="1747"/>
    </row>
    <row r="14" spans="1:22" s="1644" customFormat="1" ht="13.2" customHeight="1">
      <c r="A14" s="1692" t="s">
        <v>1527</v>
      </c>
      <c r="B14" s="3432" t="s">
        <v>1528</v>
      </c>
      <c r="C14" s="3433"/>
      <c r="D14" s="1695">
        <f>ROUND(E14*B5/10000,0)</f>
        <v>0</v>
      </c>
      <c r="E14" s="1700"/>
      <c r="F14" s="1687" t="s">
        <v>1529</v>
      </c>
      <c r="G14" s="1688"/>
      <c r="H14" s="1662"/>
      <c r="I14" s="1747"/>
      <c r="J14" s="3424"/>
      <c r="K14" s="3429"/>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1531</v>
      </c>
      <c r="B15" s="3432" t="s">
        <v>1532</v>
      </c>
      <c r="C15" s="3433"/>
      <c r="D15" s="1695">
        <f>ROUND(D6*E15,0)</f>
        <v>0</v>
      </c>
      <c r="E15" s="1696">
        <v>5.5E-2</v>
      </c>
      <c r="F15" s="1687" t="s">
        <v>1533</v>
      </c>
      <c r="G15" s="1674"/>
      <c r="H15" s="1662"/>
      <c r="I15" s="1747"/>
      <c r="J15" s="3424">
        <v>2</v>
      </c>
      <c r="K15" s="3427"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2" customHeight="1">
      <c r="A16" s="1692" t="s">
        <v>1539</v>
      </c>
      <c r="B16" s="3432" t="s">
        <v>1540</v>
      </c>
      <c r="C16" s="3433"/>
      <c r="D16" s="1701">
        <f>D6*E16</f>
        <v>0</v>
      </c>
      <c r="E16" s="1702"/>
      <c r="F16" s="1690" t="s">
        <v>1541</v>
      </c>
      <c r="G16" s="1674"/>
      <c r="H16" s="1662"/>
      <c r="I16" s="1747"/>
      <c r="J16" s="3424"/>
      <c r="K16" s="3428"/>
      <c r="L16" s="1767" t="s">
        <v>1542</v>
      </c>
      <c r="M16" s="1768"/>
      <c r="N16" s="1768"/>
      <c r="O16" s="1769"/>
      <c r="P16" s="1700">
        <v>365</v>
      </c>
      <c r="Q16" s="1667"/>
      <c r="R16" s="1803">
        <f>ROUND(M16*N16*O16*P16/10000,0)</f>
        <v>0</v>
      </c>
      <c r="S16" s="1716"/>
      <c r="T16" s="1716"/>
      <c r="U16" s="1716"/>
      <c r="V16" s="1747"/>
    </row>
    <row r="17" spans="1:22" s="1644" customFormat="1" ht="13.2" customHeight="1">
      <c r="A17" s="1703">
        <v>4</v>
      </c>
      <c r="B17" s="3434" t="s">
        <v>1543</v>
      </c>
      <c r="C17" s="3435"/>
      <c r="D17" s="1704">
        <f>ROUND(D6*E17,0)</f>
        <v>0</v>
      </c>
      <c r="E17" s="1705"/>
      <c r="F17" s="1706" t="s">
        <v>1544</v>
      </c>
      <c r="G17" s="1674"/>
      <c r="H17" s="1662"/>
      <c r="I17" s="1747"/>
      <c r="J17" s="3424"/>
      <c r="K17" s="3428"/>
      <c r="L17" s="1767" t="s">
        <v>1545</v>
      </c>
      <c r="M17" s="1768"/>
      <c r="N17" s="1768"/>
      <c r="O17" s="1769"/>
      <c r="P17" s="1700">
        <v>365</v>
      </c>
      <c r="Q17" s="1667"/>
      <c r="R17" s="1803">
        <f>ROUND(M17*N17*O17*P17/10000,0)</f>
        <v>0</v>
      </c>
      <c r="S17" s="1716"/>
      <c r="T17" s="1716"/>
      <c r="U17" s="1716"/>
      <c r="V17" s="1747"/>
    </row>
    <row r="18" spans="1:22" s="1644" customFormat="1" ht="13.2" customHeight="1">
      <c r="A18" s="1675" t="s">
        <v>1546</v>
      </c>
      <c r="B18" s="1676"/>
      <c r="C18" s="1676"/>
      <c r="D18" s="1707">
        <f>ROUND(D6*E18,0)</f>
        <v>0</v>
      </c>
      <c r="E18" s="1708"/>
      <c r="F18" s="1709" t="s">
        <v>1547</v>
      </c>
      <c r="G18" s="1674"/>
      <c r="H18" s="1662"/>
      <c r="I18" s="1747"/>
      <c r="J18" s="3424"/>
      <c r="K18" s="3428"/>
      <c r="L18" s="1767" t="s">
        <v>1548</v>
      </c>
      <c r="M18" s="1768"/>
      <c r="N18" s="1768"/>
      <c r="O18" s="1769"/>
      <c r="P18" s="1700">
        <v>365</v>
      </c>
      <c r="Q18" s="1667"/>
      <c r="R18" s="1803">
        <f>ROUND(M18*N18*O18*P18/10000,0)</f>
        <v>0</v>
      </c>
      <c r="S18" s="1716"/>
      <c r="T18" s="1716"/>
      <c r="U18" s="1716"/>
      <c r="V18" s="1747"/>
    </row>
    <row r="19" spans="1:22" s="1644" customFormat="1" ht="13.2" customHeight="1">
      <c r="A19" s="1710" t="s">
        <v>1549</v>
      </c>
      <c r="B19" s="1672"/>
      <c r="C19" s="1672"/>
      <c r="D19" s="1672"/>
      <c r="E19" s="1672"/>
      <c r="F19" s="1673"/>
      <c r="G19" s="1688"/>
      <c r="H19" s="1662"/>
      <c r="I19" s="1747"/>
      <c r="J19" s="3424"/>
      <c r="K19" s="3429"/>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424">
        <v>3</v>
      </c>
      <c r="K20" s="3427"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2" customHeight="1">
      <c r="A21" s="1675"/>
      <c r="B21" s="1676"/>
      <c r="C21" s="1683" t="s">
        <v>1556</v>
      </c>
      <c r="D21" s="1712" t="s">
        <v>1557</v>
      </c>
      <c r="E21" s="1684" t="s">
        <v>1558</v>
      </c>
      <c r="F21" s="1711"/>
      <c r="G21" s="1688"/>
      <c r="H21" s="1662"/>
      <c r="I21" s="1747"/>
      <c r="J21" s="3424"/>
      <c r="K21" s="3428"/>
      <c r="L21" s="1767" t="s">
        <v>1559</v>
      </c>
      <c r="M21" s="1768"/>
      <c r="N21" s="1768"/>
      <c r="O21" s="1769"/>
      <c r="P21" s="1700">
        <v>365</v>
      </c>
      <c r="Q21" s="1667"/>
      <c r="R21" s="1805">
        <f>ROUND(M21*N21*O21*P21/10000,0)</f>
        <v>0</v>
      </c>
      <c r="S21" s="1716"/>
      <c r="T21" s="1716"/>
      <c r="U21" s="1716"/>
      <c r="V21" s="1747"/>
    </row>
    <row r="22" spans="1:22" s="1644" customFormat="1" ht="13.2" customHeight="1">
      <c r="A22" s="1675"/>
      <c r="B22" s="1676"/>
      <c r="C22" s="1713" t="s">
        <v>1560</v>
      </c>
      <c r="D22" s="1714" t="s">
        <v>1561</v>
      </c>
      <c r="E22" s="1715" t="s">
        <v>1562</v>
      </c>
      <c r="F22" s="1711"/>
      <c r="G22" s="1716"/>
      <c r="H22" s="1662"/>
      <c r="I22" s="1747"/>
      <c r="J22" s="3424"/>
      <c r="K22" s="3428"/>
      <c r="L22" s="1767" t="s">
        <v>1563</v>
      </c>
      <c r="M22" s="1768"/>
      <c r="N22" s="1768"/>
      <c r="O22" s="1769"/>
      <c r="P22" s="1700">
        <v>365</v>
      </c>
      <c r="Q22" s="1667"/>
      <c r="R22" s="1805">
        <f>ROUND(M22*N22*O22*P22/10000,0)</f>
        <v>0</v>
      </c>
      <c r="S22" s="1716"/>
      <c r="T22" s="1716"/>
      <c r="U22" s="1716"/>
      <c r="V22" s="1747"/>
    </row>
    <row r="23" spans="1:22" s="1644" customFormat="1" ht="13.2" customHeight="1">
      <c r="A23" s="1717">
        <v>1</v>
      </c>
      <c r="B23" s="1718" t="s">
        <v>1564</v>
      </c>
      <c r="C23" s="1719">
        <f>D6</f>
        <v>0</v>
      </c>
      <c r="D23" s="1720">
        <f>C23*(1+D24)</f>
        <v>0</v>
      </c>
      <c r="E23" s="1721">
        <f>D23*(1+E24)</f>
        <v>0</v>
      </c>
      <c r="F23" s="1722"/>
      <c r="G23" s="1723"/>
      <c r="H23" s="1662"/>
      <c r="I23" s="1747"/>
      <c r="J23" s="3424"/>
      <c r="K23" s="3428"/>
      <c r="L23" s="1767" t="s">
        <v>1565</v>
      </c>
      <c r="M23" s="1768"/>
      <c r="N23" s="1768"/>
      <c r="O23" s="1769"/>
      <c r="P23" s="1700">
        <v>365</v>
      </c>
      <c r="Q23" s="1667"/>
      <c r="R23" s="1805">
        <f>ROUND(M23*N23*O23*P23/10000,0)</f>
        <v>0</v>
      </c>
      <c r="S23" s="1716"/>
      <c r="T23" s="1716"/>
      <c r="U23" s="1716"/>
      <c r="V23" s="1747"/>
    </row>
    <row r="24" spans="1:22" s="1644" customFormat="1" ht="13.2" customHeight="1">
      <c r="A24" s="1724"/>
      <c r="B24" s="1725" t="s">
        <v>1566</v>
      </c>
      <c r="C24" s="1726"/>
      <c r="D24" s="1727"/>
      <c r="E24" s="1728"/>
      <c r="F24" s="1729"/>
      <c r="G24" s="1723"/>
      <c r="H24" s="1662"/>
      <c r="I24" s="1747"/>
      <c r="J24" s="3424"/>
      <c r="K24" s="3429"/>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2" customHeight="1">
      <c r="A26" s="1717">
        <v>2</v>
      </c>
      <c r="B26" s="1718" t="s">
        <v>1568</v>
      </c>
      <c r="C26" s="1719">
        <f>D7</f>
        <v>0</v>
      </c>
      <c r="D26" s="1720">
        <f>D23*D27</f>
        <v>0</v>
      </c>
      <c r="E26" s="1721">
        <f>E23*E27</f>
        <v>0</v>
      </c>
      <c r="F26" s="1722"/>
      <c r="G26" s="1723"/>
      <c r="H26" s="1662"/>
      <c r="I26" s="1747"/>
      <c r="J26" s="3425">
        <v>5</v>
      </c>
      <c r="K26" s="1778" t="s">
        <v>1569</v>
      </c>
      <c r="L26" s="1779"/>
      <c r="M26" s="1780"/>
      <c r="N26" s="1781" t="s">
        <v>504</v>
      </c>
      <c r="O26" s="1781" t="s">
        <v>1570</v>
      </c>
      <c r="P26" s="1782" t="s">
        <v>1571</v>
      </c>
      <c r="Q26" s="1782" t="s">
        <v>1572</v>
      </c>
      <c r="R26" s="1798" t="s">
        <v>1501</v>
      </c>
      <c r="S26" s="1688"/>
      <c r="T26" s="1688"/>
      <c r="U26" s="1688"/>
      <c r="V26" s="1783"/>
    </row>
    <row r="27" spans="1:22" s="1644" customFormat="1" ht="13.2" customHeight="1">
      <c r="A27" s="1724"/>
      <c r="B27" s="1725" t="s">
        <v>1573</v>
      </c>
      <c r="C27" s="1730" t="e">
        <f>E7</f>
        <v>#DIV/0!</v>
      </c>
      <c r="D27" s="1727"/>
      <c r="E27" s="1728"/>
      <c r="F27" s="1729"/>
      <c r="G27" s="1723"/>
      <c r="H27" s="1731"/>
      <c r="I27" s="1783"/>
      <c r="J27" s="3426"/>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2"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2" customHeight="1">
      <c r="A32" s="1717">
        <v>4</v>
      </c>
      <c r="B32" s="1718" t="s">
        <v>1581</v>
      </c>
      <c r="C32" s="1719">
        <f>C23-C26-C29</f>
        <v>0</v>
      </c>
      <c r="D32" s="1720">
        <f>D23-D26-D29</f>
        <v>0</v>
      </c>
      <c r="E32" s="1721">
        <f>E23-E26-E29</f>
        <v>0</v>
      </c>
      <c r="F32" s="1722"/>
      <c r="G32" s="1716"/>
      <c r="H32" s="1662"/>
      <c r="I32" s="1747"/>
      <c r="J32" s="3436" t="s">
        <v>1479</v>
      </c>
      <c r="K32" s="3437"/>
      <c r="L32" s="1758" t="s">
        <v>1480</v>
      </c>
      <c r="M32" s="1758" t="s">
        <v>1481</v>
      </c>
      <c r="N32" s="1758" t="s">
        <v>1482</v>
      </c>
      <c r="O32" s="1758" t="s">
        <v>1483</v>
      </c>
      <c r="P32" s="1758" t="s">
        <v>1484</v>
      </c>
      <c r="Q32" s="1795" t="s">
        <v>1485</v>
      </c>
      <c r="R32" s="1810" t="s">
        <v>1486</v>
      </c>
      <c r="S32" s="1716"/>
      <c r="T32" s="1716"/>
      <c r="U32" s="1716"/>
      <c r="V32" s="1783"/>
    </row>
    <row r="33" spans="1:23" s="1644" customFormat="1" ht="13.2" customHeight="1">
      <c r="A33" s="1717"/>
      <c r="B33" s="1718"/>
      <c r="C33" s="1719"/>
      <c r="D33" s="1734"/>
      <c r="E33" s="1694"/>
      <c r="F33" s="1722"/>
      <c r="G33" s="1716"/>
      <c r="H33" s="1731"/>
      <c r="I33" s="1783"/>
      <c r="J33" s="3430" t="s">
        <v>1487</v>
      </c>
      <c r="K33" s="3431"/>
      <c r="L33" s="1759"/>
      <c r="M33" s="1759"/>
      <c r="N33" s="1759"/>
      <c r="O33" s="1759"/>
      <c r="P33" s="1759"/>
      <c r="Q33" s="1797"/>
      <c r="R33" s="1811">
        <f>SUM(L33:Q33)</f>
        <v>0</v>
      </c>
      <c r="S33" s="1716"/>
      <c r="T33" s="1716"/>
      <c r="U33" s="1716"/>
      <c r="V33" s="1747"/>
    </row>
    <row r="34" spans="1:23" s="1644" customFormat="1" ht="13.2" customHeight="1">
      <c r="A34" s="1717">
        <v>5</v>
      </c>
      <c r="B34" s="1718" t="s">
        <v>1582</v>
      </c>
      <c r="C34" s="1735"/>
      <c r="D34" s="1736"/>
      <c r="E34" s="1737"/>
      <c r="F34" s="1722"/>
      <c r="G34" s="1716"/>
      <c r="H34" s="1731"/>
      <c r="I34" s="1783"/>
      <c r="J34" s="3430" t="s">
        <v>1489</v>
      </c>
      <c r="K34" s="3431"/>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2" customHeight="1">
      <c r="A36" s="1717">
        <v>7</v>
      </c>
      <c r="B36" s="1742" t="s">
        <v>1584</v>
      </c>
      <c r="C36" s="1743"/>
      <c r="D36" s="1744"/>
      <c r="E36" s="1745"/>
      <c r="F36" s="1746">
        <f>C36+D36+E36</f>
        <v>0</v>
      </c>
      <c r="G36" s="1716"/>
      <c r="H36" s="1662"/>
      <c r="I36" s="1747"/>
      <c r="J36" s="3424">
        <v>1</v>
      </c>
      <c r="K36" s="3427" t="s">
        <v>1585</v>
      </c>
      <c r="L36" s="1765"/>
      <c r="M36" s="1766"/>
      <c r="N36" s="1766"/>
      <c r="O36" s="1766"/>
      <c r="P36" s="1766"/>
      <c r="Q36" s="1766"/>
      <c r="R36" s="1798" t="s">
        <v>1501</v>
      </c>
      <c r="S36" s="1716"/>
      <c r="T36" s="1716" t="s">
        <v>1502</v>
      </c>
      <c r="U36" s="1716"/>
      <c r="V36" s="1747"/>
    </row>
    <row r="37" spans="1:23" s="1644" customFormat="1" ht="13.2" customHeight="1">
      <c r="A37" s="1717"/>
      <c r="B37" s="1718"/>
      <c r="C37" s="1718"/>
      <c r="D37" s="1718"/>
      <c r="E37" s="1718"/>
      <c r="F37" s="1722"/>
      <c r="G37" s="1716"/>
      <c r="H37" s="1662"/>
      <c r="I37" s="1747"/>
      <c r="J37" s="3424"/>
      <c r="K37" s="3428"/>
      <c r="L37" s="1767"/>
      <c r="M37" s="1768"/>
      <c r="N37" s="1667"/>
      <c r="O37" s="1769"/>
      <c r="P37" s="1769"/>
      <c r="Q37" s="1700"/>
      <c r="R37" s="1801"/>
      <c r="S37" s="1716"/>
      <c r="T37" s="1716" t="s">
        <v>1505</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424"/>
      <c r="K38" s="3428"/>
      <c r="L38" s="1767"/>
      <c r="M38" s="1768"/>
      <c r="N38" s="1667"/>
      <c r="O38" s="1769"/>
      <c r="P38" s="1769"/>
      <c r="Q38" s="1700"/>
      <c r="R38" s="1801"/>
      <c r="S38" s="1716"/>
      <c r="T38" s="1716" t="s">
        <v>1512</v>
      </c>
      <c r="U38" s="1716"/>
      <c r="V38" s="1747"/>
    </row>
    <row r="39" spans="1:23" s="1644" customFormat="1" ht="13.2" customHeight="1">
      <c r="A39" s="1717">
        <v>9</v>
      </c>
      <c r="B39" s="1718" t="s">
        <v>1586</v>
      </c>
      <c r="C39" s="1695" t="e">
        <f>C38</f>
        <v>#DIV/0!</v>
      </c>
      <c r="D39" s="1718">
        <f>D38/(1+D34)^C36</f>
        <v>0</v>
      </c>
      <c r="E39" s="1718">
        <f>E38/(1+E34)^(C36+D36)</f>
        <v>0</v>
      </c>
      <c r="F39" s="1722"/>
      <c r="G39" s="1747"/>
      <c r="H39" s="1662"/>
      <c r="I39" s="1747"/>
      <c r="J39" s="3424"/>
      <c r="K39" s="3428"/>
      <c r="L39" s="1767"/>
      <c r="M39" s="1768"/>
      <c r="N39" s="1667"/>
      <c r="O39" s="1769"/>
      <c r="P39" s="1769"/>
      <c r="Q39" s="1700"/>
      <c r="R39" s="1801"/>
      <c r="S39" s="1716"/>
      <c r="T39" s="1716"/>
      <c r="U39" s="1716"/>
      <c r="V39" s="1747"/>
    </row>
    <row r="40" spans="1:23" s="1644" customFormat="1" ht="13.2" customHeight="1">
      <c r="A40" s="1748">
        <v>10</v>
      </c>
      <c r="B40" s="1718" t="s">
        <v>1587</v>
      </c>
      <c r="C40" s="1749" t="e">
        <f>C39+D39+E39</f>
        <v>#DIV/0!</v>
      </c>
      <c r="D40" s="1750"/>
      <c r="E40" s="1750"/>
      <c r="F40" s="1751"/>
      <c r="G40" s="1716"/>
      <c r="H40" s="1662"/>
      <c r="I40" s="1747"/>
      <c r="J40" s="3424"/>
      <c r="K40" s="3429"/>
      <c r="L40" s="1770" t="s">
        <v>1530</v>
      </c>
      <c r="M40" s="1771"/>
      <c r="N40" s="1771"/>
      <c r="O40" s="1772"/>
      <c r="P40" s="1772"/>
      <c r="Q40" s="1802"/>
      <c r="R40" s="1796">
        <f>SUM(R37:R39)</f>
        <v>0</v>
      </c>
      <c r="S40" s="1716"/>
      <c r="T40" s="1716"/>
      <c r="U40" s="1716"/>
      <c r="V40" s="1747"/>
    </row>
    <row r="41" spans="1:23" s="1644" customFormat="1" ht="13.2"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2" customHeight="1">
      <c r="G42" s="1662"/>
      <c r="H42" s="1662"/>
      <c r="I42" s="1747"/>
      <c r="J42" s="3425">
        <v>3</v>
      </c>
      <c r="K42" s="1778" t="s">
        <v>1569</v>
      </c>
      <c r="L42" s="1779"/>
      <c r="M42" s="1780"/>
      <c r="N42" s="1781" t="s">
        <v>504</v>
      </c>
      <c r="O42" s="1781" t="s">
        <v>1570</v>
      </c>
      <c r="P42" s="1782" t="s">
        <v>1571</v>
      </c>
      <c r="Q42" s="1782" t="s">
        <v>1572</v>
      </c>
      <c r="R42" s="1798" t="s">
        <v>1501</v>
      </c>
      <c r="S42" s="1688"/>
      <c r="T42" s="1688"/>
      <c r="U42" s="1716"/>
      <c r="V42" s="1747"/>
    </row>
    <row r="43" spans="1:23" ht="13.2" customHeight="1">
      <c r="A43" s="1644"/>
      <c r="B43" s="1644"/>
      <c r="C43" s="1644"/>
      <c r="D43" s="1644"/>
      <c r="E43" s="1644"/>
      <c r="F43" s="1644"/>
      <c r="I43" s="1647"/>
      <c r="J43" s="3426"/>
      <c r="K43" s="1784"/>
      <c r="L43" s="1785"/>
      <c r="M43" s="1786"/>
      <c r="N43" s="1768"/>
      <c r="O43" s="1768"/>
      <c r="P43" s="1768"/>
      <c r="Q43" s="1806"/>
      <c r="R43" s="1804">
        <f>ROUND(O43*N43*P43*(1-Q43)/10000,0)</f>
        <v>0</v>
      </c>
      <c r="S43" s="1716"/>
      <c r="T43" s="1716"/>
      <c r="V43" s="1649"/>
      <c r="W43" s="1814"/>
    </row>
    <row r="44" spans="1:23" ht="13.2"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1589</v>
      </c>
      <c r="B1" s="685"/>
      <c r="C1" s="685"/>
      <c r="D1" s="685"/>
      <c r="E1" s="1626"/>
      <c r="F1" s="1627"/>
      <c r="G1" s="1507"/>
      <c r="H1" s="1507"/>
      <c r="I1" s="1507"/>
      <c r="J1" s="1507"/>
      <c r="K1" s="1507"/>
      <c r="L1" s="1507"/>
      <c r="M1" s="1507"/>
      <c r="N1" s="1507"/>
      <c r="O1" s="1507"/>
      <c r="P1" s="1507"/>
      <c r="Q1" s="1507"/>
      <c r="R1" s="1507"/>
      <c r="S1" s="1507"/>
    </row>
    <row r="2" spans="1:22" ht="15.6">
      <c r="A2" s="1628" t="s">
        <v>1029</v>
      </c>
      <c r="B2" s="713">
        <f ca="1">SUMIF(B6:B13,"&lt;&gt;#ref!",B6:B13)</f>
        <v>111.5305</v>
      </c>
      <c r="C2" s="1629" t="s">
        <v>1590</v>
      </c>
      <c r="D2" s="1630" t="s">
        <v>1591</v>
      </c>
      <c r="E2" s="1631">
        <f>SUM(E6:E13)</f>
        <v>115</v>
      </c>
      <c r="F2" s="1627"/>
      <c r="G2" s="1507"/>
      <c r="H2" s="1507"/>
      <c r="I2" s="1507"/>
      <c r="J2" s="1507"/>
      <c r="K2" s="1507"/>
      <c r="L2" s="1507"/>
      <c r="M2" s="1507"/>
      <c r="N2" s="1507"/>
      <c r="O2" s="1507"/>
      <c r="P2" s="1507"/>
      <c r="Q2" s="1507"/>
      <c r="R2" s="1507"/>
      <c r="S2" s="1507"/>
    </row>
    <row r="3" spans="1:22" ht="15.6">
      <c r="A3" s="1628" t="s">
        <v>1031</v>
      </c>
      <c r="B3" s="1632">
        <f ca="1">ROUND(B2*10000/E2,0)</f>
        <v>9698</v>
      </c>
      <c r="C3" s="1629" t="s">
        <v>1592</v>
      </c>
      <c r="D3" s="1627"/>
      <c r="E3" s="1633"/>
      <c r="F3" s="1627"/>
      <c r="G3" s="1507"/>
      <c r="H3" s="1507"/>
      <c r="I3" s="1507"/>
      <c r="J3" s="1507"/>
      <c r="K3" s="1507"/>
      <c r="L3" s="1507"/>
      <c r="M3" s="1507"/>
      <c r="N3" s="1507"/>
      <c r="O3" s="1507"/>
      <c r="P3" s="1507"/>
      <c r="Q3" s="1507"/>
      <c r="R3" s="1507"/>
      <c r="S3" s="1507"/>
    </row>
    <row r="4" spans="1:22" ht="15.6">
      <c r="A4" s="1634"/>
      <c r="B4" s="1627"/>
      <c r="C4" s="1627"/>
      <c r="D4" s="1627"/>
      <c r="E4" s="1633"/>
      <c r="F4" s="1627"/>
      <c r="G4" s="1507"/>
      <c r="H4" s="1507"/>
      <c r="I4" s="1507"/>
      <c r="J4" s="1507"/>
      <c r="K4" s="1507"/>
      <c r="L4" s="1507"/>
      <c r="M4" s="1507"/>
      <c r="N4" s="1507"/>
      <c r="O4" s="1507"/>
      <c r="P4" s="1507"/>
      <c r="Q4" s="1507"/>
      <c r="R4" s="1507"/>
      <c r="S4" s="1507"/>
    </row>
    <row r="5" spans="1:22" ht="14.4">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ht="14.4">
      <c r="A6" s="1638" t="str">
        <f>'数据-取费表'!AN6</f>
        <v>收益法 (元)</v>
      </c>
      <c r="B6" s="884">
        <f ca="1">IF(F6="是",'数据-取费表'!AO6,0)</f>
        <v>111.5305</v>
      </c>
      <c r="C6" s="1629" t="s">
        <v>1590</v>
      </c>
      <c r="D6" s="1627"/>
      <c r="E6" s="1639">
        <f>IF(OR(A6=0,F6="否"),0,'数据-取费表'!K6+'数据-取费表'!S6)</f>
        <v>115</v>
      </c>
      <c r="F6" s="1640" t="s">
        <v>1597</v>
      </c>
      <c r="G6" s="1507"/>
      <c r="H6" s="1507"/>
      <c r="I6" s="1507"/>
      <c r="J6" s="1507"/>
      <c r="K6" s="1507"/>
      <c r="L6" s="1507"/>
      <c r="M6" s="1507"/>
      <c r="N6" s="1507"/>
      <c r="O6" s="1507"/>
      <c r="P6" s="1507"/>
      <c r="Q6" s="1507"/>
      <c r="R6" s="1507"/>
      <c r="S6" s="1507"/>
    </row>
    <row r="7" spans="1:22" ht="14.4">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ht="14.4">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ht="14.4">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ht="14.4">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ht="14.4">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ht="14.4">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ht="14.4">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115</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4.4">
      <c r="A4" s="1027" t="s">
        <v>1378</v>
      </c>
      <c r="B4" s="1028"/>
      <c r="C4" s="3405" t="s">
        <v>1379</v>
      </c>
      <c r="D4" s="3406"/>
      <c r="E4" s="3407" t="s">
        <v>1380</v>
      </c>
      <c r="F4" s="3408"/>
      <c r="G4" s="3405" t="s">
        <v>1381</v>
      </c>
      <c r="H4" s="3406"/>
      <c r="I4" s="3405" t="s">
        <v>1382</v>
      </c>
      <c r="J4" s="3406"/>
      <c r="K4" s="156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411" t="s">
        <v>1381</v>
      </c>
      <c r="AC4" s="3411" t="s">
        <v>1382</v>
      </c>
    </row>
    <row r="5" spans="1:29">
      <c r="A5" s="1029"/>
      <c r="B5" s="1030"/>
      <c r="C5" s="3421" t="s">
        <v>1385</v>
      </c>
      <c r="D5" s="3410"/>
      <c r="E5" s="3422" t="s">
        <v>1386</v>
      </c>
      <c r="F5" s="3423"/>
      <c r="G5" s="3421" t="s">
        <v>1387</v>
      </c>
      <c r="H5" s="3410"/>
      <c r="I5" s="3421" t="s">
        <v>1388</v>
      </c>
      <c r="J5" s="3410"/>
      <c r="K5" s="1562"/>
      <c r="L5" s="1172"/>
      <c r="M5" s="1122"/>
      <c r="N5" s="1122"/>
      <c r="O5" s="1122"/>
      <c r="P5" s="3414"/>
      <c r="Q5" s="3372"/>
      <c r="R5" s="3377"/>
      <c r="S5" s="3378"/>
      <c r="T5" s="3377"/>
      <c r="U5" s="3378"/>
      <c r="V5" s="3382"/>
      <c r="W5" s="3382"/>
      <c r="X5" s="1214"/>
      <c r="Y5" s="3377"/>
      <c r="Z5" s="3378"/>
      <c r="AA5" s="3364"/>
      <c r="AB5" s="3364"/>
      <c r="AC5" s="3364"/>
    </row>
    <row r="6" spans="1:29" ht="14.4">
      <c r="A6" s="1031"/>
      <c r="B6" s="1032"/>
      <c r="C6" s="3400" t="s">
        <v>1389</v>
      </c>
      <c r="D6" s="3401"/>
      <c r="E6" s="3402" t="s">
        <v>1389</v>
      </c>
      <c r="F6" s="3403"/>
      <c r="G6" s="3400" t="s">
        <v>1389</v>
      </c>
      <c r="H6" s="3401"/>
      <c r="I6" s="3400" t="s">
        <v>1389</v>
      </c>
      <c r="J6" s="3401"/>
      <c r="K6" s="1562" t="s">
        <v>1390</v>
      </c>
      <c r="L6" s="1172"/>
      <c r="M6" s="1122"/>
      <c r="N6" s="1122"/>
      <c r="O6" s="1122"/>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4.4">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19" si="3">D8/F8</f>
        <v>1</v>
      </c>
      <c r="AB8" s="1227">
        <f t="shared" ref="AB8:AB19" si="4">D8/H8</f>
        <v>1</v>
      </c>
      <c r="AC8" s="1227">
        <f t="shared" ref="AC8:AC19" si="5">D8/J8</f>
        <v>1</v>
      </c>
    </row>
    <row r="9" spans="1:29" s="1008" customFormat="1" ht="14.4">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3"/>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2"/>
      <c r="Q26" s="625" t="str">
        <f t="shared" si="11"/>
        <v>朝向</v>
      </c>
      <c r="R26" s="1219" t="s">
        <v>1393</v>
      </c>
      <c r="S26" s="1220">
        <f t="shared" si="12"/>
        <v>100</v>
      </c>
      <c r="T26" s="1219" t="s">
        <v>1393</v>
      </c>
      <c r="U26" s="1220">
        <f t="shared" si="13"/>
        <v>100</v>
      </c>
      <c r="V26" s="1219" t="s">
        <v>1393</v>
      </c>
      <c r="W26" s="1220">
        <f t="shared" si="14"/>
        <v>100</v>
      </c>
      <c r="X26" s="1214"/>
      <c r="Y26" s="339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2"/>
      <c r="Q27" s="794">
        <f t="shared" si="11"/>
        <v>111</v>
      </c>
      <c r="R27" s="1215" t="s">
        <v>1393</v>
      </c>
      <c r="S27" s="1216">
        <f t="shared" si="12"/>
        <v>100</v>
      </c>
      <c r="T27" s="1215" t="s">
        <v>1393</v>
      </c>
      <c r="U27" s="1216">
        <f t="shared" si="13"/>
        <v>100</v>
      </c>
      <c r="V27" s="1215" t="s">
        <v>1393</v>
      </c>
      <c r="W27" s="1216">
        <f t="shared" si="14"/>
        <v>100</v>
      </c>
      <c r="X27" s="1217"/>
      <c r="Y27" s="339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2"/>
      <c r="Q28" s="625">
        <f t="shared" si="11"/>
        <v>111</v>
      </c>
      <c r="R28" s="1219" t="s">
        <v>1393</v>
      </c>
      <c r="S28" s="1220">
        <f t="shared" si="12"/>
        <v>100</v>
      </c>
      <c r="T28" s="1219" t="s">
        <v>1393</v>
      </c>
      <c r="U28" s="1220">
        <f t="shared" si="13"/>
        <v>100</v>
      </c>
      <c r="V28" s="1219" t="s">
        <v>1393</v>
      </c>
      <c r="W28" s="1220">
        <f t="shared" si="14"/>
        <v>100</v>
      </c>
      <c r="X28" s="1214"/>
      <c r="Y28" s="339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3" t="s">
        <v>1421</v>
      </c>
      <c r="Q32" s="625" t="str">
        <f t="shared" si="11"/>
        <v>建筑类型</v>
      </c>
      <c r="R32" s="1219" t="s">
        <v>1393</v>
      </c>
      <c r="S32" s="1220">
        <f t="shared" si="12"/>
        <v>100</v>
      </c>
      <c r="T32" s="1219" t="s">
        <v>1393</v>
      </c>
      <c r="U32" s="1220">
        <f t="shared" si="13"/>
        <v>100</v>
      </c>
      <c r="V32" s="1219" t="s">
        <v>1393</v>
      </c>
      <c r="W32" s="1220">
        <f t="shared" si="14"/>
        <v>100</v>
      </c>
      <c r="X32" s="1214"/>
      <c r="Y32" s="339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4"/>
      <c r="Q33" s="1415" t="str">
        <f t="shared" si="11"/>
        <v>项目建筑规模</v>
      </c>
      <c r="R33" s="1221" t="s">
        <v>1393</v>
      </c>
      <c r="S33" s="1222" t="e">
        <f t="shared" si="12"/>
        <v>#N/A</v>
      </c>
      <c r="T33" s="1221" t="s">
        <v>1393</v>
      </c>
      <c r="U33" s="1222" t="e">
        <f t="shared" si="13"/>
        <v>#N/A</v>
      </c>
      <c r="V33" s="1221" t="s">
        <v>1393</v>
      </c>
      <c r="W33" s="1222" t="e">
        <f t="shared" si="14"/>
        <v>#N/A</v>
      </c>
      <c r="X33" s="1223"/>
      <c r="Y33" s="339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4"/>
      <c r="Q35" s="625" t="str">
        <f t="shared" si="11"/>
        <v>建筑品质</v>
      </c>
      <c r="R35" s="1219" t="s">
        <v>1393</v>
      </c>
      <c r="S35" s="1220">
        <f t="shared" si="12"/>
        <v>100</v>
      </c>
      <c r="T35" s="1219" t="s">
        <v>1393</v>
      </c>
      <c r="U35" s="1220">
        <f t="shared" si="13"/>
        <v>100</v>
      </c>
      <c r="V35" s="1219" t="s">
        <v>1393</v>
      </c>
      <c r="W35" s="1220">
        <f t="shared" si="14"/>
        <v>100</v>
      </c>
      <c r="X35" s="1214"/>
      <c r="Y35" s="339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4"/>
      <c r="Q37" s="794" t="str">
        <f t="shared" si="11"/>
        <v>成新度</v>
      </c>
      <c r="R37" s="1215" t="s">
        <v>1393</v>
      </c>
      <c r="S37" s="1216" t="e">
        <f t="shared" si="12"/>
        <v>#N/A</v>
      </c>
      <c r="T37" s="1215" t="s">
        <v>1393</v>
      </c>
      <c r="U37" s="1216" t="e">
        <f t="shared" si="13"/>
        <v>#N/A</v>
      </c>
      <c r="V37" s="1215" t="s">
        <v>1393</v>
      </c>
      <c r="W37" s="1216" t="e">
        <f t="shared" si="14"/>
        <v>#N/A</v>
      </c>
      <c r="X37" s="1217"/>
      <c r="Y37" s="339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4" t="s">
        <v>1421</v>
      </c>
      <c r="Q38" s="625" t="str">
        <f t="shared" si="11"/>
        <v>物业管理</v>
      </c>
      <c r="R38" s="1219" t="s">
        <v>1393</v>
      </c>
      <c r="S38" s="1220">
        <f t="shared" si="12"/>
        <v>100</v>
      </c>
      <c r="T38" s="1219" t="s">
        <v>1393</v>
      </c>
      <c r="U38" s="1220">
        <f t="shared" si="13"/>
        <v>100</v>
      </c>
      <c r="V38" s="1219" t="s">
        <v>1393</v>
      </c>
      <c r="W38" s="1220">
        <f t="shared" si="14"/>
        <v>100</v>
      </c>
      <c r="X38" s="1214"/>
      <c r="Y38" s="339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4"/>
      <c r="Q39" s="625" t="str">
        <f t="shared" si="11"/>
        <v>市政基础设施</v>
      </c>
      <c r="R39" s="1219" t="s">
        <v>1393</v>
      </c>
      <c r="S39" s="1220">
        <f t="shared" si="12"/>
        <v>100</v>
      </c>
      <c r="T39" s="1219" t="s">
        <v>1393</v>
      </c>
      <c r="U39" s="1220">
        <f t="shared" si="13"/>
        <v>100</v>
      </c>
      <c r="V39" s="1219" t="s">
        <v>1393</v>
      </c>
      <c r="W39" s="1220">
        <f t="shared" si="14"/>
        <v>100</v>
      </c>
      <c r="X39" s="1214"/>
      <c r="Y39" s="339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4"/>
      <c r="Q40" s="625" t="str">
        <f t="shared" si="11"/>
        <v>房型</v>
      </c>
      <c r="R40" s="1219" t="s">
        <v>1393</v>
      </c>
      <c r="S40" s="1220">
        <f t="shared" si="12"/>
        <v>100</v>
      </c>
      <c r="T40" s="1219" t="s">
        <v>1393</v>
      </c>
      <c r="U40" s="1220">
        <f t="shared" si="13"/>
        <v>100</v>
      </c>
      <c r="V40" s="1219" t="s">
        <v>1393</v>
      </c>
      <c r="W40" s="1220">
        <f t="shared" si="14"/>
        <v>100</v>
      </c>
      <c r="X40" s="1214"/>
      <c r="Y40" s="3398"/>
      <c r="Z40" s="1204" t="str">
        <f t="shared" si="18"/>
        <v>房型</v>
      </c>
      <c r="AA40" s="1204">
        <f t="shared" si="15"/>
        <v>1</v>
      </c>
      <c r="AB40" s="1204">
        <f t="shared" si="16"/>
        <v>1</v>
      </c>
      <c r="AC40" s="1204">
        <f t="shared" si="17"/>
        <v>1</v>
      </c>
    </row>
    <row r="41" spans="1:29" s="1010" customFormat="1" ht="28.8">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4"/>
      <c r="Q41" s="1415" t="str">
        <f t="shared" si="11"/>
        <v>单套/主力户型建筑面积</v>
      </c>
      <c r="R41" s="1221" t="s">
        <v>1393</v>
      </c>
      <c r="S41" s="1222">
        <f t="shared" si="12"/>
        <v>100</v>
      </c>
      <c r="T41" s="1221" t="s">
        <v>1393</v>
      </c>
      <c r="U41" s="1222">
        <f t="shared" si="13"/>
        <v>100</v>
      </c>
      <c r="V41" s="1221" t="s">
        <v>1393</v>
      </c>
      <c r="W41" s="1222">
        <f t="shared" si="14"/>
        <v>100</v>
      </c>
      <c r="X41" s="1223"/>
      <c r="Y41" s="339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8"/>
        <v>内部装修</v>
      </c>
      <c r="AA42" s="1204">
        <f t="shared" si="15"/>
        <v>1</v>
      </c>
      <c r="AB42" s="1204">
        <f t="shared" si="16"/>
        <v>1</v>
      </c>
      <c r="AC42" s="1204">
        <f t="shared" si="17"/>
        <v>1</v>
      </c>
    </row>
    <row r="43" spans="1:29" ht="28.8">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4"/>
      <c r="Q44" s="794">
        <f t="shared" si="11"/>
        <v>111</v>
      </c>
      <c r="R44" s="1215" t="s">
        <v>1393</v>
      </c>
      <c r="S44" s="1216">
        <f t="shared" si="12"/>
        <v>100</v>
      </c>
      <c r="T44" s="1215" t="s">
        <v>1393</v>
      </c>
      <c r="U44" s="1216">
        <f t="shared" si="13"/>
        <v>100</v>
      </c>
      <c r="V44" s="1215" t="s">
        <v>1393</v>
      </c>
      <c r="W44" s="1216">
        <f t="shared" si="14"/>
        <v>100</v>
      </c>
      <c r="X44" s="1217"/>
      <c r="Y44" s="339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8"/>
        <v>111</v>
      </c>
      <c r="AA46" s="1204">
        <f t="shared" si="15"/>
        <v>1</v>
      </c>
      <c r="AB46" s="1204">
        <f t="shared" si="16"/>
        <v>1</v>
      </c>
      <c r="AC46" s="1204">
        <f t="shared" si="17"/>
        <v>1</v>
      </c>
    </row>
    <row r="47" spans="1:29" ht="14.4">
      <c r="A47" s="1105" t="s">
        <v>1437</v>
      </c>
      <c r="B47" s="1398"/>
      <c r="C47" s="1399" t="s">
        <v>124</v>
      </c>
      <c r="D47" s="1108"/>
      <c r="E47" s="1109"/>
      <c r="F47" s="1110"/>
      <c r="G47" s="1111"/>
      <c r="H47" s="1112"/>
      <c r="I47" s="1109"/>
      <c r="J47" s="1112"/>
      <c r="K47" s="1569"/>
      <c r="L47" s="1196"/>
      <c r="M47" s="1122"/>
      <c r="N47" s="1122"/>
      <c r="O47" s="1122"/>
      <c r="P47" s="3384" t="str">
        <f>A47</f>
        <v>成交单价（元/平方米）</v>
      </c>
      <c r="Q47" s="3384"/>
      <c r="R47" s="3382">
        <f>E47</f>
        <v>0</v>
      </c>
      <c r="S47" s="3382"/>
      <c r="T47" s="3382">
        <f>G47</f>
        <v>0</v>
      </c>
      <c r="U47" s="3382"/>
      <c r="V47" s="3382">
        <f>I47</f>
        <v>0</v>
      </c>
      <c r="W47" s="3382"/>
      <c r="X47" s="1162"/>
      <c r="Y47" s="1229"/>
      <c r="Z47" s="1162"/>
      <c r="AA47" s="1162"/>
      <c r="AB47" s="1162"/>
      <c r="AC47" s="1162"/>
    </row>
    <row r="48" spans="1:29" ht="14.4">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4.4">
      <c r="A49" s="1119" t="s">
        <v>1440</v>
      </c>
      <c r="B49" s="1120"/>
      <c r="C49" s="1553" t="e">
        <f>R49</f>
        <v>#DIV/0!</v>
      </c>
      <c r="D49" s="1032"/>
      <c r="E49" s="1032"/>
      <c r="F49" s="1032"/>
      <c r="G49" s="1032"/>
      <c r="H49" s="1032"/>
      <c r="I49" s="1032"/>
      <c r="J49" s="1032"/>
      <c r="K49" s="1571"/>
      <c r="L49" s="1196"/>
      <c r="M49" s="1122"/>
      <c r="N49" s="1122"/>
      <c r="O49" s="112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6">
      <c r="A57" s="1161" t="s">
        <v>1444</v>
      </c>
      <c r="B57" s="1162"/>
      <c r="C57" s="1163"/>
      <c r="D57" s="1163"/>
      <c r="E57" s="1163"/>
      <c r="F57" s="1164"/>
      <c r="G57" s="1164"/>
      <c r="H57" s="1163"/>
      <c r="I57" s="1163"/>
      <c r="J57" s="1163"/>
      <c r="K57" s="1358"/>
      <c r="L57" s="1359"/>
      <c r="M57" s="1212"/>
      <c r="N57" s="1212"/>
      <c r="O57" s="1212"/>
      <c r="P57" s="1573"/>
      <c r="Q57" s="1503"/>
    </row>
    <row r="58" spans="1:29" s="1013" customFormat="1" ht="14.4">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c r="A59" s="1078"/>
      <c r="B59" s="1555"/>
      <c r="C59" s="1408">
        <v>100</v>
      </c>
      <c r="D59" s="1526"/>
      <c r="E59" s="1245"/>
      <c r="F59" s="1245"/>
      <c r="G59" s="1245"/>
      <c r="H59" s="1245"/>
      <c r="I59" s="1245"/>
      <c r="J59" s="1245"/>
      <c r="K59" s="1245"/>
      <c r="L59" s="1245"/>
      <c r="M59" s="1053"/>
      <c r="N59" s="1245"/>
      <c r="O59" s="1053"/>
      <c r="P59" s="1575"/>
    </row>
    <row r="60" spans="1:29" s="1008" customFormat="1" ht="14.4">
      <c r="A60" s="1236" t="s">
        <v>1445</v>
      </c>
      <c r="B60" s="1237"/>
      <c r="C60" s="1238"/>
      <c r="D60" s="1239"/>
      <c r="E60" s="1239"/>
      <c r="F60" s="1239"/>
      <c r="G60" s="1239"/>
      <c r="H60" s="1239"/>
      <c r="I60" s="1239"/>
      <c r="J60" s="1239"/>
      <c r="K60" s="1239"/>
      <c r="L60" s="1239"/>
      <c r="M60" s="1280"/>
      <c r="N60" s="1239"/>
      <c r="O60" s="1280"/>
      <c r="P60" s="1575"/>
      <c r="Q60" s="1503"/>
    </row>
    <row r="61" spans="1:29" s="1008" customFormat="1" ht="14.4">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c r="A62" s="1240"/>
      <c r="B62" s="1241"/>
      <c r="C62" s="1526">
        <v>100</v>
      </c>
      <c r="D62" s="1245"/>
      <c r="E62" s="1245"/>
      <c r="F62" s="1245"/>
      <c r="G62" s="1245"/>
      <c r="H62" s="1245"/>
      <c r="I62" s="1245"/>
      <c r="J62" s="1245"/>
      <c r="K62" s="1245"/>
      <c r="L62" s="1245"/>
      <c r="M62" s="1285"/>
      <c r="N62" s="1506"/>
      <c r="O62" s="1506"/>
      <c r="P62" s="1575"/>
      <c r="Q62" s="1503"/>
    </row>
    <row r="63" spans="1:29" ht="14.4">
      <c r="A63" s="1062" t="s">
        <v>1447</v>
      </c>
      <c r="B63" s="1246" t="s">
        <v>1399</v>
      </c>
      <c r="C63" s="621">
        <f>C9</f>
        <v>0</v>
      </c>
      <c r="D63" s="1193"/>
      <c r="E63" s="1193"/>
      <c r="F63" s="1193"/>
      <c r="G63" s="1193"/>
      <c r="H63" s="1193"/>
      <c r="I63" s="1193"/>
      <c r="J63" s="1193"/>
      <c r="K63" s="1286"/>
      <c r="L63" s="1287"/>
      <c r="M63" s="1288"/>
      <c r="N63" s="1508"/>
      <c r="O63" s="1508"/>
      <c r="P63" s="1577"/>
      <c r="Q63" s="1503"/>
    </row>
    <row r="64" spans="1:29">
      <c r="A64" s="1049"/>
      <c r="B64" s="1247"/>
      <c r="C64" s="1248">
        <v>100</v>
      </c>
      <c r="D64" s="1248"/>
      <c r="E64" s="1248"/>
      <c r="F64" s="1248"/>
      <c r="G64" s="1248"/>
      <c r="H64" s="1248"/>
      <c r="I64" s="1248"/>
      <c r="J64" s="1248"/>
      <c r="K64" s="1248"/>
      <c r="L64" s="1248"/>
      <c r="M64" s="1290"/>
      <c r="N64" s="1510"/>
      <c r="O64" s="1510"/>
      <c r="P64" s="1577"/>
      <c r="Q64" s="1503"/>
    </row>
    <row r="65" spans="1:17" ht="28.8">
      <c r="A65" s="1049"/>
      <c r="B65" s="1249" t="s">
        <v>1402</v>
      </c>
      <c r="C65" s="1272"/>
      <c r="D65" s="1272"/>
      <c r="E65" s="1272"/>
      <c r="F65" s="1272"/>
      <c r="G65" s="1272"/>
      <c r="H65" s="1272"/>
      <c r="I65" s="1272"/>
      <c r="J65" s="1272"/>
      <c r="K65" s="1272"/>
      <c r="L65" s="1272"/>
      <c r="M65" s="1272"/>
      <c r="N65" s="1510"/>
      <c r="O65" s="1510"/>
      <c r="P65" s="1577"/>
      <c r="Q65" s="1503"/>
    </row>
    <row r="66" spans="1:17">
      <c r="A66" s="1049"/>
      <c r="B66" s="1251"/>
      <c r="C66" s="1248"/>
      <c r="D66" s="1248"/>
      <c r="E66" s="1248"/>
      <c r="F66" s="1248"/>
      <c r="G66" s="1248"/>
      <c r="H66" s="1248"/>
      <c r="I66" s="1248"/>
      <c r="J66" s="1248"/>
      <c r="K66" s="1248"/>
      <c r="L66" s="1248"/>
      <c r="M66" s="1290"/>
      <c r="N66" s="1510"/>
      <c r="O66" s="1510"/>
      <c r="P66" s="1577"/>
      <c r="Q66" s="1503"/>
    </row>
    <row r="67" spans="1:17" ht="14.4">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c r="A68" s="1049"/>
      <c r="B68" s="1255"/>
      <c r="C68" s="1055"/>
      <c r="D68" s="1055"/>
      <c r="E68" s="1055"/>
      <c r="F68" s="1055"/>
      <c r="G68" s="1055"/>
      <c r="H68" s="1055"/>
      <c r="I68" s="1055"/>
      <c r="J68" s="1055"/>
      <c r="K68" s="1296"/>
      <c r="L68" s="1297"/>
      <c r="M68" s="1298"/>
      <c r="N68" s="1508"/>
      <c r="O68" s="1508"/>
      <c r="P68" s="1577"/>
      <c r="Q68" s="1503"/>
    </row>
    <row r="69" spans="1:17">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c r="A70" s="1256"/>
      <c r="B70" s="1249">
        <f>B12</f>
        <v>111</v>
      </c>
      <c r="C70" s="1257"/>
      <c r="D70" s="1257"/>
      <c r="E70" s="1257"/>
      <c r="F70" s="1257"/>
      <c r="G70" s="1257"/>
      <c r="H70" s="1258"/>
      <c r="I70" s="1258"/>
      <c r="J70" s="1258"/>
      <c r="K70" s="1258"/>
      <c r="L70" s="1299"/>
      <c r="M70" s="1300"/>
      <c r="N70" s="1511"/>
      <c r="O70" s="1511"/>
      <c r="P70" s="1580"/>
      <c r="Q70" s="1513"/>
    </row>
    <row r="71" spans="1:17" s="1010" customFormat="1">
      <c r="A71" s="1256"/>
      <c r="B71" s="1251"/>
      <c r="C71" s="1259"/>
      <c r="D71" s="1248"/>
      <c r="E71" s="1248"/>
      <c r="F71" s="1248"/>
      <c r="G71" s="1248"/>
      <c r="H71" s="1248"/>
      <c r="I71" s="1248"/>
      <c r="J71" s="1248"/>
      <c r="K71" s="1248"/>
      <c r="L71" s="1248"/>
      <c r="M71" s="1290"/>
      <c r="N71" s="1510"/>
      <c r="O71" s="1510"/>
      <c r="P71" s="1580"/>
      <c r="Q71" s="1513"/>
    </row>
    <row r="72" spans="1:17" s="1010" customFormat="1">
      <c r="A72" s="1256"/>
      <c r="B72" s="1249">
        <f>B13</f>
        <v>111</v>
      </c>
      <c r="C72" s="1257"/>
      <c r="D72" s="1257"/>
      <c r="E72" s="1257"/>
      <c r="F72" s="1257"/>
      <c r="G72" s="1257"/>
      <c r="H72" s="1258"/>
      <c r="I72" s="1258"/>
      <c r="J72" s="1258"/>
      <c r="K72" s="1258"/>
      <c r="L72" s="1299"/>
      <c r="M72" s="1300"/>
      <c r="N72" s="1511"/>
      <c r="O72" s="1511"/>
      <c r="P72" s="1581"/>
      <c r="Q72" s="1516"/>
    </row>
    <row r="73" spans="1:17" s="1010" customFormat="1">
      <c r="A73" s="1256"/>
      <c r="B73" s="1251"/>
      <c r="C73" s="1259"/>
      <c r="D73" s="1259"/>
      <c r="E73" s="1259"/>
      <c r="F73" s="1259"/>
      <c r="G73" s="1259"/>
      <c r="H73" s="1260"/>
      <c r="I73" s="1260"/>
      <c r="J73" s="1260"/>
      <c r="K73" s="1260"/>
      <c r="L73" s="1260"/>
      <c r="M73" s="1302"/>
      <c r="N73" s="1511"/>
      <c r="O73" s="1511"/>
      <c r="P73" s="1580"/>
      <c r="Q73" s="1513"/>
    </row>
    <row r="74" spans="1:17" s="1010" customFormat="1">
      <c r="A74" s="1256"/>
      <c r="B74" s="1253">
        <f>B14</f>
        <v>111</v>
      </c>
      <c r="C74" s="1257"/>
      <c r="D74" s="1257"/>
      <c r="E74" s="1257"/>
      <c r="F74" s="1257"/>
      <c r="G74" s="1243"/>
      <c r="H74" s="1261"/>
      <c r="I74" s="1261"/>
      <c r="J74" s="1261"/>
      <c r="K74" s="1261"/>
      <c r="L74" s="1303"/>
      <c r="M74" s="1304"/>
      <c r="N74" s="1511"/>
      <c r="O74" s="1511"/>
      <c r="P74" s="1582"/>
      <c r="Q74" s="1513"/>
    </row>
    <row r="75" spans="1:17" s="1010" customFormat="1">
      <c r="A75" s="1262"/>
      <c r="B75" s="1263"/>
      <c r="C75" s="1264"/>
      <c r="D75" s="1264"/>
      <c r="E75" s="1264"/>
      <c r="F75" s="1264"/>
      <c r="G75" s="1264"/>
      <c r="H75" s="1265"/>
      <c r="I75" s="1265"/>
      <c r="J75" s="1265"/>
      <c r="K75" s="1265"/>
      <c r="L75" s="1265"/>
      <c r="M75" s="1306"/>
      <c r="N75" s="1511"/>
      <c r="O75" s="1511"/>
      <c r="P75" s="1580"/>
      <c r="Q75" s="1513"/>
    </row>
    <row r="76" spans="1:17" ht="14.4">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4.4">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4.4">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4.4">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4.4">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4.4">
      <c r="A86" s="1052"/>
      <c r="B86" s="1249" t="s">
        <v>1601</v>
      </c>
      <c r="C86" s="1257"/>
      <c r="D86" s="1257"/>
      <c r="E86" s="1257"/>
      <c r="F86" s="1257"/>
      <c r="G86" s="1257"/>
      <c r="H86" s="1257"/>
      <c r="I86" s="1257"/>
      <c r="J86" s="1257"/>
      <c r="K86" s="1257"/>
      <c r="L86" s="1420"/>
      <c r="M86" s="1421"/>
      <c r="N86" s="1506"/>
      <c r="O86" s="1506"/>
      <c r="P86" s="1577"/>
      <c r="Q86" s="1503"/>
    </row>
    <row r="87" spans="1:17" s="1008" customFormat="1">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4.4">
      <c r="A88" s="1052"/>
      <c r="B88" s="1249" t="s">
        <v>1417</v>
      </c>
      <c r="C88" s="1257"/>
      <c r="D88" s="1257"/>
      <c r="E88" s="1257"/>
      <c r="F88" s="1538"/>
      <c r="G88" s="1257"/>
      <c r="H88" s="1257"/>
      <c r="I88" s="1257"/>
      <c r="J88" s="1257"/>
      <c r="K88" s="1257"/>
      <c r="L88" s="1257"/>
      <c r="M88" s="1421"/>
      <c r="N88" s="1506"/>
      <c r="O88" s="1506"/>
      <c r="P88" s="1577"/>
      <c r="Q88" s="1503"/>
    </row>
    <row r="89" spans="1:17" s="1008" customFormat="1">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c r="A90" s="1256"/>
      <c r="B90" s="1249">
        <f>B27</f>
        <v>111</v>
      </c>
      <c r="C90" s="1257"/>
      <c r="D90" s="1257"/>
      <c r="E90" s="1257"/>
      <c r="F90" s="1257"/>
      <c r="G90" s="1257"/>
      <c r="H90" s="1258"/>
      <c r="I90" s="1258"/>
      <c r="J90" s="1258"/>
      <c r="K90" s="1258"/>
      <c r="L90" s="1299"/>
      <c r="M90" s="1300"/>
      <c r="N90" s="1511"/>
      <c r="O90" s="1511"/>
      <c r="P90" s="1580"/>
      <c r="Q90" s="1513"/>
    </row>
    <row r="91" spans="1:17" s="1010" customFormat="1">
      <c r="A91" s="1256"/>
      <c r="B91" s="1251"/>
      <c r="C91" s="1259"/>
      <c r="D91" s="1259"/>
      <c r="E91" s="1259"/>
      <c r="F91" s="1259"/>
      <c r="G91" s="1259"/>
      <c r="H91" s="1260"/>
      <c r="I91" s="1260"/>
      <c r="J91" s="1260"/>
      <c r="K91" s="1260"/>
      <c r="L91" s="1260"/>
      <c r="M91" s="1302"/>
      <c r="N91" s="1511"/>
      <c r="O91" s="1511"/>
      <c r="P91" s="1580"/>
      <c r="Q91" s="1513"/>
    </row>
    <row r="92" spans="1:17">
      <c r="A92" s="1049"/>
      <c r="B92" s="1249">
        <f>B28</f>
        <v>111</v>
      </c>
      <c r="C92" s="1257"/>
      <c r="D92" s="1257"/>
      <c r="E92" s="1257"/>
      <c r="F92" s="1257"/>
      <c r="G92" s="1272"/>
      <c r="H92" s="1272"/>
      <c r="I92" s="1272"/>
      <c r="J92" s="1272"/>
      <c r="K92" s="1317"/>
      <c r="L92" s="1318"/>
      <c r="M92" s="1319"/>
      <c r="N92" s="1508"/>
      <c r="O92" s="1508"/>
      <c r="P92" s="1577"/>
      <c r="Q92" s="1503"/>
    </row>
    <row r="93" spans="1:17">
      <c r="A93" s="1049"/>
      <c r="B93" s="1251"/>
      <c r="C93" s="1259"/>
      <c r="D93" s="1248"/>
      <c r="E93" s="1248"/>
      <c r="F93" s="1248"/>
      <c r="G93" s="1248"/>
      <c r="H93" s="1248"/>
      <c r="I93" s="1248"/>
      <c r="J93" s="1248"/>
      <c r="K93" s="1248"/>
      <c r="L93" s="1248"/>
      <c r="M93" s="1290"/>
      <c r="N93" s="1510"/>
      <c r="O93" s="1510"/>
      <c r="P93" s="1577"/>
      <c r="Q93" s="1503"/>
    </row>
    <row r="94" spans="1:17">
      <c r="A94" s="1049"/>
      <c r="B94" s="1249">
        <f>B29</f>
        <v>111</v>
      </c>
      <c r="C94" s="1257"/>
      <c r="D94" s="1257"/>
      <c r="E94" s="1257"/>
      <c r="F94" s="1257"/>
      <c r="G94" s="1272"/>
      <c r="H94" s="1272"/>
      <c r="I94" s="1272"/>
      <c r="J94" s="1272"/>
      <c r="K94" s="1317"/>
      <c r="L94" s="1318"/>
      <c r="M94" s="1319"/>
      <c r="N94" s="1508"/>
      <c r="O94" s="1508"/>
      <c r="P94" s="1577"/>
      <c r="Q94" s="1503"/>
    </row>
    <row r="95" spans="1:17">
      <c r="A95" s="1049"/>
      <c r="B95" s="1251"/>
      <c r="C95" s="1259"/>
      <c r="D95" s="1259"/>
      <c r="E95" s="1259"/>
      <c r="F95" s="1259"/>
      <c r="G95" s="1248"/>
      <c r="H95" s="1248"/>
      <c r="I95" s="1248"/>
      <c r="J95" s="1248"/>
      <c r="K95" s="1248"/>
      <c r="L95" s="1248"/>
      <c r="M95" s="1290"/>
      <c r="N95" s="1510"/>
      <c r="O95" s="1510"/>
      <c r="P95" s="1577"/>
      <c r="Q95" s="1503"/>
    </row>
    <row r="96" spans="1:17">
      <c r="A96" s="1049"/>
      <c r="B96" s="1249">
        <f>B30</f>
        <v>111</v>
      </c>
      <c r="C96" s="1257"/>
      <c r="D96" s="1257"/>
      <c r="E96" s="1257"/>
      <c r="F96" s="1257"/>
      <c r="G96" s="1272"/>
      <c r="H96" s="1272"/>
      <c r="I96" s="1272"/>
      <c r="J96" s="1272"/>
      <c r="K96" s="1317"/>
      <c r="L96" s="1318"/>
      <c r="M96" s="1319"/>
      <c r="N96" s="1508"/>
      <c r="O96" s="1508"/>
      <c r="P96" s="1577"/>
      <c r="Q96" s="1503"/>
    </row>
    <row r="97" spans="1:17">
      <c r="A97" s="1049"/>
      <c r="B97" s="1251"/>
      <c r="C97" s="1264"/>
      <c r="D97" s="1264"/>
      <c r="E97" s="1264"/>
      <c r="F97" s="1264"/>
      <c r="G97" s="1248"/>
      <c r="H97" s="1248"/>
      <c r="I97" s="1248"/>
      <c r="J97" s="1248"/>
      <c r="K97" s="1248"/>
      <c r="L97" s="1248"/>
      <c r="M97" s="1290"/>
      <c r="N97" s="1510"/>
      <c r="O97" s="1510"/>
      <c r="P97" s="1577"/>
      <c r="Q97" s="1503"/>
    </row>
    <row r="98" spans="1:17">
      <c r="A98" s="1049"/>
      <c r="B98" s="1253">
        <f>B31</f>
        <v>111</v>
      </c>
      <c r="C98" s="1273"/>
      <c r="D98" s="1273"/>
      <c r="E98" s="1273"/>
      <c r="F98" s="1273"/>
      <c r="G98" s="1273"/>
      <c r="H98" s="1273"/>
      <c r="I98" s="1273"/>
      <c r="J98" s="1273"/>
      <c r="K98" s="1320"/>
      <c r="L98" s="1321"/>
      <c r="M98" s="1322"/>
      <c r="N98" s="1508"/>
      <c r="O98" s="1508"/>
      <c r="P98" s="1577"/>
      <c r="Q98" s="1503"/>
    </row>
    <row r="99" spans="1:17">
      <c r="A99" s="1058"/>
      <c r="B99" s="1263"/>
      <c r="C99" s="1274"/>
      <c r="D99" s="1274"/>
      <c r="E99" s="1274"/>
      <c r="F99" s="1274"/>
      <c r="G99" s="1274"/>
      <c r="H99" s="1274"/>
      <c r="I99" s="1274"/>
      <c r="J99" s="1274"/>
      <c r="K99" s="1274"/>
      <c r="L99" s="1274"/>
      <c r="M99" s="1323"/>
      <c r="N99" s="1510"/>
      <c r="O99" s="1510"/>
      <c r="P99" s="1577"/>
      <c r="Q99" s="1503"/>
    </row>
    <row r="100" spans="1:17" ht="14.4">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4.4">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c r="A104" s="1256"/>
      <c r="B104" s="1251"/>
      <c r="C104" s="1259"/>
      <c r="D104" s="1248"/>
      <c r="E104" s="1248"/>
      <c r="F104" s="1248"/>
      <c r="G104" s="1248"/>
      <c r="H104" s="1248"/>
      <c r="I104" s="1248"/>
      <c r="J104" s="1248"/>
      <c r="K104" s="1248"/>
      <c r="L104" s="1248"/>
      <c r="M104" s="1248"/>
      <c r="N104" s="1510"/>
      <c r="O104" s="1510"/>
      <c r="P104" s="1580"/>
      <c r="Q104" s="1513"/>
    </row>
    <row r="105" spans="1:17" ht="14.4">
      <c r="A105" s="1098"/>
      <c r="B105" s="1249" t="s">
        <v>1423</v>
      </c>
      <c r="C105" s="1257"/>
      <c r="D105" s="1257"/>
      <c r="E105" s="1272"/>
      <c r="F105" s="1272"/>
      <c r="G105" s="1272"/>
      <c r="H105" s="1272"/>
      <c r="I105" s="1272"/>
      <c r="J105" s="1272"/>
      <c r="K105" s="1317"/>
      <c r="L105" s="1318"/>
      <c r="M105" s="1319"/>
      <c r="N105" s="1508"/>
      <c r="O105" s="1508"/>
      <c r="P105" s="1577"/>
      <c r="Q105" s="1503"/>
    </row>
    <row r="106" spans="1:17">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ht="14.4">
      <c r="A107" s="1098"/>
      <c r="B107" s="1249" t="s">
        <v>1602</v>
      </c>
      <c r="C107" s="1272"/>
      <c r="D107" s="1272"/>
      <c r="E107" s="1272"/>
      <c r="F107" s="1272"/>
      <c r="G107" s="1272"/>
      <c r="H107" s="1272"/>
      <c r="I107" s="1272"/>
      <c r="J107" s="1272"/>
      <c r="K107" s="1317"/>
      <c r="L107" s="1318"/>
      <c r="M107" s="1319"/>
      <c r="N107" s="1508"/>
      <c r="O107" s="1508"/>
      <c r="P107" s="1577"/>
      <c r="Q107" s="1503"/>
    </row>
    <row r="108" spans="1:17">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ht="14.4">
      <c r="A109" s="1098"/>
      <c r="B109" s="1249" t="s">
        <v>1425</v>
      </c>
      <c r="C109" s="1257"/>
      <c r="D109" s="1257"/>
      <c r="E109" s="1257"/>
      <c r="F109" s="1272"/>
      <c r="G109" s="1272"/>
      <c r="H109" s="1272"/>
      <c r="I109" s="1272"/>
      <c r="J109" s="1272"/>
      <c r="K109" s="1317"/>
      <c r="L109" s="1318"/>
      <c r="M109" s="1319"/>
      <c r="N109" s="1508"/>
      <c r="O109" s="1508"/>
      <c r="P109" s="1577"/>
      <c r="Q109" s="1503"/>
    </row>
    <row r="110" spans="1:17">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ht="14.4">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ht="14.4">
      <c r="A114" s="1098"/>
      <c r="B114" s="1249" t="s">
        <v>1429</v>
      </c>
      <c r="C114" s="1257"/>
      <c r="D114" s="1257"/>
      <c r="E114" s="1272"/>
      <c r="F114" s="1272"/>
      <c r="G114" s="1272"/>
      <c r="H114" s="1272"/>
      <c r="I114" s="1272"/>
      <c r="J114" s="1272"/>
      <c r="K114" s="1317"/>
      <c r="L114" s="1318"/>
      <c r="M114" s="1319"/>
      <c r="N114" s="1508"/>
      <c r="O114" s="1508"/>
      <c r="P114" s="1577"/>
      <c r="Q114" s="1503"/>
    </row>
    <row r="115" spans="1:17">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ht="14.4">
      <c r="A116" s="1098"/>
      <c r="B116" s="1249" t="s">
        <v>1431</v>
      </c>
      <c r="C116" s="1257"/>
      <c r="D116" s="1257"/>
      <c r="E116" s="1257"/>
      <c r="F116" s="1257"/>
      <c r="G116" s="1257"/>
      <c r="H116" s="1272"/>
      <c r="I116" s="1272"/>
      <c r="J116" s="1272"/>
      <c r="K116" s="1317"/>
      <c r="L116" s="1318"/>
      <c r="M116" s="1319"/>
      <c r="N116" s="1508"/>
      <c r="O116" s="1508"/>
      <c r="P116" s="1577"/>
      <c r="Q116" s="1503"/>
    </row>
    <row r="117" spans="1:17">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ht="14.4">
      <c r="A118" s="1098"/>
      <c r="B118" s="1249" t="s">
        <v>1603</v>
      </c>
      <c r="C118" s="1272"/>
      <c r="D118" s="1272"/>
      <c r="E118" s="1272"/>
      <c r="F118" s="1272"/>
      <c r="G118" s="1272"/>
      <c r="H118" s="1272"/>
      <c r="I118" s="1272"/>
      <c r="J118" s="1272"/>
      <c r="K118" s="1317"/>
      <c r="L118" s="1318"/>
      <c r="M118" s="1319"/>
      <c r="N118" s="1508"/>
      <c r="O118" s="1508"/>
      <c r="P118" s="1577"/>
      <c r="Q118" s="1503"/>
    </row>
    <row r="119" spans="1:17">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8.8">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c r="A121" s="1256"/>
      <c r="B121" s="1247"/>
      <c r="C121" s="1259"/>
      <c r="D121" s="1248"/>
      <c r="E121" s="1248"/>
      <c r="F121" s="1248"/>
      <c r="G121" s="1248"/>
      <c r="H121" s="1248"/>
      <c r="I121" s="1248"/>
      <c r="J121" s="1248"/>
      <c r="K121" s="1248"/>
      <c r="L121" s="1248"/>
      <c r="M121" s="1248"/>
      <c r="N121" s="1511"/>
      <c r="O121" s="1511"/>
      <c r="P121" s="1580"/>
      <c r="Q121" s="1513"/>
    </row>
    <row r="122" spans="1:17" ht="14.4">
      <c r="A122" s="1098"/>
      <c r="B122" s="1249" t="s">
        <v>1434</v>
      </c>
      <c r="C122" s="1257"/>
      <c r="D122" s="1257"/>
      <c r="E122" s="1257"/>
      <c r="F122" s="1272"/>
      <c r="G122" s="1272"/>
      <c r="H122" s="1272"/>
      <c r="I122" s="1272"/>
      <c r="J122" s="1272"/>
      <c r="K122" s="1317"/>
      <c r="L122" s="1318"/>
      <c r="M122" s="1319"/>
      <c r="N122" s="1508"/>
      <c r="O122" s="1508"/>
      <c r="P122" s="1577"/>
      <c r="Q122" s="1503"/>
    </row>
    <row r="123" spans="1:17">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ht="28.8">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c r="A131" s="1058"/>
      <c r="B131" s="1263"/>
      <c r="C131" s="1264"/>
      <c r="D131" s="1264"/>
      <c r="E131" s="1264"/>
      <c r="F131" s="1264"/>
      <c r="G131" s="1274"/>
      <c r="H131" s="1274"/>
      <c r="I131" s="1274"/>
      <c r="J131" s="1274"/>
      <c r="K131" s="1274"/>
      <c r="L131" s="1274"/>
      <c r="M131" s="1323"/>
      <c r="N131" s="1510"/>
      <c r="O131" s="1510"/>
      <c r="P131" s="1577"/>
      <c r="Q131" s="1503"/>
    </row>
    <row r="136" spans="1:17" ht="14.4">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6">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ht="14.4">
      <c r="B147" s="1586" t="s">
        <v>1623</v>
      </c>
    </row>
    <row r="148" spans="2:11" ht="14.4">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115</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4.4">
      <c r="A4" s="1027" t="s">
        <v>1378</v>
      </c>
      <c r="B4" s="1028"/>
      <c r="C4" s="3405" t="s">
        <v>1379</v>
      </c>
      <c r="D4" s="3406"/>
      <c r="E4" s="3407" t="s">
        <v>1380</v>
      </c>
      <c r="F4" s="3408"/>
      <c r="G4" s="3405" t="s">
        <v>1381</v>
      </c>
      <c r="H4" s="3406"/>
      <c r="I4" s="3405" t="s">
        <v>1382</v>
      </c>
      <c r="J4" s="3406"/>
      <c r="K4" s="1171" t="s">
        <v>1383</v>
      </c>
      <c r="L4" s="1487"/>
      <c r="M4" s="1157"/>
      <c r="N4" s="1157"/>
      <c r="O4" s="1157"/>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c r="A5" s="1029"/>
      <c r="B5" s="1030"/>
      <c r="C5" s="3421" t="s">
        <v>1385</v>
      </c>
      <c r="D5" s="3410"/>
      <c r="E5" s="3422" t="s">
        <v>1386</v>
      </c>
      <c r="F5" s="3423"/>
      <c r="G5" s="3421" t="s">
        <v>1387</v>
      </c>
      <c r="H5" s="3410"/>
      <c r="I5" s="3421" t="s">
        <v>1388</v>
      </c>
      <c r="J5" s="3410"/>
      <c r="K5" s="1171"/>
      <c r="L5" s="1487"/>
      <c r="M5" s="1157"/>
      <c r="N5" s="1157"/>
      <c r="O5" s="1157"/>
      <c r="P5" s="3414"/>
      <c r="Q5" s="3372"/>
      <c r="R5" s="3377"/>
      <c r="S5" s="3378"/>
      <c r="T5" s="3377"/>
      <c r="U5" s="3378"/>
      <c r="V5" s="3382"/>
      <c r="W5" s="3382"/>
      <c r="X5" s="1214"/>
      <c r="Y5" s="3377"/>
      <c r="Z5" s="3378"/>
      <c r="AA5" s="3364"/>
      <c r="AB5" s="3364"/>
      <c r="AC5" s="3364"/>
    </row>
    <row r="6" spans="1:29" ht="14.4">
      <c r="A6" s="1031"/>
      <c r="B6" s="1032"/>
      <c r="C6" s="3400" t="s">
        <v>1389</v>
      </c>
      <c r="D6" s="3401"/>
      <c r="E6" s="3402" t="s">
        <v>1389</v>
      </c>
      <c r="F6" s="3403"/>
      <c r="G6" s="3400" t="s">
        <v>1389</v>
      </c>
      <c r="H6" s="3401"/>
      <c r="I6" s="3400" t="s">
        <v>1389</v>
      </c>
      <c r="J6" s="3401"/>
      <c r="K6" s="1171" t="s">
        <v>1390</v>
      </c>
      <c r="L6" s="1487"/>
      <c r="M6" s="1157"/>
      <c r="N6" s="1157"/>
      <c r="O6" s="1157"/>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4.4">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40" si="3">D8/F8</f>
        <v>1</v>
      </c>
      <c r="AB8" s="1227">
        <f t="shared" ref="AB8:AB40" si="4">D8/H8</f>
        <v>1</v>
      </c>
      <c r="AC8" s="1227">
        <f t="shared" ref="AC8:AC40" si="5">D8/J8</f>
        <v>1</v>
      </c>
    </row>
    <row r="9" spans="1:29" s="1008" customFormat="1" ht="14.4">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4"/>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69">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7"/>
      <c r="Q16" s="625"/>
      <c r="R16" s="1219"/>
      <c r="S16" s="1220"/>
      <c r="T16" s="1219"/>
      <c r="U16" s="1220"/>
      <c r="V16" s="1219"/>
      <c r="W16" s="1220"/>
      <c r="X16" s="1214"/>
      <c r="Y16" s="3397"/>
      <c r="Z16" s="1204"/>
      <c r="AA16" s="1204">
        <v>1</v>
      </c>
      <c r="AB16" s="1204">
        <v>1</v>
      </c>
      <c r="AC16" s="1204">
        <v>1</v>
      </c>
    </row>
    <row r="17" spans="1:29" ht="96.6">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7"/>
      <c r="Q18" s="625"/>
      <c r="R18" s="1219"/>
      <c r="S18" s="1220"/>
      <c r="T18" s="1219"/>
      <c r="U18" s="1220"/>
      <c r="V18" s="1219"/>
      <c r="W18" s="1220"/>
      <c r="X18" s="1214"/>
      <c r="Y18" s="3397"/>
      <c r="Z18" s="1204"/>
      <c r="AA18" s="1204">
        <v>1</v>
      </c>
      <c r="AB18" s="1204">
        <v>1</v>
      </c>
      <c r="AC18" s="1204">
        <v>1</v>
      </c>
    </row>
    <row r="19" spans="1:29" ht="41.4">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7"/>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7"/>
      <c r="Q20" s="625"/>
      <c r="R20" s="1219"/>
      <c r="S20" s="1220"/>
      <c r="T20" s="1219"/>
      <c r="U20" s="1220"/>
      <c r="V20" s="1219"/>
      <c r="W20" s="1220"/>
      <c r="X20" s="1214"/>
      <c r="Y20" s="3397"/>
      <c r="Z20" s="1204"/>
      <c r="AA20" s="1204">
        <v>1</v>
      </c>
      <c r="AB20" s="1204">
        <v>1</v>
      </c>
      <c r="AC20" s="1204">
        <v>1</v>
      </c>
    </row>
    <row r="21" spans="1:29" ht="41.4">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7"/>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7"/>
      <c r="Q22" s="625"/>
      <c r="R22" s="1219"/>
      <c r="S22" s="1220"/>
      <c r="T22" s="1219"/>
      <c r="U22" s="1220"/>
      <c r="V22" s="1219"/>
      <c r="W22" s="1220"/>
      <c r="X22" s="1214"/>
      <c r="Y22" s="3397"/>
      <c r="Z22" s="1204"/>
      <c r="AA22" s="1204">
        <v>1</v>
      </c>
      <c r="AB22" s="1204">
        <v>1</v>
      </c>
      <c r="AC22" s="1204">
        <v>1</v>
      </c>
    </row>
    <row r="23" spans="1:29" ht="82.8">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7"/>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7"/>
      <c r="Q24" s="625"/>
      <c r="R24" s="1219"/>
      <c r="S24" s="1220"/>
      <c r="T24" s="1219"/>
      <c r="U24" s="1220"/>
      <c r="V24" s="1219"/>
      <c r="W24" s="1220"/>
      <c r="X24" s="1214"/>
      <c r="Y24" s="339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7"/>
      <c r="Q25" s="625">
        <f>B25</f>
        <v>111</v>
      </c>
      <c r="R25" s="1219" t="s">
        <v>1393</v>
      </c>
      <c r="S25" s="1220">
        <f>F25</f>
        <v>100</v>
      </c>
      <c r="T25" s="1219" t="s">
        <v>1393</v>
      </c>
      <c r="U25" s="1220">
        <f>H25</f>
        <v>100</v>
      </c>
      <c r="V25" s="1219" t="s">
        <v>1393</v>
      </c>
      <c r="W25" s="1220">
        <f>J25</f>
        <v>100</v>
      </c>
      <c r="X25" s="1214"/>
      <c r="Y25" s="339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7"/>
      <c r="Q26" s="625">
        <f t="shared" ref="Q26:Q40" si="11">B26</f>
        <v>111</v>
      </c>
      <c r="R26" s="1219" t="s">
        <v>1393</v>
      </c>
      <c r="S26" s="1220">
        <f>F26</f>
        <v>100</v>
      </c>
      <c r="T26" s="1219" t="s">
        <v>1393</v>
      </c>
      <c r="U26" s="1220">
        <f>H26</f>
        <v>100</v>
      </c>
      <c r="V26" s="1219" t="s">
        <v>1393</v>
      </c>
      <c r="W26" s="1220">
        <f>J26</f>
        <v>100</v>
      </c>
      <c r="X26" s="1214"/>
      <c r="Y26" s="339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7"/>
      <c r="Q27" s="794">
        <f t="shared" si="11"/>
        <v>111</v>
      </c>
      <c r="R27" s="1215" t="s">
        <v>1393</v>
      </c>
      <c r="S27" s="1216">
        <f>F27</f>
        <v>100</v>
      </c>
      <c r="T27" s="1215" t="s">
        <v>1393</v>
      </c>
      <c r="U27" s="1216">
        <f>H27</f>
        <v>100</v>
      </c>
      <c r="V27" s="1215" t="s">
        <v>1393</v>
      </c>
      <c r="W27" s="1216">
        <f>J27</f>
        <v>100</v>
      </c>
      <c r="X27" s="1217"/>
      <c r="Y27" s="339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7"/>
      <c r="Z28" s="1204">
        <f t="shared" ref="Z28:Z40" si="15">Q28</f>
        <v>111</v>
      </c>
      <c r="AA28" s="1204">
        <f t="shared" si="3"/>
        <v>1</v>
      </c>
      <c r="AB28" s="1204">
        <f t="shared" si="4"/>
        <v>1</v>
      </c>
      <c r="AC28" s="1204">
        <f t="shared" si="5"/>
        <v>1</v>
      </c>
    </row>
    <row r="29" spans="1:29" ht="30">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9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8"/>
      <c r="Q30" s="1415" t="str">
        <f t="shared" si="11"/>
        <v>项目建筑规模</v>
      </c>
      <c r="R30" s="1221" t="s">
        <v>1393</v>
      </c>
      <c r="S30" s="1222" t="e">
        <f t="shared" si="12"/>
        <v>#N/A</v>
      </c>
      <c r="T30" s="1221" t="s">
        <v>1393</v>
      </c>
      <c r="U30" s="1222" t="e">
        <f t="shared" si="13"/>
        <v>#N/A</v>
      </c>
      <c r="V30" s="1221" t="s">
        <v>1393</v>
      </c>
      <c r="W30" s="1222" t="e">
        <f t="shared" si="14"/>
        <v>#N/A</v>
      </c>
      <c r="X30" s="1223"/>
      <c r="Y30" s="339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8"/>
      <c r="Q31" s="625" t="str">
        <f t="shared" si="11"/>
        <v>建筑结构</v>
      </c>
      <c r="R31" s="1219" t="s">
        <v>1393</v>
      </c>
      <c r="S31" s="1220">
        <f t="shared" si="12"/>
        <v>100</v>
      </c>
      <c r="T31" s="1219" t="s">
        <v>1393</v>
      </c>
      <c r="U31" s="1220">
        <f t="shared" si="13"/>
        <v>100</v>
      </c>
      <c r="V31" s="1219" t="s">
        <v>1393</v>
      </c>
      <c r="W31" s="1220">
        <f t="shared" si="14"/>
        <v>100</v>
      </c>
      <c r="X31" s="1214"/>
      <c r="Y31" s="339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8"/>
      <c r="Q32" s="625" t="str">
        <f t="shared" si="11"/>
        <v>公共部分装修</v>
      </c>
      <c r="R32" s="1219" t="s">
        <v>1393</v>
      </c>
      <c r="S32" s="1220">
        <f t="shared" si="12"/>
        <v>100</v>
      </c>
      <c r="T32" s="1219" t="s">
        <v>1393</v>
      </c>
      <c r="U32" s="1220">
        <f t="shared" si="13"/>
        <v>100</v>
      </c>
      <c r="V32" s="1219" t="s">
        <v>1393</v>
      </c>
      <c r="W32" s="1220">
        <f t="shared" si="14"/>
        <v>100</v>
      </c>
      <c r="X32" s="1214"/>
      <c r="Y32" s="339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8"/>
      <c r="Q33" s="625" t="str">
        <f t="shared" si="11"/>
        <v>成新度</v>
      </c>
      <c r="R33" s="1219" t="s">
        <v>1393</v>
      </c>
      <c r="S33" s="1220" t="e">
        <f t="shared" si="12"/>
        <v>#N/A</v>
      </c>
      <c r="T33" s="1219" t="s">
        <v>1393</v>
      </c>
      <c r="U33" s="1220" t="e">
        <f t="shared" si="13"/>
        <v>#N/A</v>
      </c>
      <c r="V33" s="1219" t="s">
        <v>1393</v>
      </c>
      <c r="W33" s="1220" t="e">
        <f t="shared" si="14"/>
        <v>#N/A</v>
      </c>
      <c r="X33" s="1214"/>
      <c r="Y33" s="339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8"/>
      <c r="Q34" s="794" t="str">
        <f t="shared" si="11"/>
        <v>物业管理</v>
      </c>
      <c r="R34" s="1215" t="s">
        <v>1393</v>
      </c>
      <c r="S34" s="1216">
        <f t="shared" si="12"/>
        <v>100</v>
      </c>
      <c r="T34" s="1215" t="s">
        <v>1393</v>
      </c>
      <c r="U34" s="1216">
        <f t="shared" si="13"/>
        <v>100</v>
      </c>
      <c r="V34" s="1215" t="s">
        <v>1393</v>
      </c>
      <c r="W34" s="1216">
        <f t="shared" si="14"/>
        <v>100</v>
      </c>
      <c r="X34" s="1217"/>
      <c r="Y34" s="339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8" t="s">
        <v>1421</v>
      </c>
      <c r="Q35" s="625" t="str">
        <f t="shared" si="11"/>
        <v>市政基础设施</v>
      </c>
      <c r="R35" s="1219" t="s">
        <v>1393</v>
      </c>
      <c r="S35" s="1220">
        <f t="shared" si="12"/>
        <v>100</v>
      </c>
      <c r="T35" s="1219" t="s">
        <v>1393</v>
      </c>
      <c r="U35" s="1220">
        <f t="shared" si="13"/>
        <v>100</v>
      </c>
      <c r="V35" s="1219" t="s">
        <v>1393</v>
      </c>
      <c r="W35" s="1220">
        <f t="shared" si="14"/>
        <v>100</v>
      </c>
      <c r="X35" s="1214"/>
      <c r="Y35" s="339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8"/>
      <c r="Q36" s="625" t="str">
        <f t="shared" si="11"/>
        <v>内部装修</v>
      </c>
      <c r="R36" s="1219" t="s">
        <v>1393</v>
      </c>
      <c r="S36" s="1220">
        <f t="shared" si="12"/>
        <v>100</v>
      </c>
      <c r="T36" s="1219" t="s">
        <v>1393</v>
      </c>
      <c r="U36" s="1220">
        <f t="shared" si="13"/>
        <v>100</v>
      </c>
      <c r="V36" s="1219" t="s">
        <v>1393</v>
      </c>
      <c r="W36" s="1220">
        <f t="shared" si="14"/>
        <v>100</v>
      </c>
      <c r="X36" s="1214"/>
      <c r="Y36" s="339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8"/>
      <c r="Q37" s="625" t="str">
        <f t="shared" si="11"/>
        <v>内部装修状况</v>
      </c>
      <c r="R37" s="1219" t="s">
        <v>1393</v>
      </c>
      <c r="S37" s="1220">
        <f t="shared" si="12"/>
        <v>100</v>
      </c>
      <c r="T37" s="1219" t="s">
        <v>1393</v>
      </c>
      <c r="U37" s="1220">
        <f t="shared" si="13"/>
        <v>100</v>
      </c>
      <c r="V37" s="1219" t="s">
        <v>1393</v>
      </c>
      <c r="W37" s="1220">
        <f t="shared" si="14"/>
        <v>100</v>
      </c>
      <c r="X37" s="1214"/>
      <c r="Y37" s="339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8"/>
      <c r="Q38" s="1415">
        <f t="shared" si="11"/>
        <v>111</v>
      </c>
      <c r="R38" s="1221" t="s">
        <v>1393</v>
      </c>
      <c r="S38" s="1222">
        <f t="shared" si="12"/>
        <v>100</v>
      </c>
      <c r="T38" s="1221" t="s">
        <v>1393</v>
      </c>
      <c r="U38" s="1222">
        <f t="shared" si="13"/>
        <v>100</v>
      </c>
      <c r="V38" s="1221" t="s">
        <v>1393</v>
      </c>
      <c r="W38" s="1222">
        <f t="shared" si="14"/>
        <v>100</v>
      </c>
      <c r="X38" s="1223"/>
      <c r="Y38" s="339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8"/>
      <c r="Q39" s="625">
        <f t="shared" si="11"/>
        <v>111</v>
      </c>
      <c r="R39" s="1219" t="s">
        <v>1393</v>
      </c>
      <c r="S39" s="1220">
        <f t="shared" si="12"/>
        <v>100</v>
      </c>
      <c r="T39" s="1219" t="s">
        <v>1393</v>
      </c>
      <c r="U39" s="1220">
        <f t="shared" si="13"/>
        <v>100</v>
      </c>
      <c r="V39" s="1219" t="s">
        <v>1393</v>
      </c>
      <c r="W39" s="1220">
        <f t="shared" si="14"/>
        <v>100</v>
      </c>
      <c r="X39" s="1214"/>
      <c r="Y39" s="339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9"/>
      <c r="Q40" s="625">
        <f t="shared" si="11"/>
        <v>111</v>
      </c>
      <c r="R40" s="1219" t="s">
        <v>1393</v>
      </c>
      <c r="S40" s="1220">
        <f t="shared" si="12"/>
        <v>100</v>
      </c>
      <c r="T40" s="1219" t="s">
        <v>1393</v>
      </c>
      <c r="U40" s="1220">
        <f t="shared" si="13"/>
        <v>100</v>
      </c>
      <c r="V40" s="1219" t="s">
        <v>1393</v>
      </c>
      <c r="W40" s="1220">
        <f t="shared" si="14"/>
        <v>100</v>
      </c>
      <c r="X40" s="1214"/>
      <c r="Y40" s="3399"/>
      <c r="Z40" s="1204">
        <f t="shared" si="15"/>
        <v>111</v>
      </c>
      <c r="AA40" s="1204">
        <f t="shared" si="3"/>
        <v>1</v>
      </c>
      <c r="AB40" s="1204">
        <f t="shared" si="4"/>
        <v>1</v>
      </c>
      <c r="AC40" s="1204">
        <f t="shared" si="5"/>
        <v>1</v>
      </c>
    </row>
    <row r="41" spans="1:29" ht="14.4">
      <c r="A41" s="1105" t="s">
        <v>1437</v>
      </c>
      <c r="B41" s="1398"/>
      <c r="C41" s="1399" t="s">
        <v>124</v>
      </c>
      <c r="D41" s="1108"/>
      <c r="E41" s="1109"/>
      <c r="F41" s="1110"/>
      <c r="G41" s="1111"/>
      <c r="H41" s="1112"/>
      <c r="I41" s="1109"/>
      <c r="J41" s="1112"/>
      <c r="K41" s="1195"/>
      <c r="L41" s="1499"/>
      <c r="M41" s="1157"/>
      <c r="N41" s="1157"/>
      <c r="O41" s="1157"/>
      <c r="P41" s="3384" t="str">
        <f>A41</f>
        <v>成交单价（元/平方米）</v>
      </c>
      <c r="Q41" s="3384"/>
      <c r="R41" s="3382">
        <f>E41</f>
        <v>0</v>
      </c>
      <c r="S41" s="3382"/>
      <c r="T41" s="3382">
        <f>G41</f>
        <v>0</v>
      </c>
      <c r="U41" s="3382"/>
      <c r="V41" s="3382">
        <f>I41</f>
        <v>0</v>
      </c>
      <c r="W41" s="3382"/>
      <c r="X41" s="1162"/>
      <c r="Y41" s="1229"/>
      <c r="Z41" s="1162"/>
      <c r="AA41" s="1162"/>
      <c r="AB41" s="1162"/>
      <c r="AC41" s="1162"/>
    </row>
    <row r="42" spans="1:29" ht="14.4">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4.4">
      <c r="A43" s="1119" t="s">
        <v>1440</v>
      </c>
      <c r="B43" s="1120"/>
      <c r="C43" s="1032" t="e">
        <f>R43</f>
        <v>#DIV/0!</v>
      </c>
      <c r="D43" s="1032"/>
      <c r="E43" s="1032"/>
      <c r="F43" s="1032"/>
      <c r="G43" s="1032"/>
      <c r="H43" s="1032"/>
      <c r="I43" s="1032"/>
      <c r="J43" s="1032"/>
      <c r="K43" s="1198"/>
      <c r="L43" s="1499"/>
      <c r="M43" s="1157"/>
      <c r="N43" s="1157"/>
      <c r="O43" s="1157"/>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6">
      <c r="A51" s="1161" t="s">
        <v>1444</v>
      </c>
      <c r="B51" s="1162"/>
      <c r="C51" s="1163"/>
      <c r="D51" s="1163"/>
      <c r="E51" s="1163"/>
      <c r="F51" s="1164"/>
      <c r="G51" s="1164"/>
      <c r="H51" s="1163"/>
      <c r="I51" s="1163"/>
      <c r="J51" s="1163"/>
      <c r="K51" s="1358"/>
      <c r="L51" s="1359"/>
      <c r="M51" s="1212"/>
      <c r="N51" s="1212"/>
      <c r="O51" s="1212"/>
      <c r="P51" s="1502"/>
      <c r="Q51" s="1503"/>
    </row>
    <row r="52" spans="1:17" s="1013" customFormat="1" ht="14.4">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c r="A53" s="1078"/>
      <c r="B53" s="1241"/>
      <c r="C53" s="1408">
        <v>100</v>
      </c>
      <c r="D53" s="1245"/>
      <c r="E53" s="1245"/>
      <c r="F53" s="1245"/>
      <c r="G53" s="1245"/>
      <c r="H53" s="1245"/>
      <c r="I53" s="1245"/>
      <c r="J53" s="1245"/>
      <c r="K53" s="1245"/>
      <c r="L53" s="1245"/>
      <c r="M53" s="1053"/>
      <c r="N53" s="1245"/>
      <c r="O53" s="1285"/>
      <c r="P53" s="1503"/>
    </row>
    <row r="54" spans="1:17" s="1008" customFormat="1" ht="14.4">
      <c r="A54" s="1236" t="s">
        <v>1445</v>
      </c>
      <c r="B54" s="1237"/>
      <c r="C54" s="1238"/>
      <c r="D54" s="1239"/>
      <c r="E54" s="1239"/>
      <c r="F54" s="1239"/>
      <c r="G54" s="1239"/>
      <c r="H54" s="1239"/>
      <c r="I54" s="1239"/>
      <c r="J54" s="1239"/>
      <c r="K54" s="1239"/>
      <c r="L54" s="1239"/>
      <c r="M54" s="1280"/>
      <c r="N54" s="1504"/>
      <c r="O54" s="1505"/>
      <c r="P54" s="1503"/>
      <c r="Q54" s="1503"/>
    </row>
    <row r="55" spans="1:17" s="1008" customFormat="1" ht="14.4">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c r="A56" s="1240"/>
      <c r="B56" s="1241"/>
      <c r="C56" s="1244">
        <v>100</v>
      </c>
      <c r="D56" s="1245"/>
      <c r="E56" s="1245"/>
      <c r="F56" s="1245"/>
      <c r="G56" s="1245"/>
      <c r="H56" s="1245"/>
      <c r="I56" s="1245"/>
      <c r="J56" s="1245"/>
      <c r="K56" s="1245"/>
      <c r="L56" s="1245"/>
      <c r="M56" s="1285"/>
      <c r="N56" s="1506"/>
      <c r="O56" s="1506"/>
      <c r="P56" s="1503"/>
      <c r="Q56" s="1503"/>
    </row>
    <row r="57" spans="1:17" ht="14.4">
      <c r="A57" s="1062" t="s">
        <v>1447</v>
      </c>
      <c r="B57" s="1246" t="s">
        <v>1399</v>
      </c>
      <c r="C57" s="621">
        <f>C9</f>
        <v>0</v>
      </c>
      <c r="D57" s="1193"/>
      <c r="E57" s="1193"/>
      <c r="F57" s="1193"/>
      <c r="G57" s="1193"/>
      <c r="H57" s="1193"/>
      <c r="I57" s="1193"/>
      <c r="J57" s="1193"/>
      <c r="K57" s="1286"/>
      <c r="L57" s="1287"/>
      <c r="M57" s="1288"/>
      <c r="N57" s="1508"/>
      <c r="O57" s="1508"/>
      <c r="P57" s="1509"/>
      <c r="Q57" s="1503"/>
    </row>
    <row r="58" spans="1:17">
      <c r="A58" s="1049"/>
      <c r="B58" s="1247"/>
      <c r="C58" s="1248">
        <v>100</v>
      </c>
      <c r="D58" s="1248"/>
      <c r="E58" s="1248"/>
      <c r="F58" s="1248"/>
      <c r="G58" s="1248"/>
      <c r="H58" s="1248"/>
      <c r="I58" s="1248"/>
      <c r="J58" s="1248"/>
      <c r="K58" s="1248"/>
      <c r="L58" s="1248"/>
      <c r="M58" s="1290"/>
      <c r="N58" s="1510"/>
      <c r="O58" s="1510"/>
      <c r="P58" s="1509"/>
      <c r="Q58" s="1503"/>
    </row>
    <row r="59" spans="1:17" ht="28.8">
      <c r="A59" s="1049"/>
      <c r="B59" s="1249" t="s">
        <v>1402</v>
      </c>
      <c r="C59" s="1272"/>
      <c r="D59" s="1272"/>
      <c r="E59" s="1272"/>
      <c r="F59" s="1272"/>
      <c r="G59" s="1272"/>
      <c r="H59" s="1272"/>
      <c r="I59" s="1272"/>
      <c r="J59" s="1272"/>
      <c r="K59" s="1317"/>
      <c r="L59" s="1318"/>
      <c r="M59" s="1319"/>
      <c r="N59" s="1508"/>
      <c r="O59" s="1508"/>
      <c r="P59" s="1509"/>
      <c r="Q59" s="1503"/>
    </row>
    <row r="60" spans="1:17">
      <c r="A60" s="1049"/>
      <c r="B60" s="1251"/>
      <c r="C60" s="1248"/>
      <c r="D60" s="1248"/>
      <c r="E60" s="1248"/>
      <c r="F60" s="1248"/>
      <c r="G60" s="1248"/>
      <c r="H60" s="1248"/>
      <c r="I60" s="1248"/>
      <c r="J60" s="1248"/>
      <c r="K60" s="1248"/>
      <c r="L60" s="1248"/>
      <c r="M60" s="1290"/>
      <c r="N60" s="1510"/>
      <c r="O60" s="1510"/>
      <c r="P60" s="1509"/>
      <c r="Q60" s="1503"/>
    </row>
    <row r="61" spans="1:17" ht="14.4">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c r="A62" s="1049"/>
      <c r="B62" s="1255"/>
      <c r="C62" s="1055">
        <v>0</v>
      </c>
      <c r="D62" s="1055">
        <v>2</v>
      </c>
      <c r="E62" s="1055"/>
      <c r="F62" s="1055"/>
      <c r="G62" s="1055"/>
      <c r="H62" s="1055"/>
      <c r="I62" s="1055"/>
      <c r="J62" s="1055"/>
      <c r="K62" s="1296"/>
      <c r="L62" s="1297"/>
      <c r="M62" s="1298"/>
      <c r="N62" s="1508"/>
      <c r="O62" s="1508"/>
      <c r="P62" s="1509"/>
      <c r="Q62" s="1503"/>
    </row>
    <row r="63" spans="1:17">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c r="A64" s="1256"/>
      <c r="B64" s="1249">
        <f>B12</f>
        <v>111</v>
      </c>
      <c r="C64" s="1257"/>
      <c r="D64" s="1257"/>
      <c r="E64" s="1257"/>
      <c r="F64" s="1257"/>
      <c r="G64" s="1257"/>
      <c r="H64" s="1258"/>
      <c r="I64" s="1258"/>
      <c r="J64" s="1258"/>
      <c r="K64" s="1258"/>
      <c r="L64" s="1299"/>
      <c r="M64" s="1300"/>
      <c r="N64" s="1511"/>
      <c r="O64" s="1511"/>
      <c r="P64" s="1512"/>
      <c r="Q64" s="1513"/>
    </row>
    <row r="65" spans="1:17" s="1010" customFormat="1">
      <c r="A65" s="1256"/>
      <c r="B65" s="1251"/>
      <c r="C65" s="1259"/>
      <c r="D65" s="1248"/>
      <c r="E65" s="1248"/>
      <c r="F65" s="1248"/>
      <c r="G65" s="1248"/>
      <c r="H65" s="1248"/>
      <c r="I65" s="1248"/>
      <c r="J65" s="1248"/>
      <c r="K65" s="1248"/>
      <c r="L65" s="1248"/>
      <c r="M65" s="1290"/>
      <c r="N65" s="1510"/>
      <c r="O65" s="1510"/>
      <c r="P65" s="1512"/>
      <c r="Q65" s="1513"/>
    </row>
    <row r="66" spans="1:17" s="1010" customFormat="1">
      <c r="A66" s="1256"/>
      <c r="B66" s="1249">
        <f>B13</f>
        <v>111</v>
      </c>
      <c r="C66" s="1257"/>
      <c r="D66" s="1257"/>
      <c r="E66" s="1257"/>
      <c r="F66" s="1257"/>
      <c r="G66" s="1257"/>
      <c r="H66" s="1258"/>
      <c r="I66" s="1258"/>
      <c r="J66" s="1258"/>
      <c r="K66" s="1258"/>
      <c r="L66" s="1299"/>
      <c r="M66" s="1300"/>
      <c r="N66" s="1511"/>
      <c r="O66" s="1511"/>
      <c r="Q66" s="1516"/>
    </row>
    <row r="67" spans="1:17" s="1010" customFormat="1">
      <c r="A67" s="1256"/>
      <c r="B67" s="1251"/>
      <c r="C67" s="1259"/>
      <c r="D67" s="1248"/>
      <c r="E67" s="1248"/>
      <c r="F67" s="1248"/>
      <c r="G67" s="1259"/>
      <c r="H67" s="1260"/>
      <c r="I67" s="1260"/>
      <c r="J67" s="1260"/>
      <c r="K67" s="1260"/>
      <c r="L67" s="1260"/>
      <c r="M67" s="1302"/>
      <c r="N67" s="1511"/>
      <c r="O67" s="1511"/>
      <c r="P67" s="1512"/>
      <c r="Q67" s="1513"/>
    </row>
    <row r="68" spans="1:17" s="1010" customFormat="1">
      <c r="A68" s="1256"/>
      <c r="B68" s="1253">
        <f>B14</f>
        <v>111</v>
      </c>
      <c r="C68" s="1243"/>
      <c r="D68" s="1243"/>
      <c r="E68" s="1243"/>
      <c r="F68" s="1243"/>
      <c r="G68" s="1243"/>
      <c r="H68" s="1261"/>
      <c r="I68" s="1261"/>
      <c r="J68" s="1261"/>
      <c r="K68" s="1261"/>
      <c r="L68" s="1303"/>
      <c r="M68" s="1304"/>
      <c r="N68" s="1511"/>
      <c r="O68" s="1511"/>
      <c r="P68" s="1514"/>
      <c r="Q68" s="1513"/>
    </row>
    <row r="69" spans="1:17" s="1010" customFormat="1">
      <c r="A69" s="1262"/>
      <c r="B69" s="1263"/>
      <c r="C69" s="1264"/>
      <c r="D69" s="1264"/>
      <c r="E69" s="1264"/>
      <c r="F69" s="1264"/>
      <c r="G69" s="1264"/>
      <c r="H69" s="1265"/>
      <c r="I69" s="1265"/>
      <c r="J69" s="1265"/>
      <c r="K69" s="1265"/>
      <c r="L69" s="1265"/>
      <c r="M69" s="1306"/>
      <c r="N69" s="1511"/>
      <c r="O69" s="1511"/>
      <c r="P69" s="1512"/>
      <c r="Q69" s="1513"/>
    </row>
    <row r="70" spans="1:17" ht="14.4">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4.4">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4.4">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4.4">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4.4">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c r="A80" s="1052"/>
      <c r="B80" s="1249">
        <f>B25</f>
        <v>111</v>
      </c>
      <c r="C80" s="1257"/>
      <c r="D80" s="1257"/>
      <c r="E80" s="1257"/>
      <c r="F80" s="1257"/>
      <c r="G80" s="1257"/>
      <c r="H80" s="1257"/>
      <c r="I80" s="1257"/>
      <c r="J80" s="1257"/>
      <c r="K80" s="1257"/>
      <c r="L80" s="1420"/>
      <c r="M80" s="1421"/>
      <c r="N80" s="1506"/>
      <c r="O80" s="1506"/>
      <c r="P80" s="1509"/>
      <c r="Q80" s="1503"/>
    </row>
    <row r="81" spans="1:17" s="1008" customFormat="1">
      <c r="A81" s="1052"/>
      <c r="B81" s="1251"/>
      <c r="C81" s="1259"/>
      <c r="D81" s="1248"/>
      <c r="E81" s="1248"/>
      <c r="F81" s="1248"/>
      <c r="G81" s="1248"/>
      <c r="H81" s="1248"/>
      <c r="I81" s="1248"/>
      <c r="J81" s="1248"/>
      <c r="K81" s="1248"/>
      <c r="L81" s="1248"/>
      <c r="M81" s="1290"/>
      <c r="N81" s="1510"/>
      <c r="O81" s="1510"/>
      <c r="P81" s="1509"/>
      <c r="Q81" s="1503"/>
    </row>
    <row r="82" spans="1:17" s="1008" customFormat="1">
      <c r="A82" s="1052"/>
      <c r="B82" s="1249">
        <f>B26</f>
        <v>111</v>
      </c>
      <c r="C82" s="1257"/>
      <c r="D82" s="1257"/>
      <c r="E82" s="1257"/>
      <c r="F82" s="1257"/>
      <c r="G82" s="1257"/>
      <c r="H82" s="1257"/>
      <c r="I82" s="1257"/>
      <c r="J82" s="1257"/>
      <c r="K82" s="1257"/>
      <c r="L82" s="1420"/>
      <c r="M82" s="1421"/>
      <c r="N82" s="1506"/>
      <c r="O82" s="1506"/>
      <c r="P82" s="1509"/>
      <c r="Q82" s="1503"/>
    </row>
    <row r="83" spans="1:17" s="1008" customFormat="1">
      <c r="A83" s="1052"/>
      <c r="B83" s="1251"/>
      <c r="C83" s="1259"/>
      <c r="D83" s="1248"/>
      <c r="E83" s="1248"/>
      <c r="F83" s="1248"/>
      <c r="G83" s="1248"/>
      <c r="H83" s="1248"/>
      <c r="I83" s="1248"/>
      <c r="J83" s="1248"/>
      <c r="K83" s="1248"/>
      <c r="L83" s="1248"/>
      <c r="M83" s="1290"/>
      <c r="N83" s="1510"/>
      <c r="O83" s="1510"/>
      <c r="P83" s="1509"/>
      <c r="Q83" s="1503"/>
    </row>
    <row r="84" spans="1:17" s="1010" customFormat="1">
      <c r="A84" s="1256"/>
      <c r="B84" s="1249">
        <f>B27</f>
        <v>111</v>
      </c>
      <c r="C84" s="1257"/>
      <c r="D84" s="1257"/>
      <c r="E84" s="1257"/>
      <c r="F84" s="1257"/>
      <c r="G84" s="1257"/>
      <c r="H84" s="1257"/>
      <c r="I84" s="1257"/>
      <c r="J84" s="1257"/>
      <c r="K84" s="1257"/>
      <c r="L84" s="1420"/>
      <c r="M84" s="1421"/>
      <c r="N84" s="1511"/>
      <c r="O84" s="1511"/>
      <c r="P84" s="1512"/>
      <c r="Q84" s="1513"/>
    </row>
    <row r="85" spans="1:17" s="1010" customFormat="1">
      <c r="A85" s="1256"/>
      <c r="B85" s="1251"/>
      <c r="C85" s="1259"/>
      <c r="D85" s="1248"/>
      <c r="E85" s="1248"/>
      <c r="F85" s="1248"/>
      <c r="G85" s="1248"/>
      <c r="H85" s="1248"/>
      <c r="I85" s="1248"/>
      <c r="J85" s="1248"/>
      <c r="K85" s="1248"/>
      <c r="L85" s="1248"/>
      <c r="M85" s="1290"/>
      <c r="N85" s="1511"/>
      <c r="O85" s="1511"/>
      <c r="P85" s="1512"/>
      <c r="Q85" s="1513"/>
    </row>
    <row r="86" spans="1:17">
      <c r="A86" s="1049"/>
      <c r="B86" s="1253">
        <f>B28</f>
        <v>111</v>
      </c>
      <c r="C86" s="1243"/>
      <c r="D86" s="1243"/>
      <c r="E86" s="1243"/>
      <c r="F86" s="1243"/>
      <c r="G86" s="1273"/>
      <c r="H86" s="1273"/>
      <c r="I86" s="1273"/>
      <c r="J86" s="1273"/>
      <c r="K86" s="1320"/>
      <c r="L86" s="1321"/>
      <c r="M86" s="1322"/>
      <c r="N86" s="1508"/>
      <c r="O86" s="1508"/>
      <c r="P86" s="1509"/>
      <c r="Q86" s="1503"/>
    </row>
    <row r="87" spans="1:17">
      <c r="A87" s="1058"/>
      <c r="B87" s="1263"/>
      <c r="C87" s="1264"/>
      <c r="D87" s="1264"/>
      <c r="E87" s="1264"/>
      <c r="F87" s="1264"/>
      <c r="G87" s="1274"/>
      <c r="H87" s="1274"/>
      <c r="I87" s="1274"/>
      <c r="J87" s="1274"/>
      <c r="K87" s="1274"/>
      <c r="L87" s="1274"/>
      <c r="M87" s="1323"/>
      <c r="N87" s="1510"/>
      <c r="O87" s="1510"/>
      <c r="P87" s="1509"/>
      <c r="Q87" s="1503"/>
    </row>
    <row r="88" spans="1:17" ht="14.4">
      <c r="A88" s="1062" t="s">
        <v>1418</v>
      </c>
      <c r="B88" s="1246" t="s">
        <v>1419</v>
      </c>
      <c r="C88" s="1193"/>
      <c r="D88" s="1193"/>
      <c r="E88" s="1193"/>
      <c r="F88" s="1193"/>
      <c r="G88" s="1193"/>
      <c r="H88" s="1193"/>
      <c r="I88" s="1193"/>
      <c r="J88" s="1193"/>
      <c r="K88" s="1286"/>
      <c r="L88" s="1287"/>
      <c r="M88" s="1288"/>
      <c r="N88" s="1508"/>
      <c r="O88" s="1508"/>
      <c r="P88" s="1509"/>
      <c r="Q88" s="1503"/>
    </row>
    <row r="89" spans="1:17">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4.4">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c r="A92" s="1256"/>
      <c r="B92" s="1251"/>
      <c r="C92" s="1259"/>
      <c r="D92" s="1248"/>
      <c r="E92" s="1248"/>
      <c r="F92" s="1248"/>
      <c r="G92" s="1248"/>
      <c r="H92" s="1248"/>
      <c r="I92" s="1248"/>
      <c r="J92" s="1248"/>
      <c r="K92" s="1248"/>
      <c r="L92" s="1248"/>
      <c r="M92" s="1290"/>
      <c r="N92" s="1510"/>
      <c r="O92" s="1510"/>
      <c r="P92" s="1512"/>
      <c r="Q92" s="1513"/>
    </row>
    <row r="93" spans="1:17" ht="14.4">
      <c r="A93" s="1098"/>
      <c r="B93" s="1249" t="s">
        <v>1423</v>
      </c>
      <c r="C93" s="1257"/>
      <c r="D93" s="1257"/>
      <c r="E93" s="1272"/>
      <c r="F93" s="1272"/>
      <c r="G93" s="1272"/>
      <c r="H93" s="1272"/>
      <c r="I93" s="1272"/>
      <c r="J93" s="1272"/>
      <c r="K93" s="1317"/>
      <c r="L93" s="1318"/>
      <c r="M93" s="1319"/>
      <c r="N93" s="1508"/>
      <c r="O93" s="1508"/>
      <c r="P93" s="1509"/>
      <c r="Q93" s="1503"/>
    </row>
    <row r="94" spans="1:17">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ht="14.4">
      <c r="A95" s="1098"/>
      <c r="B95" s="1249" t="s">
        <v>1425</v>
      </c>
      <c r="C95" s="1257"/>
      <c r="D95" s="1257"/>
      <c r="E95" s="1257"/>
      <c r="F95" s="1272"/>
      <c r="G95" s="1272"/>
      <c r="H95" s="1272"/>
      <c r="I95" s="1272"/>
      <c r="J95" s="1272"/>
      <c r="K95" s="1317"/>
      <c r="L95" s="1318"/>
      <c r="M95" s="1319"/>
      <c r="N95" s="1508"/>
      <c r="O95" s="1508"/>
      <c r="P95" s="1509"/>
      <c r="Q95" s="1503"/>
    </row>
    <row r="96" spans="1:17">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ht="14.4">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ht="14.4">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ht="14.4">
      <c r="A102" s="1098"/>
      <c r="B102" s="1249" t="s">
        <v>1431</v>
      </c>
      <c r="C102" s="1257"/>
      <c r="D102" s="1257"/>
      <c r="E102" s="1257"/>
      <c r="F102" s="1257"/>
      <c r="G102" s="1257"/>
      <c r="H102" s="1272"/>
      <c r="I102" s="1272"/>
      <c r="J102" s="1272"/>
      <c r="K102" s="1317"/>
      <c r="L102" s="1318"/>
      <c r="M102" s="1319"/>
      <c r="N102" s="1508"/>
      <c r="O102" s="1508"/>
      <c r="P102" s="1509"/>
      <c r="Q102" s="1503"/>
    </row>
    <row r="103" spans="1:17">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ht="14.4">
      <c r="A104" s="1098"/>
      <c r="B104" s="1249" t="s">
        <v>1434</v>
      </c>
      <c r="C104" s="1257"/>
      <c r="D104" s="1257"/>
      <c r="E104" s="1257"/>
      <c r="F104" s="1257"/>
      <c r="G104" s="1257"/>
      <c r="H104" s="1272"/>
      <c r="I104" s="1272"/>
      <c r="J104" s="1272"/>
      <c r="K104" s="1317"/>
      <c r="L104" s="1318"/>
      <c r="M104" s="1319"/>
      <c r="N104" s="1508"/>
      <c r="O104" s="1508"/>
      <c r="P104" s="1509"/>
      <c r="Q104" s="1503"/>
    </row>
    <row r="105" spans="1:17">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ht="28.8">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6" t="s">
        <v>82</v>
      </c>
    </row>
    <row r="3" spans="1:1" ht="17.399999999999999">
      <c r="A3" s="3137" t="str">
        <f>项目基本情况!B5&amp;"："</f>
        <v>：</v>
      </c>
    </row>
    <row r="4" spans="1:1" ht="17.399999999999999">
      <c r="A4" s="3138" t="str">
        <f>"受贵公司委托，我公司对"&amp;项目基本情况!S1&amp;"进行了预评估。"</f>
        <v>受贵公司委托，我公司对北京市房地产抵押价值进行了预评估。</v>
      </c>
    </row>
    <row r="5" spans="1:1" ht="17.399999999999999">
      <c r="A5" s="3139" t="s">
        <v>83</v>
      </c>
    </row>
    <row r="6" spans="1:1" ht="17.399999999999999">
      <c r="A6" s="3140" t="s">
        <v>84</v>
      </c>
    </row>
    <row r="7" spans="1:1" ht="52.2">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估价对象为北京市房地产，为所有。根据《国有土地使用证》[]，估价对象（分摊）出让国有建设用地使用权面积为0平方米，建筑面积为115平方米。</v>
      </c>
    </row>
    <row r="8" spans="1:1" ht="54.6">
      <c r="A8" s="3141" t="s">
        <v>85</v>
      </c>
    </row>
    <row r="9" spans="1:1" ht="17.399999999999999">
      <c r="A9" s="3140" t="s">
        <v>86</v>
      </c>
    </row>
    <row r="10" spans="1:1" ht="52.2">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估价对象为北京市房地产,属开发建设的办公项目，该项目尚在开发建设中。根据《国有土地使用证》[]，估价对象（分摊）出让国有建设用地使用权面积为0平方米，规划建筑面积为115平方米。</v>
      </c>
    </row>
    <row r="11" spans="1:1" ht="72">
      <c r="A11" s="3141" t="s">
        <v>87</v>
      </c>
    </row>
    <row r="12" spans="1:1" ht="17.399999999999999">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7" t="s">
        <v>89</v>
      </c>
    </row>
    <row r="15" spans="1:1" ht="17.399999999999999">
      <c r="A15" s="3142" t="str">
        <f>TEXT(项目基本情况!D3,"yyyy年m月d日;;")&amp;IF(项目基本情况!D3=项目基本情况!B3,"（评估专业人员实地查勘之日）","")</f>
        <v>2025年10月28日（评估专业人员实地查勘之日）</v>
      </c>
    </row>
    <row r="16" spans="1:1" ht="17.399999999999999">
      <c r="A16" s="3137" t="s">
        <v>90</v>
      </c>
    </row>
    <row r="17" spans="1:1" ht="69.599999999999994">
      <c r="A17" s="3138" t="s">
        <v>91</v>
      </c>
    </row>
    <row r="18" spans="1:1" ht="69.59999999999999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7" t="s">
        <v>92</v>
      </c>
    </row>
    <row r="24" spans="1:1" ht="17.399999999999999">
      <c r="A24" s="3112" t="str">
        <f>"本次评估采用的主估价方法为"&amp;结果表!K4&amp;"和"&amp;结果表!L4&amp;"。"</f>
        <v>本次评估采用的主估价方法为比较法和收益法。</v>
      </c>
    </row>
    <row r="25" spans="1:1" ht="17.399999999999999">
      <c r="A25" s="3112"/>
    </row>
    <row r="26" spans="1:1" ht="17.399999999999999">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4.4">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4.4">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6" si="3">D8/F8</f>
        <v>1</v>
      </c>
      <c r="AB8" s="1227">
        <f t="shared" ref="AB8:AB36" si="4">D8/H8</f>
        <v>1</v>
      </c>
      <c r="AC8" s="1227">
        <f t="shared" ref="AC8:AC36" si="5">D8/J8</f>
        <v>1</v>
      </c>
    </row>
    <row r="9" spans="1:29" s="1008" customFormat="1" ht="14.4">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8.8">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7"/>
      <c r="Q15" s="625"/>
      <c r="R15" s="1219"/>
      <c r="S15" s="1220"/>
      <c r="T15" s="1219"/>
      <c r="U15" s="1220"/>
      <c r="V15" s="1219"/>
      <c r="W15" s="1220"/>
      <c r="X15" s="1214"/>
      <c r="Y15" s="339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7"/>
      <c r="Q17" s="625"/>
      <c r="R17" s="1219"/>
      <c r="S17" s="1220"/>
      <c r="T17" s="1219"/>
      <c r="U17" s="1220"/>
      <c r="V17" s="1219"/>
      <c r="W17" s="1220"/>
      <c r="X17" s="1214"/>
      <c r="Y17" s="339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7"/>
      <c r="Q19" s="625"/>
      <c r="R19" s="1219"/>
      <c r="S19" s="1220"/>
      <c r="T19" s="1219"/>
      <c r="U19" s="1220"/>
      <c r="V19" s="1219"/>
      <c r="W19" s="1220"/>
      <c r="X19" s="1214"/>
      <c r="Y19" s="339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7"/>
      <c r="Q21" s="625"/>
      <c r="R21" s="1219"/>
      <c r="S21" s="1220"/>
      <c r="T21" s="1219"/>
      <c r="U21" s="1220"/>
      <c r="V21" s="1219"/>
      <c r="W21" s="1220"/>
      <c r="X21" s="1214"/>
      <c r="Y21" s="339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7"/>
      <c r="Q24" s="625">
        <f t="shared" ref="Q24:Q36"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30">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8"/>
      <c r="Q27" s="1415" t="str">
        <f t="shared" si="11"/>
        <v>项目停车位配比</v>
      </c>
      <c r="R27" s="1221" t="s">
        <v>1393</v>
      </c>
      <c r="S27" s="1222">
        <f t="shared" si="12"/>
        <v>100</v>
      </c>
      <c r="T27" s="1221" t="s">
        <v>1393</v>
      </c>
      <c r="U27" s="1222">
        <f t="shared" si="13"/>
        <v>100</v>
      </c>
      <c r="V27" s="1221" t="s">
        <v>1393</v>
      </c>
      <c r="W27" s="1222">
        <f t="shared" si="14"/>
        <v>100</v>
      </c>
      <c r="X27" s="1223"/>
      <c r="Y27" s="339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8"/>
      <c r="Q28" s="625" t="str">
        <f t="shared" si="11"/>
        <v>公共部分装修</v>
      </c>
      <c r="R28" s="1219" t="s">
        <v>1393</v>
      </c>
      <c r="S28" s="1220">
        <f t="shared" si="12"/>
        <v>100</v>
      </c>
      <c r="T28" s="1219" t="s">
        <v>1393</v>
      </c>
      <c r="U28" s="1220">
        <f t="shared" si="13"/>
        <v>100</v>
      </c>
      <c r="V28" s="1219" t="s">
        <v>1393</v>
      </c>
      <c r="W28" s="1220">
        <f t="shared" si="14"/>
        <v>100</v>
      </c>
      <c r="X28" s="1214"/>
      <c r="Y28" s="339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8"/>
      <c r="Q29" s="625" t="str">
        <f t="shared" si="11"/>
        <v>成新率</v>
      </c>
      <c r="R29" s="1219" t="s">
        <v>1393</v>
      </c>
      <c r="S29" s="1220" t="e">
        <f t="shared" si="12"/>
        <v>#N/A</v>
      </c>
      <c r="T29" s="1219" t="s">
        <v>1393</v>
      </c>
      <c r="U29" s="1220" t="e">
        <f t="shared" si="13"/>
        <v>#N/A</v>
      </c>
      <c r="V29" s="1219" t="s">
        <v>1393</v>
      </c>
      <c r="W29" s="1220" t="e">
        <f t="shared" si="14"/>
        <v>#N/A</v>
      </c>
      <c r="X29" s="1214"/>
      <c r="Y29" s="339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8"/>
      <c r="Q30" s="625" t="str">
        <f t="shared" si="11"/>
        <v>物业等级</v>
      </c>
      <c r="R30" s="1219" t="s">
        <v>1393</v>
      </c>
      <c r="S30" s="1220">
        <f t="shared" si="12"/>
        <v>100</v>
      </c>
      <c r="T30" s="1219" t="s">
        <v>1393</v>
      </c>
      <c r="U30" s="1220">
        <f t="shared" si="13"/>
        <v>100</v>
      </c>
      <c r="V30" s="1219" t="s">
        <v>1393</v>
      </c>
      <c r="W30" s="1220">
        <f t="shared" si="14"/>
        <v>100</v>
      </c>
      <c r="X30" s="1214"/>
      <c r="Y30" s="339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8"/>
      <c r="Q31" s="794" t="str">
        <f t="shared" si="11"/>
        <v>停车位面积</v>
      </c>
      <c r="R31" s="1215" t="s">
        <v>1393</v>
      </c>
      <c r="S31" s="1216" t="e">
        <f t="shared" si="12"/>
        <v>#N/A</v>
      </c>
      <c r="T31" s="1215" t="s">
        <v>1393</v>
      </c>
      <c r="U31" s="1216" t="e">
        <f t="shared" si="13"/>
        <v>#N/A</v>
      </c>
      <c r="V31" s="1215" t="s">
        <v>1393</v>
      </c>
      <c r="W31" s="1216" t="e">
        <f t="shared" si="14"/>
        <v>#N/A</v>
      </c>
      <c r="X31" s="1217"/>
      <c r="Y31" s="339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8" t="s">
        <v>1421</v>
      </c>
      <c r="Q32" s="625" t="str">
        <f t="shared" si="11"/>
        <v>车位类型</v>
      </c>
      <c r="R32" s="1219" t="s">
        <v>1393</v>
      </c>
      <c r="S32" s="1220">
        <f t="shared" si="12"/>
        <v>100</v>
      </c>
      <c r="T32" s="1219" t="s">
        <v>1393</v>
      </c>
      <c r="U32" s="1220">
        <f t="shared" si="13"/>
        <v>100</v>
      </c>
      <c r="V32" s="1219" t="s">
        <v>1393</v>
      </c>
      <c r="W32" s="1220">
        <f t="shared" si="14"/>
        <v>100</v>
      </c>
      <c r="X32" s="1214"/>
      <c r="Y32" s="339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8"/>
      <c r="Q33" s="625" t="str">
        <f t="shared" si="11"/>
        <v>是否直接入户</v>
      </c>
      <c r="R33" s="1219" t="s">
        <v>1393</v>
      </c>
      <c r="S33" s="1220">
        <f t="shared" si="12"/>
        <v>100</v>
      </c>
      <c r="T33" s="1219" t="s">
        <v>1393</v>
      </c>
      <c r="U33" s="1220">
        <f t="shared" si="13"/>
        <v>100</v>
      </c>
      <c r="V33" s="1219" t="s">
        <v>1393</v>
      </c>
      <c r="W33" s="1220">
        <f t="shared" si="14"/>
        <v>100</v>
      </c>
      <c r="X33" s="1214"/>
      <c r="Y33" s="339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8"/>
      <c r="Q35" s="1415">
        <f t="shared" si="11"/>
        <v>111</v>
      </c>
      <c r="R35" s="1221" t="s">
        <v>1393</v>
      </c>
      <c r="S35" s="1222">
        <f t="shared" si="12"/>
        <v>100</v>
      </c>
      <c r="T35" s="1221" t="s">
        <v>1393</v>
      </c>
      <c r="U35" s="1222">
        <f t="shared" si="13"/>
        <v>100</v>
      </c>
      <c r="V35" s="1221" t="s">
        <v>1393</v>
      </c>
      <c r="W35" s="1222">
        <f t="shared" si="14"/>
        <v>100</v>
      </c>
      <c r="X35" s="1223"/>
      <c r="Y35" s="339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8"/>
      <c r="Q36" s="625">
        <f t="shared" si="11"/>
        <v>111</v>
      </c>
      <c r="R36" s="1219" t="s">
        <v>1393</v>
      </c>
      <c r="S36" s="1220">
        <f t="shared" si="12"/>
        <v>100</v>
      </c>
      <c r="T36" s="1219" t="s">
        <v>1393</v>
      </c>
      <c r="U36" s="1220">
        <f t="shared" si="13"/>
        <v>100</v>
      </c>
      <c r="V36" s="1219" t="s">
        <v>1393</v>
      </c>
      <c r="W36" s="1220">
        <f t="shared" si="14"/>
        <v>100</v>
      </c>
      <c r="X36" s="1214"/>
      <c r="Y36" s="3398"/>
      <c r="Z36" s="1204">
        <f t="shared" si="15"/>
        <v>111</v>
      </c>
      <c r="AA36" s="1204">
        <f t="shared" si="3"/>
        <v>1</v>
      </c>
      <c r="AB36" s="1204">
        <f t="shared" si="4"/>
        <v>1</v>
      </c>
      <c r="AC36" s="1204">
        <f t="shared" si="5"/>
        <v>1</v>
      </c>
    </row>
    <row r="37" spans="1:29" ht="14.4">
      <c r="A37" s="1105" t="s">
        <v>1648</v>
      </c>
      <c r="B37" s="1453" t="s">
        <v>1649</v>
      </c>
      <c r="C37" s="1399" t="s">
        <v>124</v>
      </c>
      <c r="D37" s="1108"/>
      <c r="E37" s="1109"/>
      <c r="F37" s="1110"/>
      <c r="G37" s="1111"/>
      <c r="H37" s="1112"/>
      <c r="I37" s="1109"/>
      <c r="J37" s="1112"/>
      <c r="K37" s="1462"/>
      <c r="L37" s="1196"/>
      <c r="M37" s="1122"/>
      <c r="N37" s="1122"/>
      <c r="O37" s="1122"/>
      <c r="P37" s="3384" t="str">
        <f>A37</f>
        <v>成交单价</v>
      </c>
      <c r="Q37" s="3384"/>
      <c r="R37" s="3382">
        <f>E37</f>
        <v>0</v>
      </c>
      <c r="S37" s="3382"/>
      <c r="T37" s="3382">
        <f>G37</f>
        <v>0</v>
      </c>
      <c r="U37" s="3382"/>
      <c r="V37" s="3382">
        <f>I37</f>
        <v>0</v>
      </c>
      <c r="W37" s="3382"/>
      <c r="X37" s="1162"/>
      <c r="Y37" s="1229"/>
      <c r="Z37" s="1162"/>
      <c r="AA37" s="1162"/>
      <c r="AB37" s="1162"/>
      <c r="AC37" s="1162"/>
    </row>
    <row r="38" spans="1:29" ht="14.4">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4.4">
      <c r="A39" s="1119" t="s">
        <v>1650</v>
      </c>
      <c r="B39" s="1120"/>
      <c r="C39" s="1032" t="e">
        <f>R39</f>
        <v>#DIV/0!</v>
      </c>
      <c r="D39" s="1032"/>
      <c r="E39" s="1032"/>
      <c r="F39" s="1032"/>
      <c r="G39" s="1032"/>
      <c r="H39" s="1032"/>
      <c r="I39" s="1032"/>
      <c r="J39" s="1032"/>
      <c r="K39" s="1463"/>
      <c r="L39" s="1196"/>
      <c r="M39" s="1122"/>
      <c r="N39" s="1122"/>
      <c r="O39" s="1122"/>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6">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4.4">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4.4">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4.4">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ht="14.4">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8.8">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ht="14.4">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4.4">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4.4">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4.4">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4.4">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8.8">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4.4">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ht="14.4">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ht="14.4">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ht="14.4">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ht="14.4">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ht="14.4">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ht="14.4">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4.4">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4.4">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4" si="3">D8/F8</f>
        <v>1</v>
      </c>
      <c r="AB8" s="1227">
        <f t="shared" ref="AB8:AB34" si="4">D8/H8</f>
        <v>1</v>
      </c>
      <c r="AC8" s="1227">
        <f t="shared" ref="AC8:AC34" si="5">D8/J8</f>
        <v>1</v>
      </c>
    </row>
    <row r="9" spans="1:29" s="1008" customFormat="1" ht="14.4">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8.8">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7"/>
      <c r="Q15" s="625"/>
      <c r="R15" s="1219"/>
      <c r="S15" s="1220"/>
      <c r="T15" s="1219"/>
      <c r="U15" s="1220"/>
      <c r="V15" s="1219"/>
      <c r="W15" s="1220"/>
      <c r="X15" s="1214"/>
      <c r="Y15" s="339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7"/>
      <c r="Q17" s="625"/>
      <c r="R17" s="1219"/>
      <c r="S17" s="1220"/>
      <c r="T17" s="1219"/>
      <c r="U17" s="1220"/>
      <c r="V17" s="1219"/>
      <c r="W17" s="1220"/>
      <c r="X17" s="1214"/>
      <c r="Y17" s="339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7"/>
      <c r="Q19" s="625"/>
      <c r="R19" s="1219"/>
      <c r="S19" s="1220"/>
      <c r="T19" s="1219"/>
      <c r="U19" s="1220"/>
      <c r="V19" s="1219"/>
      <c r="W19" s="1220"/>
      <c r="X19" s="1214"/>
      <c r="Y19" s="339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7"/>
      <c r="Q21" s="625"/>
      <c r="R21" s="1219"/>
      <c r="S21" s="1220"/>
      <c r="T21" s="1219"/>
      <c r="U21" s="1220"/>
      <c r="V21" s="1219"/>
      <c r="W21" s="1220"/>
      <c r="X21" s="1214"/>
      <c r="Y21" s="339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7"/>
      <c r="Q24" s="625">
        <f t="shared" ref="Q24:Q34"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30">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8"/>
      <c r="Q27" s="1415" t="str">
        <f t="shared" si="11"/>
        <v>成新率</v>
      </c>
      <c r="R27" s="1221" t="s">
        <v>1393</v>
      </c>
      <c r="S27" s="1222" t="e">
        <f t="shared" si="12"/>
        <v>#N/A</v>
      </c>
      <c r="T27" s="1221" t="s">
        <v>1393</v>
      </c>
      <c r="U27" s="1222" t="e">
        <f t="shared" si="13"/>
        <v>#N/A</v>
      </c>
      <c r="V27" s="1221" t="s">
        <v>1393</v>
      </c>
      <c r="W27" s="1222" t="e">
        <f t="shared" si="14"/>
        <v>#N/A</v>
      </c>
      <c r="X27" s="1223"/>
      <c r="Y27" s="339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8"/>
      <c r="Q28" s="625" t="str">
        <f t="shared" si="11"/>
        <v>物业等级</v>
      </c>
      <c r="R28" s="1219" t="s">
        <v>1393</v>
      </c>
      <c r="S28" s="1220">
        <f t="shared" si="12"/>
        <v>100</v>
      </c>
      <c r="T28" s="1219" t="s">
        <v>1393</v>
      </c>
      <c r="U28" s="1220">
        <f t="shared" si="13"/>
        <v>100</v>
      </c>
      <c r="V28" s="1219" t="s">
        <v>1393</v>
      </c>
      <c r="W28" s="1220">
        <f t="shared" si="14"/>
        <v>100</v>
      </c>
      <c r="X28" s="1214"/>
      <c r="Y28" s="339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8"/>
      <c r="Q29" s="625" t="str">
        <f t="shared" si="11"/>
        <v>有无电梯</v>
      </c>
      <c r="R29" s="1219" t="s">
        <v>1393</v>
      </c>
      <c r="S29" s="1220">
        <f t="shared" si="12"/>
        <v>100</v>
      </c>
      <c r="T29" s="1219" t="s">
        <v>1393</v>
      </c>
      <c r="U29" s="1220">
        <f t="shared" si="13"/>
        <v>100</v>
      </c>
      <c r="V29" s="1219" t="s">
        <v>1393</v>
      </c>
      <c r="W29" s="1220">
        <f t="shared" si="14"/>
        <v>100</v>
      </c>
      <c r="X29" s="1214"/>
      <c r="Y29" s="339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8"/>
      <c r="Q30" s="625" t="str">
        <f t="shared" si="11"/>
        <v>建筑面积</v>
      </c>
      <c r="R30" s="1219" t="s">
        <v>1393</v>
      </c>
      <c r="S30" s="1220" t="e">
        <f t="shared" si="12"/>
        <v>#N/A</v>
      </c>
      <c r="T30" s="1219" t="s">
        <v>1393</v>
      </c>
      <c r="U30" s="1220" t="e">
        <f t="shared" si="13"/>
        <v>#N/A</v>
      </c>
      <c r="V30" s="1219" t="s">
        <v>1393</v>
      </c>
      <c r="W30" s="1220" t="e">
        <f t="shared" si="14"/>
        <v>#N/A</v>
      </c>
      <c r="X30" s="1214"/>
      <c r="Y30" s="339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8"/>
      <c r="Q31" s="794" t="str">
        <f t="shared" si="11"/>
        <v>是否封闭</v>
      </c>
      <c r="R31" s="1215" t="s">
        <v>1393</v>
      </c>
      <c r="S31" s="1216">
        <f t="shared" si="12"/>
        <v>100</v>
      </c>
      <c r="T31" s="1215" t="s">
        <v>1393</v>
      </c>
      <c r="U31" s="1216">
        <f t="shared" si="13"/>
        <v>100</v>
      </c>
      <c r="V31" s="1215" t="s">
        <v>1393</v>
      </c>
      <c r="W31" s="1216">
        <f t="shared" si="14"/>
        <v>100</v>
      </c>
      <c r="X31" s="1217"/>
      <c r="Y31" s="339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8" t="s">
        <v>1421</v>
      </c>
      <c r="Q32" s="625">
        <f t="shared" si="11"/>
        <v>111</v>
      </c>
      <c r="R32" s="1219" t="s">
        <v>1393</v>
      </c>
      <c r="S32" s="1220">
        <f t="shared" si="12"/>
        <v>100</v>
      </c>
      <c r="T32" s="1219" t="s">
        <v>1393</v>
      </c>
      <c r="U32" s="1220">
        <f t="shared" si="13"/>
        <v>100</v>
      </c>
      <c r="V32" s="1219" t="s">
        <v>1393</v>
      </c>
      <c r="W32" s="1220">
        <f t="shared" si="14"/>
        <v>100</v>
      </c>
      <c r="X32" s="1214"/>
      <c r="Y32" s="339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8"/>
      <c r="Q33" s="625">
        <f t="shared" si="11"/>
        <v>111</v>
      </c>
      <c r="R33" s="1219" t="s">
        <v>1393</v>
      </c>
      <c r="S33" s="1220">
        <f t="shared" si="12"/>
        <v>100</v>
      </c>
      <c r="T33" s="1219" t="s">
        <v>1393</v>
      </c>
      <c r="U33" s="1220">
        <f t="shared" si="13"/>
        <v>100</v>
      </c>
      <c r="V33" s="1219" t="s">
        <v>1393</v>
      </c>
      <c r="W33" s="1220">
        <f t="shared" si="14"/>
        <v>100</v>
      </c>
      <c r="X33" s="1214"/>
      <c r="Y33" s="339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30" ht="14.4">
      <c r="A35" s="1105" t="s">
        <v>1437</v>
      </c>
      <c r="B35" s="1398"/>
      <c r="C35" s="1399" t="s">
        <v>124</v>
      </c>
      <c r="D35" s="1108"/>
      <c r="E35" s="1109"/>
      <c r="F35" s="1110"/>
      <c r="G35" s="1111"/>
      <c r="H35" s="1112"/>
      <c r="I35" s="1109"/>
      <c r="J35" s="1112"/>
      <c r="K35" s="1195"/>
      <c r="L35" s="1196"/>
      <c r="M35" s="1122"/>
      <c r="N35" s="1122"/>
      <c r="O35" s="1122"/>
      <c r="P35" s="3384" t="str">
        <f>A35</f>
        <v>成交单价（元/平方米）</v>
      </c>
      <c r="Q35" s="3384"/>
      <c r="R35" s="3382">
        <f>E35</f>
        <v>0</v>
      </c>
      <c r="S35" s="3382"/>
      <c r="T35" s="3382">
        <f>G35</f>
        <v>0</v>
      </c>
      <c r="U35" s="3382"/>
      <c r="V35" s="3382">
        <f>I35</f>
        <v>0</v>
      </c>
      <c r="W35" s="3382"/>
      <c r="X35" s="1162"/>
      <c r="Y35" s="1229"/>
      <c r="Z35" s="1162"/>
      <c r="AA35" s="1162"/>
      <c r="AB35" s="1162"/>
      <c r="AC35" s="1162"/>
    </row>
    <row r="36" spans="1:30" ht="14.4">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4.4">
      <c r="A37" s="1119" t="s">
        <v>1440</v>
      </c>
      <c r="B37" s="1120"/>
      <c r="C37" s="1032" t="e">
        <f>R37</f>
        <v>#DIV/0!</v>
      </c>
      <c r="D37" s="1032"/>
      <c r="E37" s="1032"/>
      <c r="F37" s="1032"/>
      <c r="G37" s="1032"/>
      <c r="H37" s="1032"/>
      <c r="I37" s="1032"/>
      <c r="J37" s="1032"/>
      <c r="K37" s="1198"/>
      <c r="L37" s="1196"/>
      <c r="M37" s="1122"/>
      <c r="N37" s="1122"/>
      <c r="O37" s="1122"/>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4.4">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4.4">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4.4">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ht="14.4">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8.8">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ht="14.4">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8.8">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4.4">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4.4">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4.4">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ht="14.4">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4.4">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ht="14.4">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ht="14.4">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ht="14.4">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ht="14.4">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4.4">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4.4">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5" si="3">D8/F8</f>
        <v>#DIV/0!</v>
      </c>
      <c r="AB8" s="1227" t="e">
        <f t="shared" ref="AB8:AB45" si="4">D8/H8</f>
        <v>#DIV/0!</v>
      </c>
      <c r="AC8" s="1227" t="e">
        <f t="shared" ref="AC8:AC45" si="5">D8/J8</f>
        <v>#DIV/0!</v>
      </c>
    </row>
    <row r="9" spans="1:29" s="1008" customFormat="1" ht="14.4">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4"/>
      <c r="Q12" s="794" t="str">
        <f t="shared" si="6"/>
        <v>配建</v>
      </c>
      <c r="R12" s="1215" t="s">
        <v>1393</v>
      </c>
      <c r="S12" s="1216">
        <f t="shared" si="0"/>
        <v>100</v>
      </c>
      <c r="T12" s="1215" t="s">
        <v>1393</v>
      </c>
      <c r="U12" s="1216">
        <f t="shared" si="1"/>
        <v>100</v>
      </c>
      <c r="V12" s="1215" t="s">
        <v>1393</v>
      </c>
      <c r="W12" s="1216">
        <f t="shared" si="2"/>
        <v>100</v>
      </c>
      <c r="X12" s="1217"/>
      <c r="Y12" s="327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6"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7"/>
      <c r="Q17" s="625" t="str">
        <f>B17</f>
        <v>商业繁华度</v>
      </c>
      <c r="R17" s="1219" t="s">
        <v>1393</v>
      </c>
      <c r="S17" s="1220">
        <f>F17</f>
        <v>100</v>
      </c>
      <c r="T17" s="1219" t="s">
        <v>1393</v>
      </c>
      <c r="U17" s="1220">
        <f>H17</f>
        <v>100</v>
      </c>
      <c r="V17" s="1219" t="s">
        <v>1393</v>
      </c>
      <c r="W17" s="1220">
        <f>J17</f>
        <v>100</v>
      </c>
      <c r="X17" s="1214"/>
      <c r="Y17" s="339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7"/>
      <c r="Q19" s="625" t="str">
        <f>B19</f>
        <v>办公集聚程度</v>
      </c>
      <c r="R19" s="1219" t="s">
        <v>1393</v>
      </c>
      <c r="S19" s="1220">
        <f>F19</f>
        <v>100</v>
      </c>
      <c r="T19" s="1219" t="s">
        <v>1393</v>
      </c>
      <c r="U19" s="1220">
        <f>H19</f>
        <v>100</v>
      </c>
      <c r="V19" s="1219" t="s">
        <v>1393</v>
      </c>
      <c r="W19" s="1220">
        <f>J19</f>
        <v>100</v>
      </c>
      <c r="X19" s="1214"/>
      <c r="Y19" s="339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7"/>
      <c r="Q20" s="625"/>
      <c r="R20" s="1219"/>
      <c r="S20" s="1220"/>
      <c r="T20" s="1219"/>
      <c r="U20" s="1220"/>
      <c r="V20" s="1219"/>
      <c r="W20" s="1220"/>
      <c r="X20" s="1214"/>
      <c r="Y20" s="339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7"/>
      <c r="Q21" s="625" t="str">
        <f>B21</f>
        <v>交通便捷度</v>
      </c>
      <c r="R21" s="1219" t="s">
        <v>1393</v>
      </c>
      <c r="S21" s="1220">
        <f>F21</f>
        <v>100</v>
      </c>
      <c r="T21" s="1219" t="s">
        <v>1393</v>
      </c>
      <c r="U21" s="1220">
        <f>H21</f>
        <v>100</v>
      </c>
      <c r="V21" s="1219" t="s">
        <v>1393</v>
      </c>
      <c r="W21" s="1220">
        <f>J21</f>
        <v>100</v>
      </c>
      <c r="X21" s="1214"/>
      <c r="Y21" s="339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ht="28.8">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7"/>
      <c r="Q23" s="625" t="str">
        <f t="shared" ref="Q23:Q38" si="8">B23</f>
        <v>区域土地利用方向</v>
      </c>
      <c r="R23" s="1219" t="s">
        <v>1393</v>
      </c>
      <c r="S23" s="1220">
        <f>F23</f>
        <v>100</v>
      </c>
      <c r="T23" s="1219" t="s">
        <v>1393</v>
      </c>
      <c r="U23" s="1220">
        <f>H23</f>
        <v>100</v>
      </c>
      <c r="V23" s="1219" t="s">
        <v>1393</v>
      </c>
      <c r="W23" s="1220">
        <f>J23</f>
        <v>100</v>
      </c>
      <c r="X23" s="1214"/>
      <c r="Y23" s="339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7"/>
      <c r="Q24" s="625"/>
      <c r="R24" s="1219"/>
      <c r="S24" s="1220"/>
      <c r="T24" s="1219"/>
      <c r="U24" s="1220"/>
      <c r="V24" s="1219"/>
      <c r="W24" s="1220"/>
      <c r="X24" s="1214"/>
      <c r="Y24" s="3397"/>
      <c r="Z24" s="1204"/>
      <c r="AA24" s="1204"/>
      <c r="AB24" s="1204"/>
      <c r="AC24" s="1204"/>
    </row>
    <row r="25" spans="1:29" ht="28.8">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7"/>
      <c r="Q25" s="625" t="str">
        <f t="shared" si="8"/>
        <v>自然及人文环境状况</v>
      </c>
      <c r="R25" s="1219" t="s">
        <v>1393</v>
      </c>
      <c r="S25" s="1220">
        <f>F25</f>
        <v>100</v>
      </c>
      <c r="T25" s="1219" t="s">
        <v>1393</v>
      </c>
      <c r="U25" s="1220">
        <f>H25</f>
        <v>100</v>
      </c>
      <c r="V25" s="1219" t="s">
        <v>1393</v>
      </c>
      <c r="W25" s="1220">
        <f>J25</f>
        <v>100</v>
      </c>
      <c r="X25" s="1214"/>
      <c r="Y25" s="339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7"/>
      <c r="Q26" s="625"/>
      <c r="R26" s="1219"/>
      <c r="S26" s="1220"/>
      <c r="T26" s="1219"/>
      <c r="U26" s="1220"/>
      <c r="V26" s="1219"/>
      <c r="W26" s="1220"/>
      <c r="X26" s="1214"/>
      <c r="Y26" s="339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7"/>
      <c r="Q27" s="794" t="str">
        <f t="shared" si="8"/>
        <v>公共配套设施</v>
      </c>
      <c r="R27" s="1215" t="s">
        <v>1393</v>
      </c>
      <c r="S27" s="1216">
        <f>F27</f>
        <v>100</v>
      </c>
      <c r="T27" s="1215" t="s">
        <v>1393</v>
      </c>
      <c r="U27" s="1216">
        <f>H27</f>
        <v>100</v>
      </c>
      <c r="V27" s="1215" t="s">
        <v>1393</v>
      </c>
      <c r="W27" s="1216">
        <f>J27</f>
        <v>100</v>
      </c>
      <c r="X27" s="1217"/>
      <c r="Y27" s="339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7"/>
      <c r="Q28" s="794"/>
      <c r="R28" s="1215"/>
      <c r="S28" s="1216"/>
      <c r="T28" s="1215"/>
      <c r="U28" s="1216"/>
      <c r="V28" s="1215"/>
      <c r="W28" s="1216"/>
      <c r="X28" s="1217"/>
      <c r="Y28" s="339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7"/>
      <c r="Q29" s="794" t="str">
        <f t="shared" ref="Q29" si="9">B29</f>
        <v>基础设施水平</v>
      </c>
      <c r="R29" s="1215" t="s">
        <v>1393</v>
      </c>
      <c r="S29" s="1216">
        <f>F29</f>
        <v>100</v>
      </c>
      <c r="T29" s="1215" t="s">
        <v>1393</v>
      </c>
      <c r="U29" s="1216">
        <f>H29</f>
        <v>100</v>
      </c>
      <c r="V29" s="1215" t="s">
        <v>1393</v>
      </c>
      <c r="W29" s="1216">
        <f>J29</f>
        <v>100</v>
      </c>
      <c r="X29" s="1217"/>
      <c r="Y29" s="339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7"/>
      <c r="Q30" s="794"/>
      <c r="R30" s="1215"/>
      <c r="S30" s="1216"/>
      <c r="T30" s="1215"/>
      <c r="U30" s="1216"/>
      <c r="V30" s="1215"/>
      <c r="W30" s="1216"/>
      <c r="X30" s="1217"/>
      <c r="Y30" s="339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7"/>
      <c r="Z31" s="1204" t="str">
        <f t="shared" ref="Z31:Z45" si="13">Q31</f>
        <v>临街状况</v>
      </c>
      <c r="AA31" s="1204">
        <f t="shared" si="3"/>
        <v>1</v>
      </c>
      <c r="AB31" s="1204">
        <f t="shared" si="4"/>
        <v>1</v>
      </c>
      <c r="AC31" s="1204">
        <f t="shared" si="5"/>
        <v>1</v>
      </c>
    </row>
    <row r="32" spans="1:29" ht="28.8">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7"/>
      <c r="Q32" s="625" t="str">
        <f t="shared" si="8"/>
        <v>毗邻道路的类型与等级</v>
      </c>
      <c r="R32" s="1219" t="s">
        <v>1393</v>
      </c>
      <c r="S32" s="1220">
        <f t="shared" si="10"/>
        <v>100</v>
      </c>
      <c r="T32" s="1219" t="s">
        <v>1393</v>
      </c>
      <c r="U32" s="1220">
        <f t="shared" si="11"/>
        <v>100</v>
      </c>
      <c r="V32" s="1219" t="s">
        <v>1393</v>
      </c>
      <c r="W32" s="1220">
        <f t="shared" si="12"/>
        <v>100</v>
      </c>
      <c r="X32" s="1214"/>
      <c r="Y32" s="339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7"/>
      <c r="Q33" s="625"/>
      <c r="R33" s="1219"/>
      <c r="S33" s="1220"/>
      <c r="T33" s="1219"/>
      <c r="U33" s="1220"/>
      <c r="V33" s="1219"/>
      <c r="W33" s="1220"/>
      <c r="X33" s="1214"/>
      <c r="Y33" s="339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7"/>
      <c r="Q34" s="625" t="str">
        <f t="shared" si="8"/>
        <v>土地级别</v>
      </c>
      <c r="R34" s="1219" t="s">
        <v>1393</v>
      </c>
      <c r="S34" s="1220">
        <f t="shared" si="10"/>
        <v>100</v>
      </c>
      <c r="T34" s="1219" t="s">
        <v>1393</v>
      </c>
      <c r="U34" s="1220">
        <f t="shared" si="11"/>
        <v>100</v>
      </c>
      <c r="V34" s="1219" t="s">
        <v>1393</v>
      </c>
      <c r="W34" s="1220">
        <f t="shared" si="12"/>
        <v>100</v>
      </c>
      <c r="X34" s="1214"/>
      <c r="Y34" s="339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7"/>
      <c r="Q35" s="625">
        <f t="shared" si="8"/>
        <v>111</v>
      </c>
      <c r="R35" s="1219" t="s">
        <v>1393</v>
      </c>
      <c r="S35" s="1220">
        <f t="shared" si="10"/>
        <v>100</v>
      </c>
      <c r="T35" s="1219" t="s">
        <v>1393</v>
      </c>
      <c r="U35" s="1220">
        <f t="shared" si="11"/>
        <v>100</v>
      </c>
      <c r="V35" s="1219" t="s">
        <v>1393</v>
      </c>
      <c r="W35" s="1220">
        <f t="shared" si="12"/>
        <v>100</v>
      </c>
      <c r="X35" s="1214"/>
      <c r="Y35" s="339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9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8"/>
      <c r="Q37" s="625">
        <f t="shared" si="8"/>
        <v>111</v>
      </c>
      <c r="R37" s="1221" t="s">
        <v>1393</v>
      </c>
      <c r="S37" s="1222">
        <f t="shared" si="10"/>
        <v>100</v>
      </c>
      <c r="T37" s="1221" t="s">
        <v>1393</v>
      </c>
      <c r="U37" s="1222">
        <f t="shared" si="11"/>
        <v>100</v>
      </c>
      <c r="V37" s="1221" t="s">
        <v>1393</v>
      </c>
      <c r="W37" s="1222">
        <f t="shared" si="12"/>
        <v>100</v>
      </c>
      <c r="X37" s="1223"/>
      <c r="Y37" s="3398"/>
      <c r="Z37" s="1228">
        <f t="shared" si="13"/>
        <v>111</v>
      </c>
      <c r="AA37" s="1204">
        <f t="shared" si="3"/>
        <v>1</v>
      </c>
      <c r="AB37" s="1204">
        <f t="shared" si="4"/>
        <v>1</v>
      </c>
      <c r="AC37" s="1204">
        <f t="shared" si="5"/>
        <v>1</v>
      </c>
    </row>
    <row r="38" spans="1:29" ht="15.6">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8"/>
      <c r="Q38" s="625" t="str">
        <f t="shared" si="8"/>
        <v>宗地面积</v>
      </c>
      <c r="R38" s="1219" t="s">
        <v>1393</v>
      </c>
      <c r="S38" s="1220" t="e">
        <f t="shared" si="10"/>
        <v>#N/A</v>
      </c>
      <c r="T38" s="1219" t="s">
        <v>1393</v>
      </c>
      <c r="U38" s="1220" t="e">
        <f t="shared" si="11"/>
        <v>#N/A</v>
      </c>
      <c r="V38" s="1219" t="s">
        <v>1393</v>
      </c>
      <c r="W38" s="1220" t="e">
        <f t="shared" si="12"/>
        <v>#N/A</v>
      </c>
      <c r="X38" s="1214"/>
      <c r="Y38" s="339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8"/>
      <c r="Q39" s="625" t="str">
        <f t="shared" ref="Q39:Q45" si="14">B39</f>
        <v>宗地形状</v>
      </c>
      <c r="R39" s="1219" t="s">
        <v>1393</v>
      </c>
      <c r="S39" s="1220">
        <f t="shared" si="10"/>
        <v>100</v>
      </c>
      <c r="T39" s="1219" t="s">
        <v>1393</v>
      </c>
      <c r="U39" s="1220">
        <f t="shared" si="11"/>
        <v>100</v>
      </c>
      <c r="V39" s="1219" t="s">
        <v>1393</v>
      </c>
      <c r="W39" s="1220">
        <f t="shared" si="12"/>
        <v>100</v>
      </c>
      <c r="X39" s="1214"/>
      <c r="Y39" s="339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8"/>
      <c r="Q40" s="625" t="str">
        <f t="shared" si="14"/>
        <v>临街宽度及深度</v>
      </c>
      <c r="R40" s="1219" t="s">
        <v>1393</v>
      </c>
      <c r="S40" s="1220">
        <f t="shared" si="10"/>
        <v>100</v>
      </c>
      <c r="T40" s="1219" t="s">
        <v>1393</v>
      </c>
      <c r="U40" s="1220">
        <f t="shared" si="11"/>
        <v>100</v>
      </c>
      <c r="V40" s="1219" t="s">
        <v>1393</v>
      </c>
      <c r="W40" s="1220">
        <f t="shared" si="12"/>
        <v>100</v>
      </c>
      <c r="X40" s="1214"/>
      <c r="Y40" s="339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8"/>
      <c r="Q41" s="625" t="str">
        <f t="shared" si="14"/>
        <v>宗地开发程度</v>
      </c>
      <c r="R41" s="1215" t="s">
        <v>1393</v>
      </c>
      <c r="S41" s="1216">
        <f t="shared" si="10"/>
        <v>100</v>
      </c>
      <c r="T41" s="1215" t="s">
        <v>1393</v>
      </c>
      <c r="U41" s="1216">
        <f t="shared" si="11"/>
        <v>100</v>
      </c>
      <c r="V41" s="1215" t="s">
        <v>1393</v>
      </c>
      <c r="W41" s="1216">
        <f t="shared" si="12"/>
        <v>100</v>
      </c>
      <c r="X41" s="1217"/>
      <c r="Y41" s="339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8" t="s">
        <v>1421</v>
      </c>
      <c r="Q42" s="625" t="str">
        <f t="shared" si="14"/>
        <v>工程地质条件</v>
      </c>
      <c r="R42" s="1219" t="s">
        <v>1393</v>
      </c>
      <c r="S42" s="1220">
        <f t="shared" si="10"/>
        <v>100</v>
      </c>
      <c r="T42" s="1219" t="s">
        <v>1393</v>
      </c>
      <c r="U42" s="1220">
        <f t="shared" si="11"/>
        <v>100</v>
      </c>
      <c r="V42" s="1219" t="s">
        <v>1393</v>
      </c>
      <c r="W42" s="1220">
        <f t="shared" si="12"/>
        <v>100</v>
      </c>
      <c r="X42" s="1214"/>
      <c r="Y42" s="339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8"/>
      <c r="Q43" s="625">
        <f t="shared" si="14"/>
        <v>111</v>
      </c>
      <c r="R43" s="1219" t="s">
        <v>1393</v>
      </c>
      <c r="S43" s="1220">
        <f t="shared" si="10"/>
        <v>100</v>
      </c>
      <c r="T43" s="1219" t="s">
        <v>1393</v>
      </c>
      <c r="U43" s="1220">
        <f t="shared" si="11"/>
        <v>100</v>
      </c>
      <c r="V43" s="1219" t="s">
        <v>1393</v>
      </c>
      <c r="W43" s="1220">
        <f t="shared" si="12"/>
        <v>100</v>
      </c>
      <c r="X43" s="1214"/>
      <c r="Y43" s="339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8"/>
      <c r="Q44" s="625">
        <f t="shared" si="14"/>
        <v>111</v>
      </c>
      <c r="R44" s="1219" t="s">
        <v>1393</v>
      </c>
      <c r="S44" s="1220">
        <f t="shared" si="10"/>
        <v>100</v>
      </c>
      <c r="T44" s="1219" t="s">
        <v>1393</v>
      </c>
      <c r="U44" s="1220">
        <f t="shared" si="11"/>
        <v>100</v>
      </c>
      <c r="V44" s="1219" t="s">
        <v>1393</v>
      </c>
      <c r="W44" s="1220">
        <f t="shared" si="12"/>
        <v>100</v>
      </c>
      <c r="X44" s="1214"/>
      <c r="Y44" s="339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8"/>
      <c r="Q45" s="625">
        <f t="shared" si="14"/>
        <v>111</v>
      </c>
      <c r="R45" s="1221" t="s">
        <v>1393</v>
      </c>
      <c r="S45" s="1222">
        <f t="shared" si="10"/>
        <v>100</v>
      </c>
      <c r="T45" s="1221" t="s">
        <v>1393</v>
      </c>
      <c r="U45" s="1222">
        <f t="shared" si="11"/>
        <v>100</v>
      </c>
      <c r="V45" s="1221" t="s">
        <v>1393</v>
      </c>
      <c r="W45" s="1222">
        <f t="shared" si="12"/>
        <v>100</v>
      </c>
      <c r="X45" s="1223"/>
      <c r="Y45" s="3398"/>
      <c r="Z45" s="1228">
        <f t="shared" si="13"/>
        <v>111</v>
      </c>
      <c r="AA45" s="1204">
        <f t="shared" si="3"/>
        <v>1</v>
      </c>
      <c r="AB45" s="1204">
        <f t="shared" si="4"/>
        <v>1</v>
      </c>
      <c r="AC45" s="1204">
        <f t="shared" si="5"/>
        <v>1</v>
      </c>
    </row>
    <row r="46" spans="1:29" ht="14.4">
      <c r="A46" s="1105" t="s">
        <v>1648</v>
      </c>
      <c r="B46" s="1106" t="s">
        <v>1667</v>
      </c>
      <c r="C46" s="1107" t="s">
        <v>124</v>
      </c>
      <c r="D46" s="1108"/>
      <c r="E46" s="1109"/>
      <c r="F46" s="1110"/>
      <c r="G46" s="1111"/>
      <c r="H46" s="1112"/>
      <c r="I46" s="1109"/>
      <c r="J46" s="1112"/>
      <c r="K46" s="1195"/>
      <c r="L46" s="1196"/>
      <c r="M46" s="1122"/>
      <c r="N46" s="1122"/>
      <c r="O46" s="1122"/>
      <c r="P46" s="3384" t="str">
        <f>A46</f>
        <v>成交单价</v>
      </c>
      <c r="Q46" s="3384"/>
      <c r="R46" s="3382">
        <f>E46</f>
        <v>0</v>
      </c>
      <c r="S46" s="3382"/>
      <c r="T46" s="3382">
        <f>G46</f>
        <v>0</v>
      </c>
      <c r="U46" s="3382"/>
      <c r="V46" s="3382">
        <f>I46</f>
        <v>0</v>
      </c>
      <c r="W46" s="3382"/>
      <c r="X46" s="1162"/>
      <c r="Y46" s="1229"/>
      <c r="Z46" s="1162"/>
      <c r="AA46" s="1162"/>
      <c r="AB46" s="1162"/>
      <c r="AC46" s="1162"/>
    </row>
    <row r="47" spans="1:29" ht="14.4">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4" t="str">
        <f>A47</f>
        <v>比较价值（元/平方米）</v>
      </c>
      <c r="Q47" s="3384"/>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4.4">
      <c r="A48" s="1119" t="s">
        <v>1668</v>
      </c>
      <c r="B48" s="1120"/>
      <c r="C48" s="1121" t="e">
        <f>R48</f>
        <v>#DIV/0!</v>
      </c>
      <c r="D48" s="1121"/>
      <c r="E48" s="1121"/>
      <c r="F48" s="1121"/>
      <c r="G48" s="1121"/>
      <c r="H48" s="1121"/>
      <c r="I48" s="1121"/>
      <c r="J48" s="1121"/>
      <c r="K48" s="1198"/>
      <c r="L48" s="1196"/>
      <c r="M48" s="1122"/>
      <c r="N48" s="1122"/>
      <c r="O48" s="1122"/>
      <c r="P48" s="3418" t="str">
        <f>A48</f>
        <v>估价对象XX用房的比较价值（楼面单价，元/平方米）</v>
      </c>
      <c r="Q48" s="3419"/>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5"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115</v>
      </c>
      <c r="F56" s="1345" t="e">
        <f t="shared" ref="F56:F64" si="15">ROUND(B56*E56/10000,0)</f>
        <v>#DIV/0!</v>
      </c>
      <c r="G56" s="3383"/>
      <c r="H56" s="3384"/>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3.2">
      <c r="A65" s="1153" t="s">
        <v>1691</v>
      </c>
      <c r="B65" s="1154" t="s">
        <v>1692</v>
      </c>
      <c r="C65" s="1154" t="s">
        <v>1692</v>
      </c>
      <c r="D65" s="1154" t="s">
        <v>1692</v>
      </c>
      <c r="E65" s="1154">
        <f>IF(B46="楼面地价",SUM(E56:E64),'数据-汇总表'!D3)</f>
        <v>115</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6">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4.4">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4.4">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4.4">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ht="14.4">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8.8">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4.4">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ht="14.4">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4.4">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4.4">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4.4">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28.8">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8.8">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4.4">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4.4">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4.4">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8.8">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4.4">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14.4">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ht="14.4">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ht="14.4">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ht="14.4">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ht="14.4">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4.4">
      <c r="A6" s="1031"/>
      <c r="B6" s="1032"/>
      <c r="C6" s="3450" t="s">
        <v>1699</v>
      </c>
      <c r="D6" s="3451"/>
      <c r="E6" s="3452" t="s">
        <v>1699</v>
      </c>
      <c r="F6" s="3453"/>
      <c r="G6" s="3450" t="s">
        <v>1699</v>
      </c>
      <c r="H6" s="3451"/>
      <c r="I6" s="3450" t="s">
        <v>1699</v>
      </c>
      <c r="J6" s="345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4.4">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4.4">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0" si="3">D8/F8</f>
        <v>#DIV/0!</v>
      </c>
      <c r="AB8" s="1227" t="e">
        <f t="shared" ref="AB8:AB40" si="4">D8/H8</f>
        <v>#DIV/0!</v>
      </c>
      <c r="AC8" s="1227" t="e">
        <f t="shared" ref="AC8:AC40" si="5">D8/J8</f>
        <v>#DIV/0!</v>
      </c>
    </row>
    <row r="9" spans="1:29" s="1008" customFormat="1" ht="14.4">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69">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96.6">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28.8">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7"/>
      <c r="Q19" s="625" t="str">
        <f t="shared" ref="Q19:Q34" si="8">B19</f>
        <v>区域土地利用方向</v>
      </c>
      <c r="R19" s="1219" t="s">
        <v>1393</v>
      </c>
      <c r="S19" s="1220">
        <f>F19</f>
        <v>100</v>
      </c>
      <c r="T19" s="1219" t="s">
        <v>1393</v>
      </c>
      <c r="U19" s="1220">
        <f>H19</f>
        <v>100</v>
      </c>
      <c r="V19" s="1219" t="s">
        <v>1393</v>
      </c>
      <c r="W19" s="1220">
        <f>J19</f>
        <v>100</v>
      </c>
      <c r="X19" s="1214"/>
      <c r="Y19" s="339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7"/>
      <c r="Q20" s="625"/>
      <c r="R20" s="1219"/>
      <c r="S20" s="1220"/>
      <c r="T20" s="1219"/>
      <c r="U20" s="1220"/>
      <c r="V20" s="1219"/>
      <c r="W20" s="1220"/>
      <c r="X20" s="1214"/>
      <c r="Y20" s="3397"/>
      <c r="Z20" s="1204"/>
      <c r="AA20" s="1204"/>
      <c r="AB20" s="1204"/>
      <c r="AC20" s="1204"/>
    </row>
    <row r="21" spans="1:29" ht="82.8">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7"/>
      <c r="Q21" s="625" t="str">
        <f t="shared" si="8"/>
        <v>环境状况</v>
      </c>
      <c r="R21" s="1219" t="s">
        <v>1393</v>
      </c>
      <c r="S21" s="1220">
        <f>F21</f>
        <v>100</v>
      </c>
      <c r="T21" s="1219" t="s">
        <v>1393</v>
      </c>
      <c r="U21" s="1220">
        <f>H21</f>
        <v>100</v>
      </c>
      <c r="V21" s="1219" t="s">
        <v>1393</v>
      </c>
      <c r="W21" s="1220">
        <f>J21</f>
        <v>100</v>
      </c>
      <c r="X21" s="1214"/>
      <c r="Y21" s="339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s="1008" customFormat="1" ht="41.4">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7"/>
      <c r="Q23" s="794" t="str">
        <f t="shared" si="8"/>
        <v>公共配套设施</v>
      </c>
      <c r="R23" s="1215" t="s">
        <v>1393</v>
      </c>
      <c r="S23" s="1216">
        <f>F23</f>
        <v>100</v>
      </c>
      <c r="T23" s="1215" t="s">
        <v>1393</v>
      </c>
      <c r="U23" s="1216">
        <f>H23</f>
        <v>100</v>
      </c>
      <c r="V23" s="1215" t="s">
        <v>1393</v>
      </c>
      <c r="W23" s="1216">
        <f>J23</f>
        <v>100</v>
      </c>
      <c r="X23" s="1217"/>
      <c r="Y23" s="339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7"/>
      <c r="Q24" s="794"/>
      <c r="R24" s="1215"/>
      <c r="S24" s="1216"/>
      <c r="T24" s="1215"/>
      <c r="U24" s="1216"/>
      <c r="V24" s="1215"/>
      <c r="W24" s="1216"/>
      <c r="X24" s="1217"/>
      <c r="Y24" s="3397"/>
      <c r="Z24" s="1227"/>
      <c r="AA24" s="1227">
        <v>1</v>
      </c>
      <c r="AB24" s="1227">
        <v>1</v>
      </c>
      <c r="AC24" s="1227">
        <v>1</v>
      </c>
    </row>
    <row r="25" spans="1:29" s="1008" customFormat="1" ht="41.4">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7"/>
      <c r="Q25" s="794" t="str">
        <f t="shared" ref="Q25" si="9">B25</f>
        <v>基础设施水平</v>
      </c>
      <c r="R25" s="1215" t="s">
        <v>1393</v>
      </c>
      <c r="S25" s="1216">
        <f>F25</f>
        <v>100</v>
      </c>
      <c r="T25" s="1215" t="s">
        <v>1393</v>
      </c>
      <c r="U25" s="1216">
        <f>H25</f>
        <v>100</v>
      </c>
      <c r="V25" s="1215" t="s">
        <v>1393</v>
      </c>
      <c r="W25" s="1216">
        <f>J25</f>
        <v>100</v>
      </c>
      <c r="X25" s="1217"/>
      <c r="Y25" s="339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7"/>
      <c r="Q26" s="794"/>
      <c r="R26" s="1215"/>
      <c r="S26" s="1216"/>
      <c r="T26" s="1215"/>
      <c r="U26" s="1216"/>
      <c r="V26" s="1215"/>
      <c r="W26" s="1216"/>
      <c r="X26" s="1217"/>
      <c r="Y26" s="339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7"/>
      <c r="Z27" s="1204" t="str">
        <f t="shared" ref="Z27:Z40" si="13">Q27</f>
        <v>临街状况</v>
      </c>
      <c r="AA27" s="1204">
        <f t="shared" si="3"/>
        <v>1</v>
      </c>
      <c r="AB27" s="1204">
        <f t="shared" si="4"/>
        <v>1</v>
      </c>
      <c r="AC27" s="1204">
        <f t="shared" si="5"/>
        <v>1</v>
      </c>
    </row>
    <row r="28" spans="1:29" ht="28.8">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7"/>
      <c r="Q28" s="625" t="str">
        <f t="shared" si="8"/>
        <v>毗邻道路的类型与等级</v>
      </c>
      <c r="R28" s="1219" t="s">
        <v>1393</v>
      </c>
      <c r="S28" s="1220">
        <f t="shared" si="10"/>
        <v>100</v>
      </c>
      <c r="T28" s="1219" t="s">
        <v>1393</v>
      </c>
      <c r="U28" s="1220">
        <f t="shared" si="11"/>
        <v>100</v>
      </c>
      <c r="V28" s="1219" t="s">
        <v>1393</v>
      </c>
      <c r="W28" s="1220">
        <f t="shared" si="12"/>
        <v>100</v>
      </c>
      <c r="X28" s="1214"/>
      <c r="Y28" s="339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7"/>
      <c r="Q29" s="625"/>
      <c r="R29" s="1219"/>
      <c r="S29" s="1220"/>
      <c r="T29" s="1219"/>
      <c r="U29" s="1220"/>
      <c r="V29" s="1219"/>
      <c r="W29" s="1220"/>
      <c r="X29" s="1214"/>
      <c r="Y29" s="339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7"/>
      <c r="Q30" s="625" t="str">
        <f t="shared" si="8"/>
        <v>土地级别</v>
      </c>
      <c r="R30" s="1219" t="s">
        <v>1393</v>
      </c>
      <c r="S30" s="1220">
        <f t="shared" si="10"/>
        <v>100</v>
      </c>
      <c r="T30" s="1219" t="s">
        <v>1393</v>
      </c>
      <c r="U30" s="1220">
        <f t="shared" si="11"/>
        <v>100</v>
      </c>
      <c r="V30" s="1219" t="s">
        <v>1393</v>
      </c>
      <c r="W30" s="1220">
        <f t="shared" si="12"/>
        <v>100</v>
      </c>
      <c r="X30" s="1214"/>
      <c r="Y30" s="339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7"/>
      <c r="Q31" s="625">
        <f t="shared" si="8"/>
        <v>111</v>
      </c>
      <c r="R31" s="1219" t="s">
        <v>1393</v>
      </c>
      <c r="S31" s="1220">
        <f t="shared" si="10"/>
        <v>100</v>
      </c>
      <c r="T31" s="1219" t="s">
        <v>1393</v>
      </c>
      <c r="U31" s="1220">
        <f t="shared" si="11"/>
        <v>100</v>
      </c>
      <c r="V31" s="1219" t="s">
        <v>1393</v>
      </c>
      <c r="W31" s="1220">
        <f t="shared" si="12"/>
        <v>100</v>
      </c>
      <c r="X31" s="1214"/>
      <c r="Y31" s="339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9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8"/>
      <c r="Q33" s="625">
        <f t="shared" si="8"/>
        <v>111</v>
      </c>
      <c r="R33" s="1221" t="s">
        <v>1393</v>
      </c>
      <c r="S33" s="1222">
        <f t="shared" si="10"/>
        <v>100</v>
      </c>
      <c r="T33" s="1221" t="s">
        <v>1393</v>
      </c>
      <c r="U33" s="1222">
        <f t="shared" si="11"/>
        <v>100</v>
      </c>
      <c r="V33" s="1221" t="s">
        <v>1393</v>
      </c>
      <c r="W33" s="1222">
        <f t="shared" si="12"/>
        <v>100</v>
      </c>
      <c r="X33" s="1223"/>
      <c r="Y33" s="339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8"/>
      <c r="Q34" s="625" t="str">
        <f t="shared" si="8"/>
        <v>宗地面积</v>
      </c>
      <c r="R34" s="1219" t="s">
        <v>1393</v>
      </c>
      <c r="S34" s="1220" t="e">
        <f t="shared" si="10"/>
        <v>#N/A</v>
      </c>
      <c r="T34" s="1219" t="s">
        <v>1393</v>
      </c>
      <c r="U34" s="1220" t="e">
        <f t="shared" si="11"/>
        <v>#N/A</v>
      </c>
      <c r="V34" s="1219" t="s">
        <v>1393</v>
      </c>
      <c r="W34" s="1220" t="e">
        <f t="shared" si="12"/>
        <v>#N/A</v>
      </c>
      <c r="X34" s="1214"/>
      <c r="Y34" s="339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8"/>
      <c r="Q35" s="625" t="str">
        <f t="shared" ref="Q35:Q40" si="14">B35</f>
        <v>宗地形状</v>
      </c>
      <c r="R35" s="1219" t="s">
        <v>1393</v>
      </c>
      <c r="S35" s="1220">
        <f t="shared" si="10"/>
        <v>100</v>
      </c>
      <c r="T35" s="1219" t="s">
        <v>1393</v>
      </c>
      <c r="U35" s="1220">
        <f t="shared" si="11"/>
        <v>100</v>
      </c>
      <c r="V35" s="1219" t="s">
        <v>1393</v>
      </c>
      <c r="W35" s="1220">
        <f t="shared" si="12"/>
        <v>100</v>
      </c>
      <c r="X35" s="1214"/>
      <c r="Y35" s="339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8"/>
      <c r="Q36" s="625" t="str">
        <f t="shared" si="14"/>
        <v>宗地开发程度</v>
      </c>
      <c r="R36" s="1215" t="s">
        <v>1393</v>
      </c>
      <c r="S36" s="1216">
        <f t="shared" si="10"/>
        <v>100</v>
      </c>
      <c r="T36" s="1215" t="s">
        <v>1393</v>
      </c>
      <c r="U36" s="1216">
        <f t="shared" si="11"/>
        <v>100</v>
      </c>
      <c r="V36" s="1215" t="s">
        <v>1393</v>
      </c>
      <c r="W36" s="1216">
        <f t="shared" si="12"/>
        <v>100</v>
      </c>
      <c r="X36" s="1217"/>
      <c r="Y36" s="339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8" t="s">
        <v>1421</v>
      </c>
      <c r="Q37" s="625" t="str">
        <f t="shared" si="14"/>
        <v>工程地质条件</v>
      </c>
      <c r="R37" s="1219" t="s">
        <v>1393</v>
      </c>
      <c r="S37" s="1220">
        <f t="shared" si="10"/>
        <v>100</v>
      </c>
      <c r="T37" s="1219" t="s">
        <v>1393</v>
      </c>
      <c r="U37" s="1220">
        <f t="shared" si="11"/>
        <v>100</v>
      </c>
      <c r="V37" s="1219" t="s">
        <v>1393</v>
      </c>
      <c r="W37" s="1220">
        <f t="shared" si="12"/>
        <v>100</v>
      </c>
      <c r="X37" s="1214"/>
      <c r="Y37" s="339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8"/>
      <c r="Q38" s="625">
        <f t="shared" si="14"/>
        <v>111</v>
      </c>
      <c r="R38" s="1219" t="s">
        <v>1393</v>
      </c>
      <c r="S38" s="1220">
        <f t="shared" si="10"/>
        <v>100</v>
      </c>
      <c r="T38" s="1219" t="s">
        <v>1393</v>
      </c>
      <c r="U38" s="1220">
        <f t="shared" si="11"/>
        <v>100</v>
      </c>
      <c r="V38" s="1219" t="s">
        <v>1393</v>
      </c>
      <c r="W38" s="1220">
        <f t="shared" si="12"/>
        <v>100</v>
      </c>
      <c r="X38" s="1214"/>
      <c r="Y38" s="339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8"/>
      <c r="Q39" s="625">
        <f t="shared" si="14"/>
        <v>111</v>
      </c>
      <c r="R39" s="1219" t="s">
        <v>1393</v>
      </c>
      <c r="S39" s="1220">
        <f t="shared" si="10"/>
        <v>100</v>
      </c>
      <c r="T39" s="1219" t="s">
        <v>1393</v>
      </c>
      <c r="U39" s="1220">
        <f t="shared" si="11"/>
        <v>100</v>
      </c>
      <c r="V39" s="1219" t="s">
        <v>1393</v>
      </c>
      <c r="W39" s="1220">
        <f t="shared" si="12"/>
        <v>100</v>
      </c>
      <c r="X39" s="1214"/>
      <c r="Y39" s="339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8"/>
      <c r="Q40" s="625">
        <f t="shared" si="14"/>
        <v>111</v>
      </c>
      <c r="R40" s="1221" t="s">
        <v>1393</v>
      </c>
      <c r="S40" s="1222">
        <f t="shared" si="10"/>
        <v>100</v>
      </c>
      <c r="T40" s="1221" t="s">
        <v>1393</v>
      </c>
      <c r="U40" s="1222">
        <f t="shared" si="11"/>
        <v>100</v>
      </c>
      <c r="V40" s="1221" t="s">
        <v>1393</v>
      </c>
      <c r="W40" s="1222">
        <f t="shared" si="12"/>
        <v>100</v>
      </c>
      <c r="X40" s="1223"/>
      <c r="Y40" s="3398"/>
      <c r="Z40" s="1228">
        <f t="shared" si="13"/>
        <v>111</v>
      </c>
      <c r="AA40" s="1204">
        <f t="shared" si="3"/>
        <v>1</v>
      </c>
      <c r="AB40" s="1204">
        <f t="shared" si="4"/>
        <v>1</v>
      </c>
      <c r="AC40" s="1204">
        <f t="shared" si="5"/>
        <v>1</v>
      </c>
    </row>
    <row r="41" spans="1:31" ht="14.4">
      <c r="A41" s="1105" t="s">
        <v>1648</v>
      </c>
      <c r="B41" s="1106" t="s">
        <v>1701</v>
      </c>
      <c r="C41" s="1107" t="s">
        <v>124</v>
      </c>
      <c r="D41" s="1108"/>
      <c r="E41" s="1109"/>
      <c r="F41" s="1110"/>
      <c r="G41" s="1111"/>
      <c r="H41" s="1112"/>
      <c r="I41" s="1109"/>
      <c r="J41" s="1112"/>
      <c r="K41" s="1195"/>
      <c r="L41" s="1196"/>
      <c r="M41" s="1122"/>
      <c r="N41" s="1122"/>
      <c r="O41" s="1122"/>
      <c r="P41" s="3384" t="str">
        <f>A41</f>
        <v>成交单价</v>
      </c>
      <c r="Q41" s="3384"/>
      <c r="R41" s="3382">
        <f>E41</f>
        <v>0</v>
      </c>
      <c r="S41" s="3382"/>
      <c r="T41" s="3382">
        <f>G41</f>
        <v>0</v>
      </c>
      <c r="U41" s="3382"/>
      <c r="V41" s="3382">
        <f>I41</f>
        <v>0</v>
      </c>
      <c r="W41" s="3382"/>
      <c r="X41" s="1162"/>
      <c r="Y41" s="1229"/>
      <c r="Z41" s="1162"/>
      <c r="AA41" s="1162"/>
      <c r="AB41" s="1162"/>
      <c r="AC41" s="1162"/>
    </row>
    <row r="42" spans="1:31" ht="14.4">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4" t="str">
        <f>A42</f>
        <v>比较价值（元/平方米）</v>
      </c>
      <c r="Q42" s="3384"/>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4.4">
      <c r="A43" s="1119" t="s">
        <v>1440</v>
      </c>
      <c r="B43" s="1120"/>
      <c r="C43" s="1121" t="e">
        <f>R43</f>
        <v>#DIV/0!</v>
      </c>
      <c r="D43" s="1121"/>
      <c r="E43" s="1121"/>
      <c r="F43" s="1121"/>
      <c r="G43" s="1121"/>
      <c r="H43" s="1121"/>
      <c r="I43" s="1121"/>
      <c r="J43" s="1121"/>
      <c r="K43" s="1198"/>
      <c r="L43" s="1196"/>
      <c r="M43" s="1122"/>
      <c r="N43" s="1122"/>
      <c r="O43" s="1122"/>
      <c r="P43" s="3418" t="str">
        <f>A43</f>
        <v>估价对象XX用房的比较价值（楼面单价，元/平方米）</v>
      </c>
      <c r="Q43" s="3419"/>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1669</v>
      </c>
      <c r="B50" s="1132" t="s">
        <v>1670</v>
      </c>
      <c r="C50" s="1133" t="s">
        <v>1671</v>
      </c>
      <c r="D50" s="1134" t="s">
        <v>1672</v>
      </c>
      <c r="E50" s="1135" t="s">
        <v>1673</v>
      </c>
      <c r="F50" s="1136" t="s">
        <v>1674</v>
      </c>
      <c r="G50" s="3405"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115</v>
      </c>
      <c r="F51" s="1141" t="e">
        <f t="shared" ref="F51:F60" si="15">ROUND(B51*E51/10000,0)</f>
        <v>#DIV/0!</v>
      </c>
      <c r="G51" s="3383"/>
      <c r="H51" s="3384"/>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6">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4.4">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4.4">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4.4">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ht="14.4">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8.8">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4.4">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ht="14.4">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4.4">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28.8">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8.8">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4.4">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4.4">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4.4">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8.8">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4.4">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ht="14.4">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ht="14.4">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ht="14.4">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ht="14.4">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9.6">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6">
      <c r="A20" s="944" t="s">
        <v>1716</v>
      </c>
      <c r="B20" s="945">
        <f ca="1">IF(D20="——",S22,S22-F20)</f>
        <v>387</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1717</v>
      </c>
      <c r="B21" s="945">
        <f ca="1">ROUND(B20*10000/B22,0)</f>
        <v>17138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225.82</v>
      </c>
      <c r="C22" s="3457" t="s">
        <v>124</v>
      </c>
      <c r="D22" s="3458"/>
      <c r="E22" s="3458"/>
      <c r="F22" s="3458"/>
      <c r="G22" s="3458"/>
      <c r="H22" s="3458"/>
      <c r="I22" s="3458"/>
      <c r="J22" s="3458"/>
      <c r="K22" s="3458"/>
      <c r="L22" s="3458"/>
      <c r="M22" s="3458"/>
      <c r="N22" s="3458"/>
      <c r="O22" s="3458"/>
      <c r="P22" s="3458"/>
      <c r="Q22" s="3459"/>
      <c r="R22" s="950">
        <f ca="1">ROUND(S22*10000/B22,0)</f>
        <v>17138</v>
      </c>
      <c r="S22" s="950">
        <f ca="1">SUM(S24:S10000)</f>
        <v>387</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115</v>
      </c>
      <c r="C24" s="955">
        <v>1</v>
      </c>
      <c r="D24" s="956"/>
      <c r="E24" s="955">
        <v>1</v>
      </c>
      <c r="F24" s="956"/>
      <c r="G24" s="955">
        <v>1</v>
      </c>
      <c r="H24" s="956"/>
      <c r="I24" s="955">
        <v>1</v>
      </c>
      <c r="J24" s="956"/>
      <c r="K24" s="955">
        <v>1</v>
      </c>
      <c r="L24" s="956"/>
      <c r="M24" s="955">
        <v>1</v>
      </c>
      <c r="N24" s="956"/>
      <c r="O24" s="955">
        <v>1</v>
      </c>
      <c r="P24" s="956"/>
      <c r="Q24" s="955">
        <v>1</v>
      </c>
      <c r="R24" s="954">
        <f ca="1">结果表!C32</f>
        <v>17127</v>
      </c>
      <c r="S24" s="1005">
        <f t="shared" ref="S24:S54" ca="1" si="11">ROUND(R24*B24/10000,0)</f>
        <v>197</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17127</v>
      </c>
      <c r="S25" s="949">
        <f t="shared" ca="1" si="11"/>
        <v>190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1722</v>
      </c>
      <c r="B1" s="681"/>
      <c r="C1" s="681"/>
      <c r="D1" s="681"/>
      <c r="E1" s="681"/>
      <c r="F1" s="882"/>
      <c r="G1" s="882"/>
      <c r="H1" s="882"/>
      <c r="I1" s="882"/>
      <c r="J1" s="882"/>
      <c r="K1" s="882"/>
      <c r="L1" s="882"/>
      <c r="M1" s="882"/>
      <c r="N1" s="882"/>
      <c r="O1" s="882"/>
      <c r="P1" s="882"/>
    </row>
    <row r="2" spans="1:16" ht="15.6">
      <c r="A2" s="883" t="s">
        <v>97</v>
      </c>
      <c r="B2" s="884" t="e">
        <f ca="1">SUMIF(B6:B13,"&lt;&gt;#ref!",B6:B13)</f>
        <v>#DIV/0!</v>
      </c>
      <c r="C2" s="883" t="s">
        <v>1723</v>
      </c>
      <c r="D2" s="883" t="s">
        <v>1724</v>
      </c>
      <c r="E2" s="885">
        <f ca="1">SUMIF(E6:E13,"&lt;&gt;#ref!",E6:E13)</f>
        <v>115</v>
      </c>
      <c r="F2" s="882"/>
      <c r="G2" s="882"/>
      <c r="H2" s="882"/>
      <c r="I2" s="882"/>
      <c r="J2" s="882"/>
      <c r="K2" s="882"/>
      <c r="L2" s="882"/>
      <c r="M2" s="882"/>
      <c r="N2" s="882"/>
      <c r="O2" s="882"/>
      <c r="P2" s="882"/>
    </row>
    <row r="3" spans="1:16" ht="15.6">
      <c r="A3" s="883" t="s">
        <v>1725</v>
      </c>
      <c r="B3" s="884" t="e">
        <f ca="1">ROUND(B2*10000/E2,0)</f>
        <v>#DIV/0!</v>
      </c>
      <c r="C3" s="883" t="s">
        <v>1726</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1727</v>
      </c>
      <c r="B5" s="888" t="s">
        <v>1728</v>
      </c>
      <c r="C5" s="889"/>
      <c r="D5" s="882"/>
      <c r="E5" s="890" t="s">
        <v>1729</v>
      </c>
      <c r="F5" s="882"/>
      <c r="G5" s="882"/>
      <c r="H5" s="882"/>
      <c r="I5" s="882"/>
      <c r="J5" s="882"/>
      <c r="K5" s="882"/>
      <c r="L5" s="882"/>
      <c r="M5" s="882"/>
      <c r="N5" s="882"/>
      <c r="O5" s="882"/>
      <c r="P5" s="882"/>
    </row>
    <row r="6" spans="1:16" ht="15.6">
      <c r="A6" s="891" t="s">
        <v>1730</v>
      </c>
      <c r="B6" s="884" t="e">
        <f ca="1">SUMIF(INDIRECT("'"&amp;A6&amp;"'"&amp;"!A:A"),"总价",INDIRECT("'"&amp;A6&amp;"'"&amp;"!B:B"))</f>
        <v>#DIV/0!</v>
      </c>
      <c r="C6" s="883" t="s">
        <v>1723</v>
      </c>
      <c r="D6" s="882"/>
      <c r="E6" s="885">
        <f ca="1">SUMIF(INDIRECT("'"&amp;A6&amp;"'"&amp;"!C:C"),"建筑面积",INDIRECT("'"&amp;A6&amp;"'"&amp;"!D:D"))</f>
        <v>115</v>
      </c>
      <c r="F6" s="882"/>
      <c r="G6" s="882"/>
      <c r="H6" s="882"/>
      <c r="I6" s="882"/>
      <c r="J6" s="882"/>
      <c r="K6" s="882"/>
      <c r="L6" s="882"/>
      <c r="M6" s="882"/>
      <c r="N6" s="882"/>
      <c r="O6" s="882"/>
      <c r="P6" s="882"/>
    </row>
    <row r="7" spans="1:16" ht="15.6">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6">
      <c r="A9" s="891"/>
      <c r="B9" s="884" t="e">
        <f t="shared" ca="1" si="1"/>
        <v>#REF!</v>
      </c>
      <c r="C9" s="883" t="s">
        <v>1723</v>
      </c>
      <c r="D9" s="882"/>
      <c r="E9" s="885" t="e">
        <f t="shared" ca="1" si="0"/>
        <v>#REF!</v>
      </c>
      <c r="F9" s="882"/>
      <c r="G9" s="882"/>
      <c r="H9" s="882"/>
      <c r="I9" s="882"/>
      <c r="J9" s="882"/>
      <c r="K9" s="882"/>
      <c r="L9" s="882"/>
      <c r="M9" s="882"/>
      <c r="N9" s="882"/>
      <c r="O9" s="882"/>
      <c r="P9" s="882"/>
    </row>
    <row r="10" spans="1:16" ht="15.6">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workbookViewId="0">
      <selection activeCell="E33" sqref="E33"/>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0" width="12" style="507"/>
    <col min="21" max="21" width="13.88671875" style="507" bestFit="1" customWidth="1"/>
    <col min="22"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1731</v>
      </c>
      <c r="B1" s="340"/>
      <c r="C1" s="343" t="s">
        <v>1377</v>
      </c>
      <c r="D1" s="510">
        <f>SUM(D33:D34,D37:D42)</f>
        <v>115</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6">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6">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6">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115</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6.4">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5.2">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24">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24">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ht="24">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6.4">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1854</v>
      </c>
      <c r="C33" s="651" t="e">
        <f>ROUND(C5*C22*C23*C24*C25*C28,0)</f>
        <v>#DIV/0!</v>
      </c>
      <c r="D33" s="652">
        <f>'数据-汇总表'!F19</f>
        <v>115</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5.2">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24">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48">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7.200000000000003">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36">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36">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4.4">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24">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48">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7.200000000000003">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36">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36">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4.4">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24">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48">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3.8">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36">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36">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36">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4.4">
      <c r="A81" s="683" t="s">
        <v>1902</v>
      </c>
      <c r="B81" s="684">
        <f>1+E83</f>
        <v>1</v>
      </c>
      <c r="C81" s="686"/>
      <c r="D81" s="686"/>
      <c r="E81" s="687"/>
      <c r="F81" s="688"/>
      <c r="G81" s="682"/>
      <c r="H81" s="682"/>
      <c r="I81" s="682"/>
      <c r="J81" s="681"/>
      <c r="K81" s="681"/>
      <c r="L81" s="681"/>
      <c r="M81" s="681"/>
      <c r="N81" s="681"/>
      <c r="Z81" s="507"/>
      <c r="AA81" s="505"/>
      <c r="AG81" s="509"/>
      <c r="AK81" s="505"/>
    </row>
    <row r="82" spans="1:37" ht="25.2">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9.6">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52.8">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48">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3.8">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6.4">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6.4">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36">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9.6">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3.8">
      <c r="A91" s="832" t="s">
        <v>231</v>
      </c>
      <c r="B91" s="833">
        <f>1+E93</f>
        <v>1</v>
      </c>
      <c r="C91" s="834"/>
      <c r="D91" s="835"/>
      <c r="E91" s="697"/>
      <c r="F91" s="697"/>
      <c r="G91" s="836"/>
      <c r="H91" s="837"/>
      <c r="I91" s="870"/>
      <c r="J91" s="871"/>
      <c r="K91" s="871"/>
      <c r="L91" s="871"/>
      <c r="M91" s="871"/>
      <c r="N91" s="871"/>
    </row>
    <row r="92" spans="1:37" ht="25.2">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24">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48">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7.200000000000003">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36">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36">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3" t="s">
        <v>229</v>
      </c>
      <c r="B20" s="3489" t="s">
        <v>1934</v>
      </c>
      <c r="C20" s="462" t="s">
        <v>244</v>
      </c>
      <c r="D20" s="462"/>
      <c r="E20" s="463">
        <v>1</v>
      </c>
      <c r="F20" s="464" t="s">
        <v>1935</v>
      </c>
      <c r="G20" s="464"/>
    </row>
    <row r="21" spans="1:13" ht="19.5" customHeight="1">
      <c r="A21" s="3484"/>
      <c r="B21" s="3479"/>
      <c r="C21" s="465" t="s">
        <v>259</v>
      </c>
      <c r="D21" s="465"/>
      <c r="E21" s="466">
        <v>1</v>
      </c>
      <c r="F21" s="464" t="s">
        <v>1936</v>
      </c>
      <c r="G21" s="464"/>
    </row>
    <row r="22" spans="1:13" ht="19.5" customHeight="1">
      <c r="A22" s="3484"/>
      <c r="B22" s="3479"/>
      <c r="C22" s="465" t="s">
        <v>270</v>
      </c>
      <c r="D22" s="465"/>
      <c r="E22" s="466">
        <v>0.9</v>
      </c>
      <c r="F22" s="464" t="s">
        <v>1937</v>
      </c>
      <c r="G22" s="464"/>
    </row>
    <row r="23" spans="1:13" ht="19.5" customHeight="1">
      <c r="A23" s="3484"/>
      <c r="B23" s="3479"/>
      <c r="C23" s="465" t="s">
        <v>281</v>
      </c>
      <c r="D23" s="465"/>
      <c r="E23" s="466">
        <v>0.9</v>
      </c>
      <c r="F23" s="464" t="s">
        <v>1938</v>
      </c>
      <c r="G23" s="464"/>
    </row>
    <row r="24" spans="1:13" ht="19.5" customHeight="1">
      <c r="A24" s="3484"/>
      <c r="B24" s="3479"/>
      <c r="C24" s="465" t="s">
        <v>290</v>
      </c>
      <c r="D24" s="465"/>
      <c r="E24" s="466">
        <v>0.8</v>
      </c>
      <c r="F24" s="464" t="s">
        <v>1939</v>
      </c>
      <c r="G24" s="464"/>
    </row>
    <row r="25" spans="1:13" ht="19.5" customHeight="1">
      <c r="A25" s="3484"/>
      <c r="B25" s="3479"/>
      <c r="C25" s="465" t="s">
        <v>298</v>
      </c>
      <c r="D25" s="465"/>
      <c r="E25" s="466">
        <v>0.8</v>
      </c>
      <c r="F25" s="464"/>
      <c r="G25" s="464"/>
    </row>
    <row r="26" spans="1:13" ht="19.5" customHeight="1">
      <c r="A26" s="3484"/>
      <c r="B26" s="3479"/>
      <c r="C26" s="465" t="s">
        <v>306</v>
      </c>
      <c r="D26" s="465"/>
      <c r="E26" s="466">
        <v>0.43</v>
      </c>
      <c r="F26" s="464"/>
      <c r="G26" s="464"/>
    </row>
    <row r="27" spans="1:13" ht="19.5" customHeight="1">
      <c r="A27" s="3485"/>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6" t="s">
        <v>231</v>
      </c>
      <c r="B29" s="3491" t="s">
        <v>231</v>
      </c>
      <c r="C29" s="474" t="s">
        <v>246</v>
      </c>
      <c r="D29" s="475"/>
      <c r="E29" s="463">
        <v>1</v>
      </c>
      <c r="F29" s="464" t="s">
        <v>1942</v>
      </c>
      <c r="G29" s="464"/>
    </row>
    <row r="30" spans="1:13" ht="19.5" customHeight="1">
      <c r="A30" s="3487"/>
      <c r="B30" s="3482"/>
      <c r="C30" s="476" t="s">
        <v>260</v>
      </c>
      <c r="D30" s="477"/>
      <c r="E30" s="466">
        <v>1</v>
      </c>
      <c r="F30" s="464" t="s">
        <v>1943</v>
      </c>
      <c r="G30" s="464"/>
    </row>
    <row r="31" spans="1:13" ht="19.5" customHeight="1">
      <c r="A31" s="3487"/>
      <c r="B31" s="3482"/>
      <c r="C31" s="476" t="s">
        <v>271</v>
      </c>
      <c r="D31" s="477"/>
      <c r="E31" s="466">
        <v>0.8</v>
      </c>
      <c r="F31" s="464" t="s">
        <v>1944</v>
      </c>
      <c r="G31" s="464"/>
    </row>
    <row r="32" spans="1:13" ht="19.5" customHeight="1">
      <c r="A32" s="3487"/>
      <c r="B32" s="3482"/>
      <c r="C32" s="476" t="s">
        <v>282</v>
      </c>
      <c r="D32" s="477"/>
      <c r="E32" s="466">
        <v>0.8</v>
      </c>
      <c r="F32" s="464" t="s">
        <v>1945</v>
      </c>
      <c r="G32" s="464"/>
    </row>
    <row r="33" spans="1:7" ht="19.5" customHeight="1">
      <c r="A33" s="3487"/>
      <c r="B33" s="3482"/>
      <c r="C33" s="476" t="s">
        <v>291</v>
      </c>
      <c r="D33" s="477"/>
      <c r="E33" s="466">
        <v>0.8</v>
      </c>
      <c r="F33" s="464" t="s">
        <v>1946</v>
      </c>
      <c r="G33" s="464"/>
    </row>
    <row r="34" spans="1:7" ht="19.5" customHeight="1">
      <c r="A34" s="3487"/>
      <c r="B34" s="3482"/>
      <c r="C34" s="476" t="s">
        <v>299</v>
      </c>
      <c r="D34" s="477"/>
      <c r="E34" s="466">
        <v>0.7</v>
      </c>
      <c r="F34" s="464" t="s">
        <v>1947</v>
      </c>
      <c r="G34" s="464"/>
    </row>
    <row r="35" spans="1:7" ht="19.5" customHeight="1">
      <c r="A35" s="3487"/>
      <c r="B35" s="3482"/>
      <c r="C35" s="476" t="s">
        <v>307</v>
      </c>
      <c r="D35" s="477"/>
      <c r="E35" s="466">
        <v>0.8</v>
      </c>
      <c r="F35" s="464" t="s">
        <v>1948</v>
      </c>
      <c r="G35" s="464"/>
    </row>
    <row r="36" spans="1:7" ht="19.5" customHeight="1">
      <c r="A36" s="3487"/>
      <c r="B36" s="3482"/>
      <c r="C36" s="476" t="s">
        <v>314</v>
      </c>
      <c r="D36" s="477"/>
      <c r="E36" s="466">
        <v>0.6</v>
      </c>
      <c r="F36" s="464" t="s">
        <v>1949</v>
      </c>
      <c r="G36" s="464"/>
    </row>
    <row r="37" spans="1:7" ht="19.5" customHeight="1">
      <c r="A37" s="3487"/>
      <c r="B37" s="3482"/>
      <c r="C37" s="476" t="s">
        <v>320</v>
      </c>
      <c r="D37" s="477"/>
      <c r="E37" s="466">
        <v>0.2</v>
      </c>
      <c r="F37" s="464" t="s">
        <v>1950</v>
      </c>
      <c r="G37" s="464"/>
    </row>
    <row r="38" spans="1:7" ht="19.5" customHeight="1">
      <c r="A38" s="3487"/>
      <c r="B38" s="3482"/>
      <c r="C38" s="476" t="s">
        <v>326</v>
      </c>
      <c r="D38" s="477"/>
      <c r="E38" s="466">
        <v>0.2</v>
      </c>
      <c r="F38" s="464" t="s">
        <v>1951</v>
      </c>
      <c r="G38" s="464"/>
    </row>
    <row r="39" spans="1:7" ht="19.5" customHeight="1">
      <c r="A39" s="3487"/>
      <c r="B39" s="3480" t="s">
        <v>1952</v>
      </c>
      <c r="C39" s="476" t="s">
        <v>332</v>
      </c>
      <c r="D39" s="477"/>
      <c r="E39" s="466">
        <v>0.6</v>
      </c>
      <c r="F39" s="464" t="s">
        <v>1953</v>
      </c>
      <c r="G39" s="464"/>
    </row>
    <row r="40" spans="1:7" ht="19.5" customHeight="1">
      <c r="A40" s="3487"/>
      <c r="B40" s="3482"/>
      <c r="C40" s="476" t="s">
        <v>338</v>
      </c>
      <c r="D40" s="477"/>
      <c r="E40" s="466">
        <v>0.6</v>
      </c>
      <c r="F40" s="464" t="s">
        <v>1954</v>
      </c>
      <c r="G40" s="464"/>
    </row>
    <row r="41" spans="1:7" ht="19.5" customHeight="1">
      <c r="A41" s="3488"/>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3" t="s">
        <v>233</v>
      </c>
      <c r="B43" s="3491" t="s">
        <v>1957</v>
      </c>
      <c r="C43" s="474" t="s">
        <v>248</v>
      </c>
      <c r="D43" s="475"/>
      <c r="E43" s="463">
        <v>1</v>
      </c>
      <c r="F43" s="464" t="s">
        <v>1958</v>
      </c>
      <c r="G43" s="464"/>
    </row>
    <row r="44" spans="1:7" ht="19.5" customHeight="1">
      <c r="A44" s="3484"/>
      <c r="B44" s="3482"/>
      <c r="C44" s="476" t="s">
        <v>261</v>
      </c>
      <c r="D44" s="477"/>
      <c r="E44" s="466">
        <v>1</v>
      </c>
      <c r="F44" s="464" t="s">
        <v>1959</v>
      </c>
      <c r="G44" s="464"/>
    </row>
    <row r="45" spans="1:7" ht="19.5" customHeight="1">
      <c r="A45" s="3484"/>
      <c r="B45" s="3481"/>
      <c r="C45" s="476" t="s">
        <v>272</v>
      </c>
      <c r="D45" s="477"/>
      <c r="E45" s="466">
        <v>1.5</v>
      </c>
      <c r="F45" s="464" t="s">
        <v>1960</v>
      </c>
      <c r="G45" s="464"/>
    </row>
    <row r="46" spans="1:7" ht="19.5" customHeight="1">
      <c r="A46" s="3484"/>
      <c r="B46" s="465" t="s">
        <v>231</v>
      </c>
      <c r="C46" s="476" t="s">
        <v>283</v>
      </c>
      <c r="D46" s="477"/>
      <c r="E46" s="466">
        <v>2</v>
      </c>
      <c r="F46" s="464" t="s">
        <v>1961</v>
      </c>
      <c r="G46" s="464"/>
    </row>
    <row r="47" spans="1:7" ht="19.5" customHeight="1">
      <c r="A47" s="3484"/>
      <c r="B47" s="3480" t="s">
        <v>1962</v>
      </c>
      <c r="C47" s="476" t="s">
        <v>292</v>
      </c>
      <c r="D47" s="477"/>
      <c r="E47" s="466">
        <v>1</v>
      </c>
      <c r="F47" s="464" t="s">
        <v>1963</v>
      </c>
      <c r="G47" s="464"/>
    </row>
    <row r="48" spans="1:7" ht="19.5" customHeight="1">
      <c r="A48" s="3484"/>
      <c r="B48" s="3482"/>
      <c r="C48" s="476" t="s">
        <v>300</v>
      </c>
      <c r="D48" s="477"/>
      <c r="E48" s="466">
        <v>1</v>
      </c>
      <c r="F48" s="464" t="s">
        <v>1964</v>
      </c>
      <c r="G48" s="464"/>
    </row>
    <row r="49" spans="1:7" ht="19.5" customHeight="1">
      <c r="A49" s="3484"/>
      <c r="B49" s="3482"/>
      <c r="C49" s="476" t="s">
        <v>308</v>
      </c>
      <c r="D49" s="477"/>
      <c r="E49" s="466">
        <v>1</v>
      </c>
      <c r="F49" s="464" t="s">
        <v>1965</v>
      </c>
      <c r="G49" s="464"/>
    </row>
    <row r="50" spans="1:7" ht="19.5" customHeight="1">
      <c r="A50" s="3484"/>
      <c r="B50" s="3482"/>
      <c r="C50" s="476" t="s">
        <v>315</v>
      </c>
      <c r="D50" s="477"/>
      <c r="E50" s="466">
        <v>1</v>
      </c>
      <c r="F50" s="464" t="s">
        <v>1966</v>
      </c>
      <c r="G50" s="464"/>
    </row>
    <row r="51" spans="1:7" ht="19.5" customHeight="1">
      <c r="A51" s="3484"/>
      <c r="B51" s="3482"/>
      <c r="C51" s="476" t="s">
        <v>321</v>
      </c>
      <c r="D51" s="477"/>
      <c r="E51" s="466">
        <v>1</v>
      </c>
      <c r="F51" s="464" t="s">
        <v>1967</v>
      </c>
      <c r="G51" s="464"/>
    </row>
    <row r="52" spans="1:7" ht="19.5" customHeight="1">
      <c r="A52" s="3484"/>
      <c r="B52" s="3482"/>
      <c r="C52" s="476" t="s">
        <v>327</v>
      </c>
      <c r="D52" s="477"/>
      <c r="E52" s="466">
        <v>1</v>
      </c>
      <c r="F52" s="464" t="s">
        <v>1968</v>
      </c>
      <c r="G52" s="464"/>
    </row>
    <row r="53" spans="1:7" ht="19.5" customHeight="1">
      <c r="A53" s="3485"/>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4.4">
      <c r="A74" s="465"/>
      <c r="B74" s="465"/>
      <c r="C74" s="465" t="s">
        <v>1979</v>
      </c>
      <c r="D74" s="465"/>
      <c r="E74" s="465" t="s">
        <v>124</v>
      </c>
      <c r="F74" s="465" t="s">
        <v>124</v>
      </c>
    </row>
    <row r="75" spans="1:7" ht="14.4">
      <c r="A75" s="465">
        <v>1</v>
      </c>
      <c r="B75" s="3480" t="s">
        <v>1980</v>
      </c>
      <c r="C75" s="454" t="s">
        <v>1981</v>
      </c>
      <c r="D75" s="454" t="s">
        <v>1982</v>
      </c>
      <c r="E75" s="465">
        <v>0.2</v>
      </c>
      <c r="F75" s="465">
        <v>25</v>
      </c>
    </row>
    <row r="76" spans="1:7" ht="24">
      <c r="A76" s="465">
        <v>2</v>
      </c>
      <c r="B76" s="3482"/>
      <c r="C76" s="454" t="s">
        <v>1983</v>
      </c>
      <c r="D76" s="454" t="s">
        <v>1984</v>
      </c>
      <c r="E76" s="465">
        <v>0.2</v>
      </c>
      <c r="F76" s="465">
        <v>25</v>
      </c>
    </row>
    <row r="77" spans="1:7" ht="24">
      <c r="A77" s="465">
        <v>3</v>
      </c>
      <c r="B77" s="3482"/>
      <c r="C77" s="454" t="s">
        <v>1985</v>
      </c>
      <c r="D77" s="454" t="s">
        <v>1986</v>
      </c>
      <c r="E77" s="465">
        <v>0.2</v>
      </c>
      <c r="F77" s="465">
        <v>25</v>
      </c>
    </row>
    <row r="78" spans="1:7" ht="14.4">
      <c r="A78" s="465">
        <v>4</v>
      </c>
      <c r="B78" s="3482"/>
      <c r="C78" s="454" t="s">
        <v>1987</v>
      </c>
      <c r="D78" s="454" t="s">
        <v>1988</v>
      </c>
      <c r="E78" s="465">
        <v>0.15</v>
      </c>
      <c r="F78" s="465">
        <v>20</v>
      </c>
    </row>
    <row r="79" spans="1:7" ht="24">
      <c r="A79" s="465">
        <v>5</v>
      </c>
      <c r="B79" s="3482"/>
      <c r="C79" s="454" t="s">
        <v>1989</v>
      </c>
      <c r="D79" s="454" t="s">
        <v>1990</v>
      </c>
      <c r="E79" s="465">
        <v>0.15</v>
      </c>
      <c r="F79" s="465">
        <v>20</v>
      </c>
    </row>
    <row r="80" spans="1:7" ht="24">
      <c r="A80" s="465">
        <v>6</v>
      </c>
      <c r="B80" s="3482"/>
      <c r="C80" s="454" t="s">
        <v>1991</v>
      </c>
      <c r="D80" s="454" t="s">
        <v>1992</v>
      </c>
      <c r="E80" s="465">
        <v>0.15</v>
      </c>
      <c r="F80" s="465">
        <v>20</v>
      </c>
    </row>
    <row r="81" spans="1:6" ht="24">
      <c r="A81" s="465">
        <v>7</v>
      </c>
      <c r="B81" s="3482"/>
      <c r="C81" s="454" t="s">
        <v>1993</v>
      </c>
      <c r="D81" s="454" t="s">
        <v>1994</v>
      </c>
      <c r="E81" s="465">
        <v>0.15</v>
      </c>
      <c r="F81" s="465">
        <v>20</v>
      </c>
    </row>
    <row r="82" spans="1:6" ht="24">
      <c r="A82" s="465">
        <v>8</v>
      </c>
      <c r="B82" s="3482"/>
      <c r="C82" s="454" t="s">
        <v>1995</v>
      </c>
      <c r="D82" s="454" t="s">
        <v>1996</v>
      </c>
      <c r="E82" s="465">
        <v>0.1</v>
      </c>
      <c r="F82" s="465">
        <v>15</v>
      </c>
    </row>
    <row r="83" spans="1:6" ht="24">
      <c r="A83" s="465">
        <v>9</v>
      </c>
      <c r="B83" s="3482"/>
      <c r="C83" s="454" t="s">
        <v>1997</v>
      </c>
      <c r="D83" s="454" t="s">
        <v>1998</v>
      </c>
      <c r="E83" s="465">
        <v>0.1</v>
      </c>
      <c r="F83" s="465">
        <v>15</v>
      </c>
    </row>
    <row r="84" spans="1:6" ht="24">
      <c r="A84" s="465">
        <v>10</v>
      </c>
      <c r="B84" s="3482"/>
      <c r="C84" s="454" t="s">
        <v>1999</v>
      </c>
      <c r="D84" s="454" t="s">
        <v>2000</v>
      </c>
      <c r="E84" s="465">
        <v>0.1</v>
      </c>
      <c r="F84" s="465">
        <v>15</v>
      </c>
    </row>
    <row r="85" spans="1:6" ht="24">
      <c r="A85" s="465">
        <v>11</v>
      </c>
      <c r="B85" s="3482"/>
      <c r="C85" s="454" t="s">
        <v>2001</v>
      </c>
      <c r="D85" s="454" t="s">
        <v>2002</v>
      </c>
      <c r="E85" s="465">
        <v>0.1</v>
      </c>
      <c r="F85" s="465">
        <v>15</v>
      </c>
    </row>
    <row r="86" spans="1:6" ht="24">
      <c r="A86" s="465">
        <v>12</v>
      </c>
      <c r="B86" s="3482"/>
      <c r="C86" s="454" t="s">
        <v>2003</v>
      </c>
      <c r="D86" s="454" t="s">
        <v>2004</v>
      </c>
      <c r="E86" s="465">
        <v>0.1</v>
      </c>
      <c r="F86" s="465">
        <v>15</v>
      </c>
    </row>
    <row r="87" spans="1:6" ht="24">
      <c r="A87" s="465">
        <v>13</v>
      </c>
      <c r="B87" s="3482"/>
      <c r="C87" s="454" t="s">
        <v>2005</v>
      </c>
      <c r="D87" s="454" t="s">
        <v>2006</v>
      </c>
      <c r="E87" s="465">
        <v>0.1</v>
      </c>
      <c r="F87" s="465">
        <v>15</v>
      </c>
    </row>
    <row r="88" spans="1:6" ht="24">
      <c r="A88" s="465">
        <v>14</v>
      </c>
      <c r="B88" s="3482"/>
      <c r="C88" s="454" t="s">
        <v>2007</v>
      </c>
      <c r="D88" s="454" t="s">
        <v>2008</v>
      </c>
      <c r="E88" s="465">
        <v>0.1</v>
      </c>
      <c r="F88" s="465">
        <v>15</v>
      </c>
    </row>
    <row r="89" spans="1:6" ht="24">
      <c r="A89" s="465">
        <v>15</v>
      </c>
      <c r="B89" s="3482"/>
      <c r="C89" s="454" t="s">
        <v>2009</v>
      </c>
      <c r="D89" s="454" t="s">
        <v>2010</v>
      </c>
      <c r="E89" s="465">
        <v>0.1</v>
      </c>
      <c r="F89" s="465">
        <v>15</v>
      </c>
    </row>
    <row r="90" spans="1:6" ht="24">
      <c r="A90" s="465">
        <v>16</v>
      </c>
      <c r="B90" s="3482"/>
      <c r="C90" s="454" t="s">
        <v>2011</v>
      </c>
      <c r="D90" s="454" t="s">
        <v>2012</v>
      </c>
      <c r="E90" s="465">
        <v>0.1</v>
      </c>
      <c r="F90" s="465">
        <v>15</v>
      </c>
    </row>
    <row r="91" spans="1:6" ht="24">
      <c r="A91" s="465">
        <v>17</v>
      </c>
      <c r="B91" s="3481"/>
      <c r="C91" s="454" t="s">
        <v>2013</v>
      </c>
      <c r="D91" s="454" t="s">
        <v>2014</v>
      </c>
      <c r="E91" s="465">
        <v>0.1</v>
      </c>
      <c r="F91" s="465">
        <v>15</v>
      </c>
    </row>
    <row r="92" spans="1:6" ht="14.4">
      <c r="A92" s="465">
        <v>18</v>
      </c>
      <c r="B92" s="3480" t="s">
        <v>2015</v>
      </c>
      <c r="C92" s="454" t="s">
        <v>2016</v>
      </c>
      <c r="D92" s="454" t="s">
        <v>2017</v>
      </c>
      <c r="E92" s="465">
        <v>0.2</v>
      </c>
      <c r="F92" s="465">
        <v>25</v>
      </c>
    </row>
    <row r="93" spans="1:6" ht="24">
      <c r="A93" s="465">
        <v>19</v>
      </c>
      <c r="B93" s="3482"/>
      <c r="C93" s="454" t="s">
        <v>2018</v>
      </c>
      <c r="D93" s="454" t="s">
        <v>2019</v>
      </c>
      <c r="E93" s="465">
        <v>0.2</v>
      </c>
      <c r="F93" s="465">
        <v>25</v>
      </c>
    </row>
    <row r="94" spans="1:6" ht="14.4">
      <c r="A94" s="465">
        <v>20</v>
      </c>
      <c r="B94" s="3482"/>
      <c r="C94" s="454" t="s">
        <v>2020</v>
      </c>
      <c r="D94" s="454" t="s">
        <v>2021</v>
      </c>
      <c r="E94" s="465">
        <v>0.15</v>
      </c>
      <c r="F94" s="465">
        <v>20</v>
      </c>
    </row>
    <row r="95" spans="1:6" ht="24">
      <c r="A95" s="465">
        <v>21</v>
      </c>
      <c r="B95" s="3482"/>
      <c r="C95" s="454" t="s">
        <v>2022</v>
      </c>
      <c r="D95" s="454" t="s">
        <v>2023</v>
      </c>
      <c r="E95" s="465">
        <v>0.15</v>
      </c>
      <c r="F95" s="465">
        <v>20</v>
      </c>
    </row>
    <row r="96" spans="1:6" ht="24">
      <c r="A96" s="465">
        <v>22</v>
      </c>
      <c r="B96" s="3482"/>
      <c r="C96" s="454" t="s">
        <v>2024</v>
      </c>
      <c r="D96" s="454" t="s">
        <v>2025</v>
      </c>
      <c r="E96" s="465">
        <v>0.15</v>
      </c>
      <c r="F96" s="465">
        <v>20</v>
      </c>
    </row>
    <row r="97" spans="1:6" ht="36">
      <c r="A97" s="465">
        <v>23</v>
      </c>
      <c r="B97" s="3482"/>
      <c r="C97" s="454" t="s">
        <v>2026</v>
      </c>
      <c r="D97" s="454" t="s">
        <v>2027</v>
      </c>
      <c r="E97" s="465">
        <v>0.15</v>
      </c>
      <c r="F97" s="465">
        <v>20</v>
      </c>
    </row>
    <row r="98" spans="1:6" ht="24">
      <c r="A98" s="465">
        <v>24</v>
      </c>
      <c r="B98" s="3482"/>
      <c r="C98" s="454" t="s">
        <v>2028</v>
      </c>
      <c r="D98" s="454" t="s">
        <v>2029</v>
      </c>
      <c r="E98" s="465">
        <v>0.1</v>
      </c>
      <c r="F98" s="465">
        <v>15</v>
      </c>
    </row>
    <row r="99" spans="1:6" ht="24">
      <c r="A99" s="465">
        <v>25</v>
      </c>
      <c r="B99" s="3482"/>
      <c r="C99" s="454" t="s">
        <v>2030</v>
      </c>
      <c r="D99" s="454" t="s">
        <v>2031</v>
      </c>
      <c r="E99" s="465">
        <v>0.1</v>
      </c>
      <c r="F99" s="465">
        <v>15</v>
      </c>
    </row>
    <row r="100" spans="1:6" ht="24">
      <c r="A100" s="465">
        <v>26</v>
      </c>
      <c r="B100" s="3482"/>
      <c r="C100" s="454" t="s">
        <v>2032</v>
      </c>
      <c r="D100" s="454" t="s">
        <v>2033</v>
      </c>
      <c r="E100" s="465">
        <v>0.1</v>
      </c>
      <c r="F100" s="465">
        <v>15</v>
      </c>
    </row>
    <row r="101" spans="1:6" ht="24">
      <c r="A101" s="465">
        <v>27</v>
      </c>
      <c r="B101" s="3482"/>
      <c r="C101" s="454" t="s">
        <v>2034</v>
      </c>
      <c r="D101" s="454" t="s">
        <v>2035</v>
      </c>
      <c r="E101" s="465">
        <v>0.1</v>
      </c>
      <c r="F101" s="465">
        <v>15</v>
      </c>
    </row>
    <row r="102" spans="1:6" ht="24">
      <c r="A102" s="465">
        <v>28</v>
      </c>
      <c r="B102" s="3482"/>
      <c r="C102" s="454" t="s">
        <v>2036</v>
      </c>
      <c r="D102" s="454" t="s">
        <v>2037</v>
      </c>
      <c r="E102" s="465">
        <v>0.1</v>
      </c>
      <c r="F102" s="465">
        <v>15</v>
      </c>
    </row>
    <row r="103" spans="1:6" ht="24">
      <c r="A103" s="465">
        <v>29</v>
      </c>
      <c r="B103" s="3482"/>
      <c r="C103" s="454" t="s">
        <v>2038</v>
      </c>
      <c r="D103" s="454" t="s">
        <v>2039</v>
      </c>
      <c r="E103" s="465">
        <v>0.1</v>
      </c>
      <c r="F103" s="465">
        <v>15</v>
      </c>
    </row>
    <row r="104" spans="1:6" ht="24">
      <c r="A104" s="465">
        <v>30</v>
      </c>
      <c r="B104" s="3482"/>
      <c r="C104" s="454" t="s">
        <v>2040</v>
      </c>
      <c r="D104" s="454" t="s">
        <v>2041</v>
      </c>
      <c r="E104" s="465">
        <v>0.1</v>
      </c>
      <c r="F104" s="465">
        <v>15</v>
      </c>
    </row>
    <row r="105" spans="1:6" ht="24">
      <c r="A105" s="465">
        <v>31</v>
      </c>
      <c r="B105" s="3482"/>
      <c r="C105" s="454" t="s">
        <v>2042</v>
      </c>
      <c r="D105" s="454" t="s">
        <v>2043</v>
      </c>
      <c r="E105" s="465">
        <v>0.1</v>
      </c>
      <c r="F105" s="465">
        <v>15</v>
      </c>
    </row>
    <row r="106" spans="1:6" ht="24">
      <c r="A106" s="465">
        <v>32</v>
      </c>
      <c r="B106" s="3482"/>
      <c r="C106" s="454" t="s">
        <v>2044</v>
      </c>
      <c r="D106" s="454" t="s">
        <v>2045</v>
      </c>
      <c r="E106" s="465">
        <v>0.1</v>
      </c>
      <c r="F106" s="465">
        <v>15</v>
      </c>
    </row>
    <row r="107" spans="1:6" ht="24">
      <c r="A107" s="465">
        <v>33</v>
      </c>
      <c r="B107" s="3482"/>
      <c r="C107" s="454" t="s">
        <v>2046</v>
      </c>
      <c r="D107" s="454" t="s">
        <v>2047</v>
      </c>
      <c r="E107" s="465">
        <v>0.1</v>
      </c>
      <c r="F107" s="465">
        <v>15</v>
      </c>
    </row>
    <row r="108" spans="1:6" ht="24">
      <c r="A108" s="465">
        <v>34</v>
      </c>
      <c r="B108" s="3481"/>
      <c r="C108" s="454" t="s">
        <v>2048</v>
      </c>
      <c r="D108" s="454" t="s">
        <v>2049</v>
      </c>
      <c r="E108" s="465">
        <v>0.1</v>
      </c>
      <c r="F108" s="465">
        <v>15</v>
      </c>
    </row>
    <row r="109" spans="1:6" ht="36">
      <c r="A109" s="465">
        <v>35</v>
      </c>
      <c r="B109" s="3480" t="s">
        <v>2050</v>
      </c>
      <c r="C109" s="465" t="s">
        <v>2051</v>
      </c>
      <c r="D109" s="454" t="s">
        <v>2052</v>
      </c>
      <c r="E109" s="465">
        <v>0.15</v>
      </c>
      <c r="F109" s="465">
        <v>20</v>
      </c>
    </row>
    <row r="110" spans="1:6" ht="24">
      <c r="A110" s="465">
        <v>36</v>
      </c>
      <c r="B110" s="3482"/>
      <c r="C110" s="465" t="s">
        <v>2053</v>
      </c>
      <c r="D110" s="454" t="s">
        <v>2054</v>
      </c>
      <c r="E110" s="465">
        <v>0.15</v>
      </c>
      <c r="F110" s="465">
        <v>20</v>
      </c>
    </row>
    <row r="111" spans="1:6" ht="24">
      <c r="A111" s="465">
        <v>37</v>
      </c>
      <c r="B111" s="3482"/>
      <c r="C111" s="465" t="s">
        <v>2055</v>
      </c>
      <c r="D111" s="454" t="s">
        <v>2056</v>
      </c>
      <c r="E111" s="465">
        <v>0.15</v>
      </c>
      <c r="F111" s="465">
        <v>20</v>
      </c>
    </row>
    <row r="112" spans="1:6" ht="24">
      <c r="A112" s="465">
        <v>38</v>
      </c>
      <c r="B112" s="3482"/>
      <c r="C112" s="465" t="s">
        <v>2057</v>
      </c>
      <c r="D112" s="454" t="s">
        <v>2058</v>
      </c>
      <c r="E112" s="465">
        <v>0.1</v>
      </c>
      <c r="F112" s="465">
        <v>15</v>
      </c>
    </row>
    <row r="113" spans="1:6" ht="24">
      <c r="A113" s="465">
        <v>39</v>
      </c>
      <c r="B113" s="3482"/>
      <c r="C113" s="465" t="s">
        <v>2059</v>
      </c>
      <c r="D113" s="454" t="s">
        <v>2060</v>
      </c>
      <c r="E113" s="465">
        <v>0.1</v>
      </c>
      <c r="F113" s="465">
        <v>15</v>
      </c>
    </row>
    <row r="114" spans="1:6" ht="24">
      <c r="A114" s="465">
        <v>40</v>
      </c>
      <c r="B114" s="3481"/>
      <c r="C114" s="465" t="s">
        <v>2061</v>
      </c>
      <c r="D114" s="454" t="s">
        <v>2062</v>
      </c>
      <c r="E114" s="465">
        <v>0.1</v>
      </c>
      <c r="F114" s="465">
        <v>15</v>
      </c>
    </row>
    <row r="115" spans="1:6" ht="24">
      <c r="A115" s="465">
        <v>41</v>
      </c>
      <c r="B115" s="3479" t="s">
        <v>2063</v>
      </c>
      <c r="C115" s="465" t="s">
        <v>2064</v>
      </c>
      <c r="D115" s="454" t="s">
        <v>2065</v>
      </c>
      <c r="E115" s="465">
        <v>0.1</v>
      </c>
      <c r="F115" s="465">
        <v>15</v>
      </c>
    </row>
    <row r="116" spans="1:6" ht="24">
      <c r="A116" s="465">
        <v>42</v>
      </c>
      <c r="B116" s="3479"/>
      <c r="C116" s="465" t="s">
        <v>2066</v>
      </c>
      <c r="D116" s="454" t="s">
        <v>2067</v>
      </c>
      <c r="E116" s="465">
        <v>0.1</v>
      </c>
      <c r="F116" s="465">
        <v>15</v>
      </c>
    </row>
    <row r="117" spans="1:6" ht="24">
      <c r="A117" s="465">
        <v>43</v>
      </c>
      <c r="B117" s="3479"/>
      <c r="C117" s="465" t="s">
        <v>2068</v>
      </c>
      <c r="D117" s="454" t="s">
        <v>2069</v>
      </c>
      <c r="E117" s="465">
        <v>0.1</v>
      </c>
      <c r="F117" s="465">
        <v>15</v>
      </c>
    </row>
    <row r="118" spans="1:6" ht="24">
      <c r="A118" s="465">
        <v>44</v>
      </c>
      <c r="B118" s="3480" t="s">
        <v>2070</v>
      </c>
      <c r="C118" s="465" t="s">
        <v>2071</v>
      </c>
      <c r="D118" s="454" t="s">
        <v>2072</v>
      </c>
      <c r="E118" s="465">
        <v>0.1</v>
      </c>
      <c r="F118" s="465">
        <v>15</v>
      </c>
    </row>
    <row r="119" spans="1:6" ht="24">
      <c r="A119" s="465">
        <v>45</v>
      </c>
      <c r="B119" s="3481"/>
      <c r="C119" s="454" t="s">
        <v>2073</v>
      </c>
      <c r="D119" s="454" t="s">
        <v>2074</v>
      </c>
      <c r="E119" s="465">
        <v>0.1</v>
      </c>
      <c r="F119" s="465">
        <v>15</v>
      </c>
    </row>
    <row r="120" spans="1:6" ht="24">
      <c r="A120" s="465">
        <v>46</v>
      </c>
      <c r="B120" s="3480" t="s">
        <v>2075</v>
      </c>
      <c r="C120" s="465" t="s">
        <v>2076</v>
      </c>
      <c r="D120" s="454" t="s">
        <v>2077</v>
      </c>
      <c r="E120" s="465">
        <v>0.1</v>
      </c>
      <c r="F120" s="465">
        <v>15</v>
      </c>
    </row>
    <row r="121" spans="1:6" ht="24">
      <c r="A121" s="465">
        <v>47</v>
      </c>
      <c r="B121" s="3481"/>
      <c r="C121" s="465" t="s">
        <v>2078</v>
      </c>
      <c r="D121" s="454" t="s">
        <v>2079</v>
      </c>
      <c r="E121" s="465">
        <v>0.1</v>
      </c>
      <c r="F121" s="465">
        <v>15</v>
      </c>
    </row>
    <row r="122" spans="1:6" ht="24">
      <c r="A122" s="465">
        <v>48</v>
      </c>
      <c r="B122" s="3480" t="s">
        <v>2080</v>
      </c>
      <c r="C122" s="465" t="s">
        <v>2081</v>
      </c>
      <c r="D122" s="454" t="s">
        <v>2082</v>
      </c>
      <c r="E122" s="465">
        <v>0.1</v>
      </c>
      <c r="F122" s="465">
        <v>15</v>
      </c>
    </row>
    <row r="123" spans="1:6" ht="24">
      <c r="A123" s="465">
        <v>49</v>
      </c>
      <c r="B123" s="3481"/>
      <c r="C123" s="465" t="s">
        <v>2083</v>
      </c>
      <c r="D123" s="454" t="s">
        <v>2084</v>
      </c>
      <c r="E123" s="465">
        <v>0.1</v>
      </c>
      <c r="F123" s="465">
        <v>15</v>
      </c>
    </row>
    <row r="124" spans="1:6" ht="24">
      <c r="A124" s="465">
        <v>50</v>
      </c>
      <c r="B124" s="3479" t="s">
        <v>2085</v>
      </c>
      <c r="C124" s="465" t="s">
        <v>2086</v>
      </c>
      <c r="D124" s="454" t="s">
        <v>2087</v>
      </c>
      <c r="E124" s="465">
        <v>0.1</v>
      </c>
      <c r="F124" s="465">
        <v>15</v>
      </c>
    </row>
    <row r="125" spans="1:6" ht="24">
      <c r="A125" s="465">
        <v>51</v>
      </c>
      <c r="B125" s="3479"/>
      <c r="C125" s="465" t="s">
        <v>2088</v>
      </c>
      <c r="D125" s="454" t="s">
        <v>2089</v>
      </c>
      <c r="E125" s="465">
        <v>0.1</v>
      </c>
      <c r="F125" s="465">
        <v>15</v>
      </c>
    </row>
    <row r="126" spans="1:6" ht="24">
      <c r="A126" s="465">
        <v>52</v>
      </c>
      <c r="B126" s="3479" t="s">
        <v>2090</v>
      </c>
      <c r="C126" s="465" t="s">
        <v>2091</v>
      </c>
      <c r="D126" s="454" t="s">
        <v>2092</v>
      </c>
      <c r="E126" s="465">
        <v>0.1</v>
      </c>
      <c r="F126" s="465">
        <v>15</v>
      </c>
    </row>
    <row r="127" spans="1:6" ht="24">
      <c r="A127" s="465">
        <v>53</v>
      </c>
      <c r="B127" s="3479"/>
      <c r="C127" s="465" t="s">
        <v>2093</v>
      </c>
      <c r="D127" s="454" t="s">
        <v>2094</v>
      </c>
      <c r="E127" s="465">
        <v>0.1</v>
      </c>
      <c r="F127" s="465">
        <v>15</v>
      </c>
    </row>
    <row r="128" spans="1:6" ht="24">
      <c r="A128" s="465">
        <v>54</v>
      </c>
      <c r="B128" s="465" t="s">
        <v>2095</v>
      </c>
      <c r="C128" s="465" t="s">
        <v>2096</v>
      </c>
      <c r="D128" s="454" t="s">
        <v>2097</v>
      </c>
      <c r="E128" s="465">
        <v>0.1</v>
      </c>
      <c r="F128" s="465">
        <v>15</v>
      </c>
    </row>
    <row r="129" spans="1:6" ht="24">
      <c r="A129" s="465">
        <v>55</v>
      </c>
      <c r="B129" s="3479" t="s">
        <v>2098</v>
      </c>
      <c r="C129" s="465" t="s">
        <v>2099</v>
      </c>
      <c r="D129" s="454" t="s">
        <v>2100</v>
      </c>
      <c r="E129" s="465">
        <v>0.1</v>
      </c>
      <c r="F129" s="465">
        <v>15</v>
      </c>
    </row>
    <row r="130" spans="1:6" ht="24">
      <c r="A130" s="465">
        <v>56</v>
      </c>
      <c r="B130" s="3479"/>
      <c r="C130" s="465" t="s">
        <v>2101</v>
      </c>
      <c r="D130" s="454" t="s">
        <v>2102</v>
      </c>
      <c r="E130" s="465">
        <v>0.1</v>
      </c>
      <c r="F130" s="465">
        <v>15</v>
      </c>
    </row>
    <row r="131" spans="1:6" ht="24">
      <c r="A131" s="465">
        <v>57</v>
      </c>
      <c r="B131" s="3479"/>
      <c r="C131" s="465" t="s">
        <v>2103</v>
      </c>
      <c r="D131" s="454" t="s">
        <v>2104</v>
      </c>
      <c r="E131" s="465">
        <v>0.1</v>
      </c>
      <c r="F131" s="465">
        <v>15</v>
      </c>
    </row>
    <row r="132" spans="1:6" ht="24">
      <c r="A132" s="465">
        <v>58</v>
      </c>
      <c r="B132" s="3479" t="s">
        <v>2105</v>
      </c>
      <c r="C132" s="465" t="s">
        <v>2106</v>
      </c>
      <c r="D132" s="454" t="s">
        <v>2107</v>
      </c>
      <c r="E132" s="465">
        <v>0.1</v>
      </c>
      <c r="F132" s="465">
        <v>15</v>
      </c>
    </row>
    <row r="133" spans="1:6" ht="24">
      <c r="A133" s="465">
        <v>59</v>
      </c>
      <c r="B133" s="3479"/>
      <c r="C133" s="465" t="s">
        <v>2108</v>
      </c>
      <c r="D133" s="454" t="s">
        <v>2109</v>
      </c>
      <c r="E133" s="465">
        <v>0.1</v>
      </c>
      <c r="F133" s="465">
        <v>15</v>
      </c>
    </row>
    <row r="134" spans="1:6" ht="24">
      <c r="A134" s="465">
        <v>60</v>
      </c>
      <c r="B134" s="3480" t="s">
        <v>2110</v>
      </c>
      <c r="C134" s="465" t="s">
        <v>2111</v>
      </c>
      <c r="D134" s="454" t="s">
        <v>2112</v>
      </c>
      <c r="E134" s="465">
        <v>0.1</v>
      </c>
      <c r="F134" s="465">
        <v>15</v>
      </c>
    </row>
    <row r="135" spans="1:6" ht="24">
      <c r="A135" s="465">
        <v>61</v>
      </c>
      <c r="B135" s="3481"/>
      <c r="C135" s="465" t="s">
        <v>2113</v>
      </c>
      <c r="D135" s="454" t="s">
        <v>2114</v>
      </c>
      <c r="E135" s="465">
        <v>0.1</v>
      </c>
      <c r="F135" s="465">
        <v>15</v>
      </c>
    </row>
    <row r="136" spans="1:6" ht="24">
      <c r="A136" s="465">
        <v>62</v>
      </c>
      <c r="B136" s="465" t="s">
        <v>2115</v>
      </c>
      <c r="C136" s="465" t="s">
        <v>2116</v>
      </c>
      <c r="D136" s="454" t="s">
        <v>2117</v>
      </c>
      <c r="E136" s="465">
        <v>0.1</v>
      </c>
      <c r="F136" s="465">
        <v>15</v>
      </c>
    </row>
    <row r="137" spans="1:6" ht="24">
      <c r="A137" s="465">
        <v>63</v>
      </c>
      <c r="B137" s="3479" t="s">
        <v>2118</v>
      </c>
      <c r="C137" s="465" t="s">
        <v>2119</v>
      </c>
      <c r="D137" s="454" t="s">
        <v>2120</v>
      </c>
      <c r="E137" s="465">
        <v>0.1</v>
      </c>
      <c r="F137" s="465">
        <v>15</v>
      </c>
    </row>
    <row r="138" spans="1:6" ht="24">
      <c r="A138" s="465">
        <v>64</v>
      </c>
      <c r="B138" s="3479"/>
      <c r="C138" s="465" t="s">
        <v>2121</v>
      </c>
      <c r="D138" s="454" t="s">
        <v>2122</v>
      </c>
      <c r="E138" s="465">
        <v>0.1</v>
      </c>
      <c r="F138" s="465">
        <v>15</v>
      </c>
    </row>
    <row r="139" spans="1:6" ht="24">
      <c r="A139" s="465">
        <v>65</v>
      </c>
      <c r="B139" s="465" t="s">
        <v>2123</v>
      </c>
      <c r="C139" s="465" t="s">
        <v>2124</v>
      </c>
      <c r="D139" s="454" t="s">
        <v>2125</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2138</v>
      </c>
      <c r="B1" s="340"/>
      <c r="C1" s="341"/>
      <c r="D1" s="341"/>
      <c r="E1" s="341"/>
      <c r="F1" s="341"/>
      <c r="G1" s="342"/>
    </row>
    <row r="2" spans="1:7" s="331" customFormat="1" ht="18" customHeight="1">
      <c r="A2" s="343" t="s">
        <v>2139</v>
      </c>
      <c r="B2" s="344">
        <f ca="1">C52</f>
        <v>27955</v>
      </c>
      <c r="C2" s="345" t="s">
        <v>1470</v>
      </c>
      <c r="D2" s="342"/>
      <c r="E2" s="342"/>
      <c r="F2" s="342"/>
      <c r="G2" s="342"/>
    </row>
    <row r="3" spans="1:7" s="331" customFormat="1" ht="18" customHeight="1">
      <c r="A3" s="346" t="s">
        <v>2140</v>
      </c>
      <c r="B3" s="347">
        <f ca="1">ROUND(B2*10000/'数据-汇总表'!E3,0)</f>
        <v>2430870</v>
      </c>
      <c r="C3" s="345" t="s">
        <v>1649</v>
      </c>
      <c r="D3" s="342"/>
      <c r="E3" s="342"/>
      <c r="F3" s="342"/>
      <c r="G3" s="342"/>
    </row>
    <row r="4" spans="1:7" s="332" customFormat="1" ht="16.2">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115</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115</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6.4">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27890</v>
      </c>
      <c r="D31" s="399"/>
      <c r="E31" s="353"/>
      <c r="F31" s="400"/>
      <c r="G31" s="381" t="s">
        <v>2185</v>
      </c>
    </row>
    <row r="32" spans="1:7" s="332" customFormat="1" ht="16.2">
      <c r="A32" s="401" t="s">
        <v>2186</v>
      </c>
      <c r="B32" s="402"/>
      <c r="C32" s="402"/>
      <c r="D32" s="402"/>
      <c r="E32" s="402"/>
      <c r="F32" s="402"/>
      <c r="G32" s="403"/>
    </row>
    <row r="33" spans="1:7" s="333" customFormat="1" ht="13.5" customHeight="1">
      <c r="A33" s="351" t="s">
        <v>1034</v>
      </c>
      <c r="B33" s="352" t="s">
        <v>2187</v>
      </c>
      <c r="C33" s="404">
        <f>SUM(C34:C38)</f>
        <v>58</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52</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115</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9</v>
      </c>
      <c r="D45" s="379">
        <f>C47</f>
        <v>3.0000000000000001E-3</v>
      </c>
      <c r="E45" s="380" t="s">
        <v>2197</v>
      </c>
      <c r="F45" s="394"/>
      <c r="G45" s="395" t="s">
        <v>2200</v>
      </c>
    </row>
    <row r="46" spans="1:7" s="333" customFormat="1" ht="13.5" customHeight="1">
      <c r="A46" s="384" t="s">
        <v>1038</v>
      </c>
      <c r="B46" s="396" t="s">
        <v>2201</v>
      </c>
      <c r="C46" s="397">
        <f>ROUND((C33+C39)*F27,0)</f>
        <v>9</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77</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65</v>
      </c>
      <c r="D51" s="376"/>
      <c r="E51" s="376"/>
      <c r="F51" s="411"/>
      <c r="G51" s="381" t="s">
        <v>2212</v>
      </c>
    </row>
    <row r="52" spans="1:7" s="332" customFormat="1" ht="16.2">
      <c r="A52" s="412" t="s">
        <v>2213</v>
      </c>
      <c r="B52" s="413"/>
      <c r="C52" s="414">
        <f ca="1">C31+C51</f>
        <v>27955</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6" customWidth="1"/>
    <col min="2" max="2" width="37.21875" style="3116" customWidth="1"/>
    <col min="3" max="3" width="11.33203125" style="3116" customWidth="1"/>
    <col min="4" max="4" width="31.77734375" style="3116" customWidth="1"/>
    <col min="5" max="5" width="0.44140625" style="3116" customWidth="1"/>
    <col min="6" max="7" width="13" style="3116" customWidth="1"/>
    <col min="8" max="16384" width="9" style="3116"/>
  </cols>
  <sheetData>
    <row r="1" spans="1:5" ht="17.399999999999999">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18"/>
      <c r="B4" s="3183" t="s">
        <v>95</v>
      </c>
      <c r="C4" s="3183"/>
      <c r="D4" s="3183"/>
      <c r="E4" s="3118"/>
    </row>
    <row r="5" spans="1:5" ht="15.6">
      <c r="B5" s="3175" t="s">
        <v>96</v>
      </c>
      <c r="C5" s="3119" t="s">
        <v>97</v>
      </c>
      <c r="D5" s="3120">
        <f ca="1">结果表!H101</f>
        <v>197</v>
      </c>
    </row>
    <row r="6" spans="1:5" ht="15.6">
      <c r="B6" s="3175"/>
      <c r="C6" s="3119" t="s">
        <v>98</v>
      </c>
      <c r="D6" s="3120" t="str">
        <f ca="1">NUMBERSTRING(INT(D5*10000),2)&amp;"元整"</f>
        <v>壹佰玖拾柒万元整</v>
      </c>
    </row>
    <row r="7" spans="1:5" ht="15.6">
      <c r="B7" s="3176"/>
      <c r="C7" s="3121" t="s">
        <v>99</v>
      </c>
      <c r="D7" s="3122">
        <f ca="1">结果表!H102</f>
        <v>17127</v>
      </c>
    </row>
    <row r="8" spans="1:5" ht="15.6">
      <c r="B8" s="3177" t="str">
        <f>结果表!E103</f>
        <v>2.估价师知悉的法定优先受偿款</v>
      </c>
      <c r="C8" s="3123" t="s">
        <v>100</v>
      </c>
      <c r="D8" s="3122">
        <f>结果表!H103</f>
        <v>0</v>
      </c>
    </row>
    <row r="9" spans="1:5" ht="15.6">
      <c r="B9" s="3179"/>
      <c r="C9" s="3119" t="s">
        <v>98</v>
      </c>
      <c r="D9" s="3120" t="str">
        <f>NUMBERSTRING(INT(D8*10000),2)&amp;"元整"</f>
        <v>零元整</v>
      </c>
    </row>
    <row r="10" spans="1:5" ht="15.6">
      <c r="B10" s="3124" t="s">
        <v>101</v>
      </c>
      <c r="C10" s="3125" t="s">
        <v>102</v>
      </c>
      <c r="D10" s="3126">
        <f>结果表!H104</f>
        <v>0</v>
      </c>
    </row>
    <row r="11" spans="1:5" ht="15.6">
      <c r="B11" s="3124" t="s">
        <v>103</v>
      </c>
      <c r="C11" s="3125" t="s">
        <v>102</v>
      </c>
      <c r="D11" s="3126">
        <f>结果表!H105</f>
        <v>0</v>
      </c>
    </row>
    <row r="12" spans="1:5" ht="15.6">
      <c r="B12" s="3124" t="s">
        <v>104</v>
      </c>
      <c r="C12" s="3125" t="s">
        <v>102</v>
      </c>
      <c r="D12" s="3126">
        <f>结果表!H106</f>
        <v>0</v>
      </c>
    </row>
    <row r="13" spans="1:5" ht="15.6">
      <c r="B13" s="3174" t="str">
        <f>结果表!E107</f>
        <v>3.房地产抵押价值</v>
      </c>
      <c r="C13" s="3127" t="s">
        <v>97</v>
      </c>
      <c r="D13" s="3128">
        <f ca="1">结果表!H107</f>
        <v>197</v>
      </c>
    </row>
    <row r="14" spans="1:5" ht="15.6">
      <c r="B14" s="3175"/>
      <c r="C14" s="3119" t="s">
        <v>98</v>
      </c>
      <c r="D14" s="3120" t="str">
        <f ca="1">NUMBERSTRING(INT(D13*10000),2)&amp;"元整"</f>
        <v>壹佰玖拾柒万元整</v>
      </c>
    </row>
    <row r="15" spans="1:5" ht="15.6">
      <c r="B15" s="3176"/>
      <c r="C15" s="3121" t="s">
        <v>99</v>
      </c>
      <c r="D15" s="3129">
        <f ca="1">结果表!H108</f>
        <v>17127</v>
      </c>
    </row>
    <row r="16" spans="1:5" ht="15.6">
      <c r="B16" s="3177" t="str">
        <f>结果表!E109</f>
        <v>——</v>
      </c>
      <c r="C16" s="3127" t="s">
        <v>97</v>
      </c>
      <c r="D16" s="3130" t="str">
        <f>结果表!H109</f>
        <v>——</v>
      </c>
    </row>
    <row r="17" spans="1:5" ht="15.6">
      <c r="B17" s="3178"/>
      <c r="C17" s="3119" t="s">
        <v>98</v>
      </c>
      <c r="D17" s="3120" t="e">
        <f>NUMBERSTRING(INT(D16*10000),2)&amp;"元整"</f>
        <v>#VALUE!</v>
      </c>
    </row>
    <row r="18" spans="1:5" ht="15.6">
      <c r="B18" s="3179"/>
      <c r="C18" s="3121" t="s">
        <v>99</v>
      </c>
      <c r="D18" s="3129" t="str">
        <f>结果表!H110</f>
        <v>——</v>
      </c>
    </row>
    <row r="19" spans="1:5" ht="15.6">
      <c r="B19" s="3174" t="str">
        <f>结果表!E111</f>
        <v>——</v>
      </c>
      <c r="C19" s="3127" t="s">
        <v>97</v>
      </c>
      <c r="D19" s="3122" t="str">
        <f>结果表!H111</f>
        <v>——</v>
      </c>
    </row>
    <row r="20" spans="1:5" ht="15.6">
      <c r="B20" s="3175"/>
      <c r="C20" s="3119" t="s">
        <v>98</v>
      </c>
      <c r="D20" s="3120" t="e">
        <f>NUMBERSTRING(INT(D19*10000),2)&amp;"元整"</f>
        <v>#VALUE!</v>
      </c>
    </row>
    <row r="21" spans="1:5" ht="15.6">
      <c r="B21" s="3180"/>
      <c r="C21" s="3131" t="s">
        <v>99</v>
      </c>
      <c r="D21" s="3132" t="str">
        <f>结果表!H112</f>
        <v>——</v>
      </c>
    </row>
    <row r="22" spans="1:5">
      <c r="B22" s="3133" t="s">
        <v>105</v>
      </c>
    </row>
    <row r="24" spans="1:5" ht="17.399999999999999">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3.2">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3.2">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06" t="s">
        <v>2634</v>
      </c>
      <c r="C1" s="3506"/>
      <c r="D1" s="3506"/>
      <c r="E1" s="3506"/>
      <c r="F1" s="3506"/>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4.4">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4">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A28" sqref="A28"/>
    </sheetView>
  </sheetViews>
  <sheetFormatPr defaultRowHeight="14.4"/>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115</v>
      </c>
      <c r="C4" s="3113">
        <f>项目基本情况!C18</f>
        <v>0</v>
      </c>
      <c r="D4" s="3113" t="e">
        <f ca="1">结果表!D118</f>
        <v>#REF!</v>
      </c>
      <c r="E4" s="3113" t="e">
        <f ca="1">结果表!E118</f>
        <v>#REF!</v>
      </c>
      <c r="F4" s="3113" t="e">
        <f ca="1">结果表!F118</f>
        <v>#REF!</v>
      </c>
      <c r="G4" s="3113" t="e">
        <f ca="1">结果表!G118</f>
        <v>#REF!</v>
      </c>
      <c r="H4" s="3113">
        <f ca="1">结果表!H118</f>
        <v>197</v>
      </c>
      <c r="I4" s="3113">
        <f ca="1">结果表!I118</f>
        <v>17127</v>
      </c>
    </row>
    <row r="5" spans="1:9" ht="30" customHeight="1">
      <c r="A5" s="3187" t="s">
        <v>112</v>
      </c>
      <c r="B5" s="3187"/>
      <c r="C5" s="3187"/>
      <c r="D5" s="3187" t="e">
        <f ca="1">结果表!D119</f>
        <v>#REF!</v>
      </c>
      <c r="E5" s="3187"/>
      <c r="F5" s="3187" t="e">
        <f ca="1">结果表!F119</f>
        <v>#REF!</v>
      </c>
      <c r="G5" s="3187"/>
      <c r="H5" s="3187" t="str">
        <f ca="1">结果表!H119</f>
        <v>壹佰玖拾柒万元整</v>
      </c>
      <c r="I5" s="3187"/>
    </row>
    <row r="6" spans="1:9" ht="15.6">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6">
      <c r="A8" s="3184" t="str">
        <f>结果表!A122</f>
        <v>房地产抵押价值</v>
      </c>
      <c r="B8" s="3184"/>
      <c r="C8" s="3184"/>
      <c r="D8" s="3184">
        <f ca="1">结果表!D122</f>
        <v>197</v>
      </c>
      <c r="E8" s="3184"/>
      <c r="F8" s="3184"/>
      <c r="G8" s="3184"/>
      <c r="H8" s="3184"/>
      <c r="I8" s="3184"/>
    </row>
    <row r="9" spans="1:9" ht="15">
      <c r="A9" s="3187" t="s">
        <v>112</v>
      </c>
      <c r="B9" s="3187"/>
      <c r="C9" s="3187"/>
      <c r="D9" s="3187" t="str">
        <f ca="1">结果表!D123</f>
        <v>壹佰玖拾柒万元整</v>
      </c>
      <c r="E9" s="3187"/>
      <c r="F9" s="3187"/>
      <c r="G9" s="3187"/>
      <c r="H9" s="3187"/>
      <c r="I9" s="3187"/>
    </row>
    <row r="10" spans="1:9" ht="15.6">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6">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99" t="s">
        <v>114</v>
      </c>
      <c r="B1" s="3199"/>
      <c r="C1" s="3199"/>
      <c r="D1" s="3199"/>
    </row>
    <row r="2" spans="1:4" ht="17.399999999999999">
      <c r="A2" s="3200" t="s">
        <v>115</v>
      </c>
      <c r="B2" s="3200"/>
      <c r="C2" s="3200"/>
      <c r="D2" s="3200"/>
    </row>
    <row r="3" spans="1:4" ht="17.399999999999999">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7.399999999999999">
      <c r="A6" s="3200" t="s">
        <v>121</v>
      </c>
      <c r="B6" s="3200"/>
      <c r="C6" s="3200"/>
      <c r="D6" s="3200"/>
    </row>
    <row r="7" spans="1:4" ht="17.399999999999999">
      <c r="A7" s="3103" t="s">
        <v>116</v>
      </c>
      <c r="B7" s="3105" t="s">
        <v>122</v>
      </c>
      <c r="C7" s="3103" t="s">
        <v>118</v>
      </c>
      <c r="D7" s="3103" t="s">
        <v>119</v>
      </c>
    </row>
    <row r="8" spans="1:4" ht="56.25" customHeight="1">
      <c r="A8" s="3109" t="s">
        <v>123</v>
      </c>
      <c r="B8" s="3109" t="s">
        <v>124</v>
      </c>
      <c r="C8" s="3106"/>
      <c r="D8" s="3107" t="s">
        <v>120</v>
      </c>
    </row>
    <row r="10" spans="1:4" ht="17.399999999999999">
      <c r="A10" s="3102" t="s">
        <v>125</v>
      </c>
    </row>
    <row r="11" spans="1:4" ht="30" customHeight="1">
      <c r="A11" s="3201" t="s">
        <v>126</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7.399999999999999">
      <c r="A25" s="3111" t="s">
        <v>130</v>
      </c>
    </row>
    <row r="26" spans="1:4" ht="17.399999999999999">
      <c r="A26" s="3112"/>
    </row>
    <row r="27" spans="1:4" ht="17.399999999999999">
      <c r="A27" s="3112" t="s">
        <v>131</v>
      </c>
    </row>
    <row r="30" spans="1:4" ht="17.399999999999999">
      <c r="D30" s="3111"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9" customWidth="1"/>
    <col min="3" max="10" width="12.44140625" style="3099" customWidth="1"/>
    <col min="11" max="16384" width="9" style="3099"/>
  </cols>
  <sheetData>
    <row r="1" spans="1:1" ht="17.399999999999999">
      <c r="A1" s="3100" t="s">
        <v>133</v>
      </c>
    </row>
    <row r="2" spans="1:1" ht="17.399999999999999">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3" customWidth="1"/>
  </cols>
  <sheetData>
    <row r="1" spans="1:7" s="3082" customFormat="1" ht="17.399999999999999">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4.4">
      <c r="A15" s="3204" t="s">
        <v>146</v>
      </c>
      <c r="B15" s="3209" t="s">
        <v>147</v>
      </c>
      <c r="C15" s="3203"/>
    </row>
    <row r="16" spans="1:7" ht="14.4">
      <c r="A16" s="3205"/>
      <c r="B16" s="3209" t="s">
        <v>148</v>
      </c>
      <c r="C16" s="3203"/>
    </row>
    <row r="17" spans="1:3" ht="14.4">
      <c r="A17" s="3205"/>
      <c r="B17" s="3208" t="s">
        <v>149</v>
      </c>
      <c r="C17" s="3092" t="s">
        <v>146</v>
      </c>
    </row>
    <row r="18" spans="1:3" ht="14.4">
      <c r="A18" s="3205"/>
      <c r="B18" s="3208"/>
      <c r="C18" s="3092" t="s">
        <v>150</v>
      </c>
    </row>
    <row r="19" spans="1:3" ht="14.4">
      <c r="A19" s="3205"/>
      <c r="B19" s="3208"/>
      <c r="C19" s="3092" t="s">
        <v>151</v>
      </c>
    </row>
    <row r="20" spans="1:3" ht="14.4">
      <c r="A20" s="3206"/>
      <c r="B20" s="3202" t="s">
        <v>152</v>
      </c>
      <c r="C20" s="3203"/>
    </row>
    <row r="21" spans="1:3" ht="14.4">
      <c r="A21" s="3093" t="s">
        <v>153</v>
      </c>
      <c r="B21" s="3094"/>
      <c r="C21" s="3095"/>
    </row>
    <row r="22" spans="1:3" ht="14.4">
      <c r="A22" s="3207" t="s">
        <v>154</v>
      </c>
      <c r="B22" s="3202" t="s">
        <v>155</v>
      </c>
      <c r="C22" s="3203"/>
    </row>
    <row r="23" spans="1:3" ht="14.4">
      <c r="A23" s="3207"/>
      <c r="B23" s="3202" t="s">
        <v>156</v>
      </c>
      <c r="C23" s="3203"/>
    </row>
    <row r="24" spans="1:3" ht="14.4">
      <c r="A24" s="3207"/>
      <c r="B24" s="3202" t="s">
        <v>157</v>
      </c>
      <c r="C24" s="3203"/>
    </row>
    <row r="25" spans="1:3" ht="14.4">
      <c r="A25" s="3207"/>
      <c r="B25" s="3208" t="s">
        <v>158</v>
      </c>
      <c r="C25" s="3092" t="s">
        <v>159</v>
      </c>
    </row>
    <row r="26" spans="1:3" ht="14.4">
      <c r="A26" s="3207"/>
      <c r="B26" s="3208"/>
      <c r="C26" s="3092" t="s">
        <v>160</v>
      </c>
    </row>
    <row r="27" spans="1:3" ht="14.4">
      <c r="A27" s="3207"/>
      <c r="B27" s="3208"/>
      <c r="C27" s="3092" t="s">
        <v>161</v>
      </c>
    </row>
    <row r="28" spans="1:3" ht="14.4">
      <c r="A28" s="3207"/>
      <c r="B28" s="3208"/>
      <c r="C28" s="3092" t="s">
        <v>162</v>
      </c>
    </row>
    <row r="29" spans="1:3" ht="14.4">
      <c r="A29" s="3207"/>
      <c r="B29" s="3208"/>
      <c r="C29" s="3092" t="s">
        <v>163</v>
      </c>
    </row>
    <row r="30" spans="1:3" ht="14.4">
      <c r="A30" s="3207"/>
      <c r="B30" s="3208"/>
      <c r="C30" s="3092" t="s">
        <v>164</v>
      </c>
    </row>
    <row r="31" spans="1:3" ht="14.4">
      <c r="A31" s="3207"/>
      <c r="B31" s="3208"/>
      <c r="C31" s="3092" t="s">
        <v>165</v>
      </c>
    </row>
    <row r="32" spans="1:3" ht="14.4">
      <c r="A32" s="3207"/>
      <c r="B32" s="3208"/>
      <c r="C32" s="3092" t="s">
        <v>166</v>
      </c>
    </row>
    <row r="33" spans="1:3" ht="14.4">
      <c r="A33" s="3207"/>
      <c r="B33" s="3208"/>
      <c r="C33" s="3092" t="s">
        <v>167</v>
      </c>
    </row>
    <row r="34" spans="1:3">
      <c r="A34" s="3096" t="s">
        <v>168</v>
      </c>
    </row>
    <row r="37" spans="1:3">
      <c r="A37" s="3096" t="s">
        <v>169</v>
      </c>
    </row>
    <row r="38" spans="1:3" ht="14.4">
      <c r="A38" s="3097" t="s">
        <v>170</v>
      </c>
    </row>
    <row r="39" spans="1:3" ht="14.4">
      <c r="A39" s="3097" t="s">
        <v>171</v>
      </c>
    </row>
    <row r="40" spans="1:3" ht="14.4">
      <c r="A40" s="3097" t="s">
        <v>172</v>
      </c>
    </row>
    <row r="41" spans="1:3" ht="14.4">
      <c r="A41" s="3098" t="s">
        <v>173</v>
      </c>
    </row>
    <row r="42" spans="1:3" ht="14.4">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6"/>
      <c r="B1" s="3056"/>
      <c r="C1" s="3056"/>
      <c r="D1" s="3056"/>
      <c r="E1" s="3056"/>
      <c r="F1" s="3056"/>
      <c r="G1" s="3056"/>
      <c r="H1" s="3056"/>
    </row>
    <row r="2" spans="1:8" ht="24" customHeight="1">
      <c r="A2" s="3057" t="s">
        <v>175</v>
      </c>
      <c r="B2" s="3058">
        <f ca="1">TODAY()</f>
        <v>45960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ziyu wang</cp:lastModifiedBy>
  <cp:lastPrinted>2017-03-01T09:15:00Z</cp:lastPrinted>
  <dcterms:created xsi:type="dcterms:W3CDTF">2015-07-13T07:17:00Z</dcterms:created>
  <dcterms:modified xsi:type="dcterms:W3CDTF">2025-10-30T14:00:05Z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