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105" i="34" l="1"/>
  <c r="F105" i="34"/>
  <c r="G105" i="34"/>
  <c r="H105" i="34"/>
  <c r="I105" i="34"/>
  <c r="J105" i="34"/>
  <c r="K105" i="34"/>
  <c r="D105" i="34"/>
  <c r="K104" i="34"/>
  <c r="E104" i="34"/>
  <c r="F104" i="34"/>
  <c r="G104" i="34"/>
  <c r="H104" i="34"/>
  <c r="I104" i="34"/>
  <c r="J104" i="34"/>
  <c r="D4" i="31"/>
  <c r="E4" i="31"/>
  <c r="F4" i="31"/>
  <c r="G4" i="31"/>
  <c r="H4" i="31"/>
  <c r="I4" i="31"/>
  <c r="J4" i="31"/>
  <c r="B25" i="31"/>
  <c r="B26" i="31"/>
  <c r="B27" i="31"/>
  <c r="B28" i="31"/>
  <c r="B29" i="31"/>
  <c r="B30" i="31"/>
  <c r="B24" i="31"/>
  <c r="A25" i="31"/>
  <c r="A26" i="31"/>
  <c r="A27" i="31"/>
  <c r="A28" i="31"/>
  <c r="A29" i="31"/>
  <c r="A30" i="31"/>
  <c r="A24" i="31"/>
  <c r="I13" i="3"/>
  <c r="C13" i="3"/>
  <c r="BB13" i="3"/>
  <c r="BA13" i="3"/>
  <c r="AZ13" i="3"/>
  <c r="AZ5" i="3"/>
  <c r="E3" i="6"/>
  <c r="C34" i="34"/>
  <c r="F19" i="6"/>
  <c r="E18" i="31"/>
  <c r="D18" i="31"/>
  <c r="N6" i="1"/>
  <c r="G3" i="31"/>
  <c r="H3" i="31"/>
  <c r="I3" i="31"/>
  <c r="J3" i="31"/>
  <c r="D3" i="31"/>
  <c r="E3" i="31"/>
  <c r="F3" i="31"/>
  <c r="C4" i="31"/>
  <c r="C3" i="31"/>
  <c r="U6" i="1"/>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E34" i="34"/>
  <c r="F34" i="34"/>
  <c r="AA34" i="34"/>
  <c r="F35" i="34"/>
  <c r="AA35" i="34"/>
  <c r="F36" i="34"/>
  <c r="AA36" i="34"/>
  <c r="C37" i="34"/>
  <c r="E37" i="34"/>
  <c r="D112" i="34"/>
  <c r="E112" i="34"/>
  <c r="F112" i="34"/>
  <c r="F37" i="34"/>
  <c r="AA37"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R49" i="34"/>
  <c r="G48"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G34"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G112"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A6" i="1"/>
  <c r="G1" i="81"/>
  <c r="F6" i="81"/>
  <c r="E19" i="6"/>
  <c r="K6" i="1"/>
  <c r="F7" i="81"/>
  <c r="F8" i="81"/>
  <c r="C7" i="81"/>
  <c r="F9" i="81"/>
  <c r="C9" i="81"/>
  <c r="C6" i="81"/>
  <c r="C1" i="73"/>
  <c r="L1" i="73"/>
  <c r="F4" i="73"/>
  <c r="I1" i="73"/>
  <c r="B40" i="1"/>
  <c r="F11" i="81"/>
  <c r="C10" i="81"/>
  <c r="C5" i="81"/>
  <c r="C16" i="81"/>
  <c r="F29" i="81"/>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E8" i="6"/>
  <c r="F27" i="6"/>
  <c r="E27" i="6"/>
  <c r="K19" i="6"/>
  <c r="S6" i="1"/>
  <c r="C32" i="81"/>
  <c r="F33" i="81"/>
  <c r="C33" i="81"/>
  <c r="F34" i="81"/>
  <c r="M6" i="1"/>
  <c r="C34" i="81"/>
  <c r="F35" i="81"/>
  <c r="C35" i="81"/>
  <c r="F36" i="81"/>
  <c r="C36" i="81"/>
  <c r="F37" i="81"/>
  <c r="C37" i="81"/>
  <c r="C31" i="81"/>
  <c r="F38" i="81"/>
  <c r="C38" i="81"/>
  <c r="J1" i="73"/>
  <c r="F13" i="73"/>
  <c r="D5" i="73"/>
  <c r="D7" i="73"/>
  <c r="B22" i="1"/>
  <c r="E1" i="73"/>
  <c r="G1" i="73"/>
  <c r="B41" i="1"/>
  <c r="F42" i="81"/>
  <c r="F41" i="81"/>
  <c r="C41" i="81"/>
  <c r="F44" i="81"/>
  <c r="C44" i="81"/>
  <c r="F39" i="81"/>
  <c r="C42" i="81"/>
  <c r="C45" i="81"/>
  <c r="C46" i="81"/>
  <c r="C47" i="81"/>
  <c r="F21" i="81"/>
  <c r="C21" i="81"/>
  <c r="Y6" i="1"/>
  <c r="F48" i="81"/>
  <c r="C48" i="81"/>
  <c r="C49" i="81"/>
  <c r="F22" i="81"/>
  <c r="C22" i="81"/>
  <c r="F23" i="81"/>
  <c r="C23" i="81"/>
  <c r="C17" i="81"/>
  <c r="B44" i="1"/>
  <c r="F15" i="81"/>
  <c r="C15" i="81"/>
  <c r="F18" i="81"/>
  <c r="C18" i="81"/>
  <c r="BM13" i="3"/>
  <c r="BN13" i="3"/>
  <c r="BO13" i="3"/>
  <c r="BP13" i="3"/>
  <c r="BL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19" i="6"/>
  <c r="L19" i="6"/>
  <c r="M19" i="6"/>
  <c r="I19" i="6"/>
  <c r="H19" i="6"/>
  <c r="R19" i="6"/>
  <c r="R6" i="1"/>
  <c r="F20" i="81"/>
  <c r="B53" i="1"/>
  <c r="F19" i="81"/>
  <c r="C19" i="81"/>
  <c r="C14" i="81"/>
  <c r="C13" i="81"/>
  <c r="C24" i="81"/>
  <c r="F27" i="81"/>
  <c r="F25" i="81"/>
  <c r="E15" i="4"/>
  <c r="F6" i="1"/>
  <c r="L53" i="81"/>
  <c r="M52" i="81"/>
  <c r="J55" i="81"/>
  <c r="J56" i="81"/>
  <c r="J58" i="81"/>
  <c r="F1" i="81"/>
  <c r="E28" i="81"/>
  <c r="AE6" i="1"/>
  <c r="F26" i="81"/>
  <c r="C25" i="81"/>
  <c r="F28" i="81"/>
  <c r="C28" i="81"/>
  <c r="M6" i="81"/>
  <c r="M8" i="81"/>
  <c r="M7" i="81"/>
  <c r="J7" i="81"/>
  <c r="M9" i="81"/>
  <c r="J9" i="81"/>
  <c r="J6" i="81"/>
  <c r="M11" i="81"/>
  <c r="J10" i="81"/>
  <c r="J5" i="81"/>
  <c r="J25" i="81"/>
  <c r="J28" i="81"/>
  <c r="J29" i="81"/>
  <c r="J62" i="81"/>
  <c r="J60" i="81"/>
  <c r="J63" i="81"/>
  <c r="J64" i="81"/>
  <c r="J65" i="81"/>
  <c r="L51" i="81"/>
  <c r="D3" i="81"/>
  <c r="B3" i="81"/>
  <c r="D20" i="9"/>
  <c r="C17" i="9"/>
  <c r="D17" i="9"/>
  <c r="C18" i="9"/>
  <c r="D18" i="9"/>
  <c r="G20" i="9"/>
  <c r="R24" i="31"/>
  <c r="T24" i="31"/>
  <c r="C25" i="31"/>
  <c r="E25" i="31"/>
  <c r="G25" i="31"/>
  <c r="I25" i="31"/>
  <c r="K25" i="31"/>
  <c r="M25" i="31"/>
  <c r="O25" i="31"/>
  <c r="Q25" i="31"/>
  <c r="R25" i="31"/>
  <c r="T25" i="31"/>
  <c r="C26" i="31"/>
  <c r="E26" i="31"/>
  <c r="G26" i="31"/>
  <c r="I26" i="31"/>
  <c r="K26" i="31"/>
  <c r="M26" i="31"/>
  <c r="O26" i="31"/>
  <c r="Q26" i="31"/>
  <c r="R26" i="31"/>
  <c r="T26" i="31"/>
  <c r="C27" i="31"/>
  <c r="D6" i="31"/>
  <c r="E6" i="31"/>
  <c r="F6" i="31"/>
  <c r="E27" i="31"/>
  <c r="G27" i="31"/>
  <c r="I27" i="31"/>
  <c r="K27" i="31"/>
  <c r="M27" i="31"/>
  <c r="O27" i="31"/>
  <c r="Q27" i="31"/>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22" i="31"/>
  <c r="D14" i="74"/>
  <c r="I5" i="34"/>
  <c r="G14" i="74"/>
  <c r="B22" i="31"/>
  <c r="B14" i="7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BC10" i="3"/>
  <c r="BD10" i="3"/>
  <c r="BB10" i="3"/>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BJ5" i="3"/>
  <c r="BH5" i="3"/>
  <c r="BF5" i="3"/>
  <c r="BD5" i="3"/>
  <c r="AC5" i="3"/>
  <c r="BP5" i="3"/>
  <c r="BN5" i="3"/>
  <c r="G29" i="6"/>
  <c r="BK5" i="3"/>
  <c r="BI5" i="3"/>
  <c r="BG5" i="3"/>
  <c r="BE5" i="3"/>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BC5" i="3"/>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<sst xmlns="http://schemas.openxmlformats.org/spreadsheetml/2006/main" count="9043" uniqueCount="3877">
  <si>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</si>
  <si>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</si>
  <si>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</si>
  <si>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</si>
  <si>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</si>
  <si>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</si>
  <si>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</si>
  <si>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</si>
  <si>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</si>
  <si>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</si>
  <si>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</si>
  <si>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</si>
  <si>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</si>
  <si>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</si>
  <si>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</si>
  <si>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</si>
  <si>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</si>
  <si>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</si>
  <si>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</si>
  <si>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</si>
  <si>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</si>
  <si>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</si>
  <si>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</si>
  <si>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</si>
  <si>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</si>
  <si>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</si>
  <si>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</si>
  <si>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</si>
  <si>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</si>
  <si>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</si>
  <si>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</si>
  <si>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</si>
  <si>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</si>
  <si>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</si>
  <si>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</si>
  <si>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</si>
  <si>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</si>
  <si>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</si>
  <si>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</si>
  <si>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</si>
  <si>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</si>
  <si>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</si>
  <si>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</si>
  <si>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</si>
  <si>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</si>
  <si>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</si>
  <si>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</si>
  <si>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</si>
  <si>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</si>
  <si>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</si>
  <si>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</si>
  <si>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</si>
  <si>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</si>
  <si>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</si>
  <si>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</si>
  <si>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</si>
  <si>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</si>
  <si>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</si>
  <si>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</si>
  <si>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</si>
  <si>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</si>
  <si>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</si>
  <si>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</si>
  <si>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</si>
  <si>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</si>
  <si>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</si>
  <si>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</si>
  <si>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</si>
  <si>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</si>
  <si>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</si>
  <si>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</si>
  <si>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</si>
  <si>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</si>
  <si>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</si>
  <si>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</si>
  <si>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</si>
  <si>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</si>
  <si>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</si>
  <si>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</si>
  <si>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</si>
  <si>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</si>
  <si>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</si>
  <si>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</si>
  <si>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</si>
  <si>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</si>
  <si>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</si>
  <si>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</si>
  <si>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</si>
  <si>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</si>
  <si>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</si>
  <si>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</si>
  <si>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</si>
  <si>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</si>
  <si>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</si>
  <si>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</si>
  <si>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</si>
  <si>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</si>
  <si>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</si>
  <si>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</si>
  <si>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</si>
  <si>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</si>
  <si>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</si>
  <si>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</si>
  <si>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</si>
  <si>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</si>
  <si>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</si>
  <si>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</si>
  <si>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</si>
  <si>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</si>
  <si>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</si>
  <si>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</si>
  <si>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</si>
  <si>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</si>
  <si>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</si>
  <si>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</si>
  <si>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</si>
  <si>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</si>
  <si>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</si>
  <si>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</si>
  <si>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</si>
  <si>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</si>
  <si>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</si>
  <si>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</si>
  <si>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</si>
  <si>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</si>
  <si>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</si>
  <si>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</si>
  <si>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</si>
  <si>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</si>
  <si>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</si>
  <si>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</si>
  <si>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</si>
  <si>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</si>
  <si>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</si>
  <si>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</si>
  <si>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</si>
  <si>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</si>
  <si>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</si>
  <si>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</si>
  <si>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</si>
  <si>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</si>
  <si>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</si>
  <si>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</si>
  <si>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</si>
  <si>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</si>
  <si>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</si>
  <si>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</si>
  <si>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</si>
  <si>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</si>
  <si>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</si>
  <si>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</si>
  <si>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</si>
  <si>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</si>
  <si>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</si>
  <si>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</si>
  <si>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</si>
  <si>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</si>
  <si>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</si>
  <si>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</si>
  <si>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</si>
  <si>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</si>
  <si>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</si>
  <si>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</si>
  <si>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</si>
  <si>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</si>
  <si>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</si>
  <si>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</si>
  <si>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</si>
  <si>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</si>
  <si>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</si>
  <si>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</si>
  <si>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</si>
  <si>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</si>
  <si>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</si>
  <si>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</si>
  <si>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</si>
  <si>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</si>
  <si>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</si>
  <si>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</si>
  <si>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</si>
  <si>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</si>
  <si>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</si>
  <si>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</si>
  <si>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</si>
  <si>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</si>
  <si>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</si>
  <si>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</si>
  <si>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</si>
  <si>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</si>
  <si>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</si>
  <si>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</si>
  <si>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</si>
  <si>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</si>
  <si>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</si>
  <si>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</si>
  <si>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</si>
  <si>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</si>
  <si>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</si>
  <si>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</si>
  <si>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</si>
  <si>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</si>
  <si>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</si>
  <si>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</si>
  <si>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</si>
  <si>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</si>
  <si>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</si>
  <si>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</si>
  <si>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</si>
  <si>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</si>
  <si>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</si>
  <si>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</si>
  <si>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</si>
  <si>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</si>
  <si>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</si>
  <si>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</si>
  <si>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</si>
  <si>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</si>
  <si>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</si>
  <si>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</si>
  <si>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</si>
  <si>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</si>
  <si>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</si>
  <si>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</si>
  <si>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</si>
  <si>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</si>
  <si>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</si>
  <si>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</si>
  <si>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</si>
  <si>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</si>
  <si>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</si>
  <si>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</si>
  <si>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</si>
  <si>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</si>
  <si>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</si>
  <si>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</si>
  <si>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</si>
  <si>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</si>
  <si>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</si>
  <si>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</si>
  <si>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</si>
  <si>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</si>
  <si>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</si>
  <si>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</si>
  <si>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</si>
  <si>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</si>
  <si>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</si>
  <si>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</si>
  <si>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</si>
  <si>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</si>
  <si>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</si>
  <si>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</si>
  <si>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</si>
  <si>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</si>
  <si>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</si>
  <si>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</si>
  <si>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</si>
  <si>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</si>
  <si>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</si>
  <si>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</si>
  <si>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</si>
  <si>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</si>
  <si>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</si>
  <si>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</si>
  <si>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</si>
  <si>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</si>
  <si>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</si>
  <si>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</si>
  <si>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</si>
  <si>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</si>
  <si>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</si>
  <si>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</si>
  <si>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</si>
  <si>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</si>
  <si>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</si>
  <si>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</si>
  <si>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</si>
  <si>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</si>
  <si>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</si>
  <si>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</si>
  <si>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</si>
  <si>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</si>
  <si>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</si>
  <si>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</si>
  <si>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</si>
  <si>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</si>
  <si>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</si>
  <si>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</si>
  <si>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</si>
  <si>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</si>
  <si>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</si>
  <si>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</si>
  <si>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</si>
  <si>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</si>
  <si>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</si>
  <si>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</si>
  <si>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</si>
  <si>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</si>
  <si>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</si>
  <si>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</si>
  <si>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</si>
  <si>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</si>
  <si>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</si>
  <si>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</si>
  <si>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</si>
  <si>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</si>
  <si>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</si>
  <si>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</si>
  <si>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</si>
  <si>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</si>
  <si>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</si>
  <si>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</si>
  <si>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</si>
  <si>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</si>
  <si>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</si>
  <si>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</si>
  <si>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</si>
  <si>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</si>
  <si>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</si>
  <si>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</si>
  <si>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</si>
  <si>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</si>
  <si>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</si>
  <si>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</si>
  <si>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</si>
  <si>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</si>
  <si>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</si>
  <si>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</si>
  <si>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</si>
  <si>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</si>
  <si>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</si>
  <si>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</si>
  <si>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</si>
  <si>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</si>
  <si>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</si>
  <si>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</si>
  <si>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</si>
  <si>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</si>
  <si>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</si>
  <si>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</si>
  <si>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</si>
  <si>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</si>
  <si>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</si>
  <si>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</si>
  <si>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</si>
  <si>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</si>
  <si>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</si>
  <si>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</si>
  <si>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</si>
  <si>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</si>
  <si>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</si>
  <si>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</si>
  <si>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</si>
  <si>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</si>
  <si>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</si>
  <si>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</si>
  <si>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</si>
  <si>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</si>
  <si>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</si>
  <si>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</si>
  <si>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</si>
  <si>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</si>
  <si>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</si>
  <si>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</si>
  <si>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</si>
  <si>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</si>
  <si>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</si>
  <si>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</si>
  <si>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</si>
  <si>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</si>
  <si>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</si>
  <si>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</si>
  <si>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</si>
  <si>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</si>
  <si>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</si>
  <si>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</si>
  <si>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</si>
  <si>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</si>
  <si>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</si>
  <si>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</si>
  <si>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</si>
  <si>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</si>
  <si>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</si>
  <si>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</si>
  <si>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</si>
  <si>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</si>
  <si>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</si>
  <si>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</si>
  <si>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</si>
  <si>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</si>
  <si>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</si>
  <si>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</si>
  <si>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</si>
  <si>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</si>
  <si>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</si>
  <si>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</si>
  <si>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</si>
  <si>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</si>
  <si>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</si>
  <si>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</si>
  <si>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</si>
  <si>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</si>
  <si>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</si>
  <si>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</si>
  <si>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</si>
  <si>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</si>
  <si>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</si>
  <si>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</si>
  <si>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</si>
  <si>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</si>
  <si>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</si>
  <si>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</si>
  <si>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</si>
  <si>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</si>
  <si>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</si>
  <si>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</si>
  <si>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</si>
  <si>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</si>
  <si>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</si>
  <si>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</si>
  <si>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</si>
  <si>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</si>
  <si>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</si>
  <si>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</si>
  <si>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</si>
  <si>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</si>
  <si>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</si>
  <si>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</si>
  <si>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</si>
  <si>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</si>
  <si>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</si>
  <si>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</si>
  <si>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</si>
  <si>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</si>
  <si>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</si>
  <si>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</si>
  <si>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</si>
  <si>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</si>
  <si>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</si>
  <si>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</si>
  <si>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</si>
  <si>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</si>
  <si>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</si>
  <si>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</si>
  <si>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</si>
  <si>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</si>
  <si>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</si>
  <si>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</si>
  <si>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</si>
  <si>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</si>
  <si>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</si>
  <si>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</si>
  <si>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</si>
  <si>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</si>
  <si>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</si>
  <si>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</si>
  <si>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</si>
  <si>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</si>
  <si>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</si>
  <si>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</si>
  <si>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</si>
  <si>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</si>
  <si>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</si>
  <si>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</si>
  <si>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</si>
  <si>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</si>
  <si>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</si>
  <si>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</si>
  <si>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</si>
  <si>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</si>
  <si>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</si>
  <si>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</si>
  <si>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</si>
  <si>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</si>
  <si>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</si>
  <si>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</si>
  <si>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</si>
  <si>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</si>
  <si>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</si>
  <si>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</si>
  <si>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</si>
  <si>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</si>
  <si>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</si>
  <si>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</si>
  <si>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</si>
  <si>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</si>
  <si>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</si>
  <si>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</si>
  <si>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</si>
  <si>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</si>
  <si>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</si>
  <si>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</si>
  <si>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</si>
  <si>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</si>
  <si>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</si>
  <si>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</si>
  <si>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</si>
  <si>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</si>
  <si>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</si>
  <si>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</si>
  <si>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</si>
  <si>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</si>
  <si>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</si>
  <si>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</si>
  <si>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</si>
  <si>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</si>
  <si>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</si>
  <si>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</si>
  <si>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</si>
  <si>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</si>
  <si>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</si>
  <si>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</si>
  <si>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</si>
  <si>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</si>
  <si>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</si>
  <si>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</si>
  <si>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</si>
  <si>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</si>
  <si>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</si>
  <si>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</si>
  <si>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</si>
  <si>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</si>
  <si>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</si>
  <si>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</si>
  <si>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</si>
  <si>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</si>
  <si>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</si>
  <si>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</si>
  <si>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</si>
  <si>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</si>
  <si>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</si>
  <si>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</si>
  <si>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</si>
  <si>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</si>
  <si>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</si>
  <si>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</si>
  <si>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</si>
  <si>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</si>
  <si>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</si>
  <si>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</si>
  <si>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</si>
  <si>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</si>
  <si>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</si>
  <si>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</si>
  <si>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</si>
  <si>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</si>
  <si>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</si>
  <si>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</si>
  <si>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</si>
  <si>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</si>
  <si>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</si>
  <si>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</si>
  <si>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</si>
  <si>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</si>
  <si>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</si>
  <si>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</si>
  <si>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</si>
  <si>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</si>
  <si>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</si>
  <si>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</si>
  <si>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</si>
  <si>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</si>
  <si>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</si>
  <si>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</si>
  <si>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</si>
  <si>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</si>
  <si>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</si>
  <si>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</si>
  <si>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</si>
  <si>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</si>
  <si>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</si>
  <si>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</si>
  <si>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</si>
  <si>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</si>
  <si>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</si>
  <si>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</si>
  <si>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</si>
  <si>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</si>
  <si>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</si>
  <si>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</si>
  <si>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</si>
  <si>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</si>
  <si>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</si>
  <si>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</si>
  <si>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</si>
  <si>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</si>
  <si>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</si>
  <si>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</si>
  <si>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</si>
  <si>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</si>
  <si>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</si>
  <si>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</si>
  <si>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</si>
  <si>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</si>
  <si>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</si>
  <si>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</si>
  <si>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</si>
  <si>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</si>
  <si>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</si>
  <si>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</si>
  <si>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</si>
  <si>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</si>
  <si>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</si>
  <si>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</si>
  <si>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</si>
  <si>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</si>
  <si>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</si>
  <si>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</si>
  <si>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</si>
  <si>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</si>
  <si>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</si>
  <si>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</si>
  <si>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</si>
  <si>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</si>
  <si>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</si>
  <si>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</si>
  <si>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</si>
  <si>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</si>
  <si>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</si>
  <si>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</si>
  <si>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</si>
  <si>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</si>
  <si>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</si>
  <si>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</si>
  <si>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</si>
  <si>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</si>
  <si>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</si>
  <si>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</si>
  <si>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</si>
  <si>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</si>
  <si>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</si>
  <si>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</si>
  <si>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</si>
  <si>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</si>
  <si>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</si>
  <si>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</si>
  <si>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</si>
  <si>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</si>
  <si>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</si>
  <si>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</si>
  <si>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</si>
  <si>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</si>
  <si>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</si>
  <si>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</si>
  <si>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</si>
  <si>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</si>
  <si>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</si>
  <si>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</si>
  <si>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</si>
  <si>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</si>
  <si>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</si>
  <si>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</si>
  <si>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</si>
  <si>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</si>
  <si>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</si>
  <si>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</si>
  <si>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</si>
  <si>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</si>
  <si>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</si>
  <si>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</si>
  <si>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</si>
  <si>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</si>
  <si>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</si>
  <si>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</si>
  <si>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</si>
  <si>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</si>
  <si>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</si>
  <si>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</si>
  <si>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</si>
  <si>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</si>
  <si>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</si>
  <si>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</si>
  <si>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</si>
  <si>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</si>
  <si>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</si>
  <si>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</si>
  <si>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</si>
  <si>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</si>
  <si>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</si>
  <si>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</si>
  <si>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</si>
  <si>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</si>
  <si>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</si>
  <si>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</si>
  <si>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</si>
  <si>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</si>
  <si>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</si>
  <si>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</si>
  <si>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</si>
  <si>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</si>
  <si>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</si>
  <si>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</si>
  <si>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</si>
  <si>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</si>
  <si>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</si>
  <si>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</si>
  <si>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</si>
  <si>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</si>
  <si>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</si>
  <si>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</si>
  <si>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</si>
  <si>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</si>
  <si>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</si>
  <si>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</si>
  <si>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</si>
  <si>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</si>
  <si>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</si>
  <si>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</si>
  <si>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</si>
  <si>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</si>
  <si>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</si>
  <si>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</si>
  <si>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</si>
  <si>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</si>
  <si>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</si>
  <si>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</si>
  <si>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</si>
  <si>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</si>
  <si>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</si>
  <si>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</si>
  <si>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</si>
  <si>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</si>
  <si>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</si>
  <si>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</si>
  <si>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</si>
  <si>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</si>
  <si>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</si>
  <si>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</si>
  <si>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</si>
  <si>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</si>
  <si>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</si>
  <si>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</si>
  <si>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</si>
  <si>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</si>
  <si>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</si>
  <si>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</si>
  <si>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</si>
  <si>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</si>
  <si>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</si>
  <si>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</si>
  <si>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</si>
  <si>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</si>
  <si>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</si>
  <si>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</si>
  <si>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</si>
  <si>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</si>
  <si>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</si>
  <si>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</si>
  <si>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</si>
  <si>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</si>
  <si>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</si>
  <si>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</si>
  <si>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</si>
  <si>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</si>
  <si>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</si>
  <si>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</si>
  <si>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</si>
  <si>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</si>
  <si>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</si>
  <si>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</si>
  <si>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</si>
  <si>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</si>
  <si>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</si>
  <si>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</si>
  <si>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</si>
  <si>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</si>
  <si>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</si>
  <si>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</si>
  <si>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</si>
  <si>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</si>
  <si>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</si>
  <si>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</si>
  <si>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</si>
  <si>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</si>
  <si>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</si>
  <si>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</si>
  <si>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</si>
  <si>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</si>
  <si>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</si>
  <si>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</si>
  <si>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</si>
  <si>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</si>
  <si>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</si>
  <si>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</si>
  <si>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</si>
  <si>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</si>
  <si>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</si>
  <si>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</si>
  <si>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</si>
  <si>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</si>
  <si>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</si>
  <si>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</si>
  <si>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</si>
  <si>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</si>
  <si>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</si>
  <si>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</si>
  <si>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</si>
  <si>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</si>
  <si>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</si>
  <si>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</si>
  <si>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</si>
  <si>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</si>
  <si>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</si>
  <si>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</si>
  <si>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</si>
  <si>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</si>
  <si>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</si>
  <si>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</si>
  <si>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</si>
  <si>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</si>
  <si>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</si>
  <si>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</si>
  <si>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</si>
  <si>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</si>
  <si>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</si>
  <si>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</si>
  <si>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</si>
  <si>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</si>
  <si>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</si>
  <si>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</si>
  <si>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</si>
  <si>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</si>
  <si>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</si>
  <si>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</si>
  <si>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</si>
  <si>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</si>
  <si>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</si>
  <si>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</si>
  <si>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</si>
  <si>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</si>
  <si>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</si>
  <si>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</si>
  <si>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</si>
  <si>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</si>
  <si>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</si>
  <si>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</si>
  <si>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</si>
  <si>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</si>
  <si>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</si>
  <si>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</si>
  <si>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</si>
  <si>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</si>
  <si>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</si>
  <si>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</si>
  <si>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</si>
  <si>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</si>
  <si>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</si>
  <si>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</si>
  <si>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</si>
  <si>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</si>
  <si>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</si>
  <si>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</si>
  <si>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</si>
  <si>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</si>
  <si>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</si>
  <si>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</si>
  <si>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</si>
  <si>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</si>
  <si>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</si>
  <si>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</si>
  <si>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</si>
  <si>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</si>
  <si>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</si>
  <si>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</si>
  <si>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</si>
  <si>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</si>
  <si>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</si>
  <si>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</si>
  <si>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</si>
  <si>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</si>
  <si>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</si>
  <si>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</si>
  <si>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</si>
  <si>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</si>
  <si>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</si>
  <si>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</si>
  <si>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</si>
  <si>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</si>
  <si>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</si>
  <si>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</si>
  <si>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</si>
  <si>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</si>
  <si>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</si>
  <si>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</si>
  <si>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</si>
  <si>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</si>
  <si>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</si>
  <si>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</si>
  <si>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</si>
  <si>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</si>
  <si>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</si>
  <si>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</si>
  <si>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</si>
  <si>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</si>
  <si>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</si>
  <si>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</si>
  <si>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</si>
  <si>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</si>
  <si>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</si>
  <si>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</si>
  <si>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</si>
  <si>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</si>
  <si>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</si>
  <si>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</si>
  <si>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</si>
  <si>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</si>
  <si>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</si>
  <si>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</si>
  <si>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</si>
  <si>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</si>
  <si>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</si>
  <si>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</si>
  <si>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</si>
  <si>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</si>
  <si>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</si>
  <si>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</si>
  <si>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</si>
  <si>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</si>
  <si>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</si>
  <si>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</si>
  <si>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</si>
  <si>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</si>
  <si>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</si>
  <si>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</si>
  <si>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</si>
  <si>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</si>
  <si>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</si>
  <si>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</si>
  <si>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</si>
  <si>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</si>
  <si>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</si>
  <si>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</si>
  <si>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</si>
  <si>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</si>
  <si>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</si>
  <si>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</si>
  <si>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</si>
  <si>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</si>
  <si>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</si>
  <si>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</si>
  <si>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</si>
  <si>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</si>
  <si>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</si>
  <si>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</si>
  <si>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</si>
  <si>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</si>
  <si>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</si>
  <si>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</si>
  <si>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</si>
  <si>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</si>
  <si>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</si>
  <si>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</si>
  <si>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</si>
  <si>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</si>
  <si>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</si>
  <si>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</si>
  <si>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</si>
  <si>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</si>
  <si>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</si>
  <si>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</si>
  <si>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</si>
  <si>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</si>
  <si>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</si>
  <si>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</si>
  <si>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</si>
  <si>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</si>
  <si>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</si>
  <si>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</si>
  <si>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</si>
  <si>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</si>
  <si>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</si>
  <si>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</si>
  <si>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</si>
  <si>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</si>
  <si>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</si>
  <si>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</si>
  <si>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</si>
  <si>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</si>
  <si>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</si>
  <si>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</si>
  <si>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</si>
  <si>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</si>
  <si>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</si>
  <si>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</si>
  <si>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</si>
  <si>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</si>
  <si>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</si>
  <si>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</si>
  <si>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</si>
  <si>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</si>
  <si>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</si>
  <si>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</si>
  <si>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</si>
  <si>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</si>
  <si>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</si>
  <si>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</si>
  <si>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</si>
  <si>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</si>
  <si>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</si>
  <si>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</si>
  <si>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</si>
  <si>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</si>
  <si>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</si>
  <si>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</si>
  <si>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</si>
  <si>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</si>
  <si>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</si>
  <si>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</si>
  <si>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</si>
  <si>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</si>
  <si>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</si>
  <si>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</si>
  <si>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</si>
  <si>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</si>
  <si>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</si>
  <si>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</si>
  <si>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</si>
  <si>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</si>
  <si>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</si>
  <si>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</si>
  <si>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</si>
  <si>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</si>
  <si>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</si>
  <si>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</si>
  <si>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</si>
  <si>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</si>
  <si>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</si>
  <si>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</si>
  <si>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</si>
  <si>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</si>
  <si>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</si>
  <si>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</si>
  <si>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</si>
  <si>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</si>
  <si>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</si>
  <si>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</si>
  <si>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</si>
  <si>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</si>
  <si>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</si>
  <si>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</si>
  <si>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</si>
  <si>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</si>
  <si>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</si>
  <si>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</si>
  <si>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</si>
  <si>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</si>
  <si>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</si>
  <si>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</si>
  <si>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</si>
  <si>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</si>
  <si>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</si>
  <si>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</si>
  <si>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</si>
  <si>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</si>
  <si>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</si>
  <si>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</si>
  <si>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</si>
  <si>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</si>
  <si>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</si>
  <si>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</si>
  <si>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</si>
  <si>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</si>
  <si>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</si>
  <si>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</si>
  <si>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</si>
  <si>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</si>
  <si>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</si>
  <si>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</si>
  <si>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</si>
  <si>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</si>
  <si>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</si>
  <si>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</si>
  <si>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</si>
  <si>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</si>
  <si>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</si>
  <si>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</si>
  <si>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</si>
  <si>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</si>
  <si>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</si>
  <si>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</si>
  <si>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</si>
  <si>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</si>
  <si>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</si>
  <si>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</si>
  <si>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</si>
  <si>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</si>
  <si>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</si>
  <si>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</si>
  <si>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</si>
  <si>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</si>
  <si>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</si>
  <si>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</si>
  <si>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</si>
  <si>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</si>
  <si>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</si>
  <si>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</si>
  <si>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</si>
  <si>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</si>
  <si>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</si>
  <si>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</si>
  <si>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</si>
  <si>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</si>
  <si>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</si>
  <si>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</si>
  <si>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</si>
  <si>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</si>
  <si>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</si>
  <si>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</si>
  <si>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</si>
  <si>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</si>
  <si>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</si>
  <si>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</si>
  <si>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</si>
  <si>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</si>
  <si>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</si>
  <si>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</si>
  <si>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</si>
  <si>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</si>
  <si>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</si>
  <si>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</si>
  <si>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</si>
  <si>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</si>
  <si>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</si>
  <si>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</si>
  <si>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</si>
  <si>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</si>
  <si>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</si>
  <si>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</si>
  <si>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</si>
  <si>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</si>
  <si>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</si>
  <si>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</si>
  <si>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</si>
  <si>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</si>
  <si>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</si>
  <si>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</si>
  <si>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</si>
  <si>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</si>
  <si>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</si>
  <si>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</si>
  <si>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</si>
  <si>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</si>
  <si>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</si>
  <si>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</si>
  <si>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</si>
  <si>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</si>
  <si>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</si>
  <si>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</si>
  <si>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</si>
  <si>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</si>
  <si>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</si>
  <si>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</si>
  <si>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</si>
  <si>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</si>
  <si>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</si>
  <si>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</si>
  <si>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</si>
  <si>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</si>
  <si>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</si>
  <si>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</si>
  <si>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</si>
  <si>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</si>
  <si>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</si>
  <si>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</si>
  <si>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</si>
  <si>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</si>
  <si>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</si>
  <si>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</si>
  <si>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</si>
  <si>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</si>
  <si>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</si>
  <si>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</si>
  <si>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</si>
  <si>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</si>
  <si>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</si>
  <si>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</si>
  <si>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</si>
  <si>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</si>
  <si>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</si>
  <si>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</si>
  <si>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</si>
  <si>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</si>
  <si>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</si>
  <si>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</si>
  <si>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</si>
  <si>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</si>
  <si>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</si>
  <si>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</si>
  <si>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</si>
  <si>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</si>
  <si>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</si>
  <si>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</si>
  <si>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</si>
  <si>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</si>
  <si>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</si>
  <si>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</si>
  <si>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</si>
  <si>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</si>
  <si>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</si>
  <si>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</si>
  <si>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</si>
  <si>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</si>
  <si>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</si>
  <si>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</si>
  <si>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</si>
  <si>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</si>
  <si>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</si>
  <si>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</si>
  <si>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</si>
  <si>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</si>
  <si>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</si>
  <si>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</si>
  <si>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</si>
  <si>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</si>
  <si>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</si>
  <si>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</si>
  <si>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</si>
  <si>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</si>
  <si>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</si>
  <si>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</si>
  <si>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</si>
  <si>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</si>
  <si>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</si>
  <si>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</si>
  <si>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</si>
  <si>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</si>
  <si>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</si>
  <si>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</si>
  <si>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</si>
  <si>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</si>
  <si>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</si>
  <si>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</si>
  <si>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</si>
  <si>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</si>
  <si>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</si>
  <si>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</si>
  <si>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</si>
  <si>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</si>
  <si>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</si>
  <si>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</si>
  <si>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</si>
  <si>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</si>
  <si>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</si>
  <si>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</si>
  <si>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</si>
  <si>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</si>
  <si>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</si>
  <si>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</si>
  <si>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</si>
  <si>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</si>
  <si>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</si>
  <si>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</si>
  <si>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</si>
  <si>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</si>
  <si>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</si>
  <si>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</si>
  <si>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</si>
  <si>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</si>
  <si>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</si>
  <si>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</si>
  <si>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</si>
  <si>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</si>
  <si>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</si>
  <si>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</si>
  <si>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</si>
  <si>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</si>
  <si>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</si>
  <si>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</si>
  <si>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</si>
  <si>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</si>
  <si>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</si>
  <si>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</si>
  <si>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</si>
  <si>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</si>
  <si>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</si>
  <si>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</si>
  <si>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</si>
  <si>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</si>
  <si>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</si>
  <si>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</si>
  <si>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</si>
  <si>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</si>
  <si>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</si>
  <si>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</si>
  <si>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</si>
  <si>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</si>
  <si>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</si>
  <si>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</si>
  <si>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</si>
  <si>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</si>
  <si>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</si>
  <si>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</si>
  <si>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</si>
  <si>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</si>
  <si>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</si>
  <si>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</si>
  <si>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</si>
  <si>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</si>
  <si>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</si>
  <si>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</si>
  <si>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</si>
  <si>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</si>
  <si>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</si>
  <si>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</si>
  <si>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</si>
  <si>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</si>
  <si>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</si>
  <si>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</si>
  <si>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</si>
  <si>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</si>
  <si>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</si>
  <si>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</si>
  <si>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</si>
  <si>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</si>
  <si>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</si>
  <si>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</si>
  <si>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</si>
  <si>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</si>
  <si>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</si>
  <si>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</si>
  <si>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</si>
  <si>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</si>
  <si>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</si>
  <si>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</si>
  <si>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</si>
  <si>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</si>
  <si>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</si>
  <si>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</si>
  <si>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</si>
  <si>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</si>
  <si>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</si>
  <si>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</si>
  <si>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</si>
  <si>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</si>
  <si>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</si>
  <si>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</si>
  <si>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</si>
  <si>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</si>
  <si>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</si>
  <si>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</si>
  <si>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</si>
  <si>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</si>
  <si>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</si>
  <si>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</si>
  <si>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</si>
  <si>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</si>
  <si>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</si>
  <si>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</si>
  <si>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</si>
  <si>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</si>
  <si>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</si>
  <si>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</si>
  <si>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</si>
  <si>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</si>
  <si>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</si>
  <si>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</si>
  <si>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</si>
  <si>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</si>
  <si>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</si>
  <si>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</si>
  <si>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</si>
  <si>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</si>
  <si>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</si>
  <si>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</si>
  <si>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</si>
  <si>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</si>
  <si>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</si>
  <si>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</si>
  <si>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</si>
  <si>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</si>
  <si>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</si>
  <si>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</si>
  <si>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</si>
  <si>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</si>
  <si>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</si>
  <si>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</si>
  <si>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</si>
  <si>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</si>
  <si>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</si>
  <si>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</si>
  <si>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</si>
  <si>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</si>
  <si>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</si>
  <si>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</si>
  <si>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</si>
  <si>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</si>
  <si>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</si>
  <si>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</si>
  <si>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</si>
  <si>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</si>
  <si>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</si>
  <si>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</si>
  <si>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</si>
  <si>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</si>
  <si>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</si>
  <si>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</si>
  <si>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</si>
  <si>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</si>
  <si>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</si>
  <si>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</si>
  <si>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</si>
  <si>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</si>
  <si>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</si>
  <si>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</si>
  <si>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</si>
  <si>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</si>
  <si>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</si>
  <si>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</si>
  <si>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</si>
  <si>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</si>
  <si>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</si>
  <si>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</si>
  <si>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</si>
  <si>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</si>
  <si>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</si>
  <si>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</si>
  <si>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</si>
  <si>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</si>
  <si>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</si>
  <si>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</si>
  <si>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</si>
  <si>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</si>
  <si>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</si>
  <si>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</si>
  <si>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</si>
  <si>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</si>
  <si>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</si>
  <si>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</si>
  <si>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</si>
  <si>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</si>
  <si>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</si>
  <si>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</si>
  <si>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</si>
  <si>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</si>
  <si>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</si>
  <si>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</si>
  <si>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</si>
  <si>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</si>
  <si>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</si>
  <si>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</si>
  <si>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</si>
  <si>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</si>
  <si>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</si>
  <si>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</si>
  <si>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</si>
  <si>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</si>
  <si>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</si>
  <si>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</si>
  <si>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</si>
  <si>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</si>
  <si>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</si>
  <si>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</si>
  <si>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</si>
  <si>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</si>
  <si>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</si>
  <si>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</si>
  <si>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</si>
  <si>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</si>
  <si>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</si>
  <si>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</si>
  <si>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</si>
  <si>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</si>
  <si>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</si>
  <si>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</si>
  <si>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</si>
  <si>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</si>
  <si>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</si>
  <si>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</si>
  <si>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</si>
  <si>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</si>
  <si>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</si>
  <si>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</si>
  <si>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</si>
  <si>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</si>
  <si>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</si>
  <si>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</si>
  <si>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</si>
  <si>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</si>
  <si>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</si>
  <si>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</si>
  <si>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</si>
  <si>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</si>
  <si>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</si>
  <si>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</si>
  <si>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</si>
  <si>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</si>
  <si>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</si>
  <si>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</si>
  <si>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</si>
  <si>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</si>
  <si>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</si>
  <si>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</si>
  <si>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</si>
  <si>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</si>
  <si>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</si>
  <si>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</si>
  <si>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</si>
  <si>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</si>
  <si>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</si>
  <si>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</si>
  <si>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</si>
  <si>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</si>
  <si>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</si>
  <si>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</si>
  <si>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</si>
  <si>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</si>
  <si>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</si>
  <si>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</si>
  <si>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</si>
  <si>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</si>
  <si>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</si>
  <si>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</si>
  <si>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</si>
  <si>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</si>
  <si>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</si>
  <si>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</si>
  <si>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</si>
  <si>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</si>
  <si>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</si>
  <si>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</si>
  <si>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</si>
  <si>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</si>
  <si>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</si>
  <si>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</si>
  <si>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</si>
  <si>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</si>
  <si>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</si>
  <si>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</si>
  <si>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</si>
  <si>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</si>
  <si>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</si>
  <si>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</si>
  <si>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</si>
  <si>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</si>
  <si>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</si>
  <si>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</si>
  <si>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</si>
  <si>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</si>
  <si>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</si>
  <si>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</si>
  <si>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</si>
  <si>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</si>
  <si>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</si>
  <si>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</si>
  <si>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</si>
  <si>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</si>
  <si>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</si>
  <si>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</si>
  <si>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</si>
  <si>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</si>
  <si>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</si>
  <si>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</si>
  <si>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</si>
  <si>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</si>
  <si>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</si>
  <si>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</si>
  <si>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</si>
  <si>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</si>
  <si>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</si>
  <si>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</si>
  <si>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</si>
  <si>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</si>
  <si>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</si>
  <si>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</si>
  <si>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</si>
  <si>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</si>
  <si>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</si>
  <si>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</si>
  <si>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</si>
  <si>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</si>
  <si>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</si>
  <si>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</si>
  <si>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</si>
  <si>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</si>
  <si>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</si>
  <si>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</si>
  <si>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</si>
  <si>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</si>
  <si>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</si>
  <si>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</si>
  <si>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</si>
  <si>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</si>
  <si>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</si>
  <si>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</si>
  <si>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</si>
  <si>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</si>
  <si>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</si>
  <si>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</si>
  <si>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</si>
  <si>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</si>
  <si>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</si>
  <si>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</si>
  <si>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</si>
  <si>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</si>
  <si>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</si>
  <si>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</si>
  <si>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</si>
  <si>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</si>
  <si>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</si>
  <si>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</si>
  <si>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</si>
  <si>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</si>
  <si>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</si>
  <si>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</si>
  <si>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</si>
  <si>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</si>
  <si>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</si>
  <si>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</si>
  <si>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</si>
  <si>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</si>
  <si>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</si>
  <si>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</si>
  <si>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</si>
  <si>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</si>
  <si>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</si>
  <si>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</si>
  <si>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</si>
  <si>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</si>
  <si>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</si>
  <si>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</si>
  <si>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</si>
  <si>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</si>
  <si>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</si>
  <si>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</si>
  <si>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</si>
  <si>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</si>
  <si>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</si>
  <si>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</si>
  <si>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</si>
  <si>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</si>
  <si>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</si>
  <si>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</si>
  <si>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</si>
  <si>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</si>
  <si>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</si>
  <si>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</si>
  <si>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</si>
  <si>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</si>
  <si>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</si>
  <si>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</si>
  <si>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</si>
  <si>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</si>
  <si>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</si>
  <si>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</si>
  <si>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</si>
  <si>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</si>
  <si>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</si>
  <si>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</si>
  <si>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</si>
  <si>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</si>
  <si>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</si>
  <si>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</si>
  <si>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</si>
  <si>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</si>
  <si>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</si>
  <si>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</si>
  <si>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</si>
  <si>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</si>
  <si>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</si>
  <si>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</si>
  <si>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</si>
  <si>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</si>
  <si>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</si>
  <si>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</si>
  <si>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</si>
  <si>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</si>
  <si>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</si>
  <si>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</si>
  <si>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</si>
  <si>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</si>
  <si>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</si>
  <si>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</si>
  <si>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</si>
  <si>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</si>
  <si>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</si>
  <si>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</si>
  <si>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</si>
  <si>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</si>
  <si>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</si>
  <si>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</si>
  <si>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</si>
  <si>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</si>
  <si>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</si>
  <si>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</si>
  <si>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</si>
  <si>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</si>
  <si>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</si>
  <si>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</si>
  <si>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</si>
  <si>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</si>
  <si>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</si>
  <si>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</si>
  <si>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</si>
  <si>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</si>
  <si>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</si>
  <si>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</si>
  <si>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</si>
  <si>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</si>
  <si>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</si>
  <si>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</si>
  <si>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</si>
  <si>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</si>
  <si>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</si>
  <si>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</si>
  <si>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</si>
  <si>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</si>
  <si>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</si>
  <si>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</si>
  <si>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</si>
  <si>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</si>
  <si>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</si>
  <si>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</si>
  <si>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</si>
  <si>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</si>
  <si>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</si>
  <si>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</si>
  <si>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</si>
  <si>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</si>
  <si>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</si>
  <si>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</si>
  <si>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</si>
  <si>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</si>
  <si>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</si>
  <si>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</si>
  <si>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</si>
  <si>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</si>
  <si>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</si>
  <si>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</si>
  <si>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</si>
  <si>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</si>
  <si>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</si>
  <si>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</si>
  <si>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</si>
  <si>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</si>
  <si>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</si>
  <si>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</si>
  <si>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</si>
  <si>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</si>
  <si>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</si>
  <si>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</si>
  <si>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</si>
  <si>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</si>
  <si>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</si>
  <si>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</si>
  <si>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</si>
  <si>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</si>
  <si>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</si>
  <si>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</si>
  <si>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</si>
  <si>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</si>
  <si>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</si>
  <si>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</si>
  <si>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</si>
  <si>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</si>
  <si>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</si>
  <si>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</si>
  <si>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</si>
  <si>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</si>
  <si>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</si>
  <si>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</si>
  <si>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</si>
  <si>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</si>
  <si>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</si>
  <si>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</si>
  <si>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</si>
  <si>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</si>
  <si>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</si>
  <si>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</si>
  <si>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</si>
  <si>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</si>
  <si>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</si>
  <si>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</si>
  <si>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</si>
  <si>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</si>
  <si>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</si>
  <si>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</si>
  <si>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</si>
  <si>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</si>
  <si>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</si>
  <si>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</si>
  <si>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</si>
  <si>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</si>
  <si>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</si>
  <si>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</si>
  <si>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</si>
  <si>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</si>
  <si>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</si>
  <si>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</si>
  <si>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</si>
  <si>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</si>
  <si>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</si>
  <si>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</si>
  <si>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</si>
  <si>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</si>
  <si>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</si>
  <si>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</si>
  <si>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</si>
  <si>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</si>
  <si>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</si>
  <si>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</si>
  <si>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</si>
  <si>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</si>
  <si>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</si>
  <si>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</si>
  <si>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</si>
  <si>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</si>
  <si>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</si>
  <si>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</si>
  <si>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</si>
  <si>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</si>
  <si>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</si>
  <si>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</si>
  <si>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</si>
  <si>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</si>
  <si>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</si>
  <si>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</si>
  <si>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</si>
  <si>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</si>
  <si>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</si>
  <si>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</si>
  <si>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</si>
  <si>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</si>
  <si>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</si>
  <si>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</si>
  <si>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</si>
  <si>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</si>
  <si>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</si>
  <si>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</si>
  <si>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</si>
  <si>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</si>
  <si>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</si>
  <si>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</si>
  <si>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</si>
  <si>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</si>
  <si>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</si>
  <si>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</si>
  <si>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</si>
  <si>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</si>
  <si>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</si>
  <si>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</si>
  <si>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</si>
  <si>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</si>
  <si>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</si>
  <si>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</si>
  <si>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</si>
  <si>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</si>
  <si>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</si>
  <si>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</si>
  <si>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</si>
  <si>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</si>
  <si>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</si>
  <si>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</si>
  <si>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</si>
  <si>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</si>
  <si>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</si>
  <si>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</si>
  <si>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</si>
  <si>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</si>
  <si>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</si>
  <si>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</si>
  <si>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</si>
  <si>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</si>
  <si>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</si>
  <si>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</si>
  <si>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</si>
  <si>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</si>
  <si>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</si>
  <si>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</si>
  <si>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</si>
  <si>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</si>
  <si>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</si>
  <si>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</si>
  <si>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</si>
  <si>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</si>
  <si>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</si>
  <si>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</si>
  <si>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</si>
  <si>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</si>
  <si>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</si>
  <si>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</si>
  <si>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</si>
  <si>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</si>
  <si>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</si>
  <si>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</si>
  <si>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</si>
  <si>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</si>
  <si>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</si>
  <si>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</si>
  <si>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</si>
  <si>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</si>
  <si>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</si>
  <si>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</si>
  <si>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</si>
  <si>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</si>
  <si>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</si>
  <si>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</si>
  <si>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</si>
  <si>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</si>
  <si>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</si>
  <si>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</si>
  <si>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</si>
  <si>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</si>
  <si>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</si>
  <si>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</si>
  <si>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</si>
  <si>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</si>
  <si>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</si>
  <si>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</si>
  <si>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</si>
  <si>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</si>
  <si>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</si>
  <si>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</si>
  <si>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</si>
  <si>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</si>
  <si>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</si>
  <si>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</si>
  <si>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</si>
  <si>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</si>
  <si>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</si>
  <si>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</si>
  <si>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</si>
  <si>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</si>
  <si>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</si>
  <si>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</si>
  <si>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</si>
  <si>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</si>
  <si>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</si>
  <si>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</si>
  <si>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</si>
  <si>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</si>
  <si>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</si>
  <si>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</si>
  <si>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</si>
  <si>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</si>
  <si>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</si>
  <si>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</si>
  <si>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</si>
  <si>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</si>
  <si>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</si>
  <si>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</si>
  <si>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</si>
  <si>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</si>
  <si>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</si>
  <si>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</si>
  <si>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</si>
  <si>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</si>
  <si>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</si>
  <si>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</si>
  <si>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</si>
  <si>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</si>
  <si>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</si>
  <si>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</si>
  <si>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</si>
  <si>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</si>
  <si>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</si>
  <si>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</si>
  <si>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</si>
  <si>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</si>
  <si>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</si>
  <si>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</si>
  <si>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</si>
  <si>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</si>
  <si>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</si>
  <si>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</si>
  <si>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</si>
  <si>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</si>
  <si>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</si>
  <si>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</si>
  <si>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</si>
  <si>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</si>
  <si>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</si>
  <si>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</si>
  <si>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</si>
  <si>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</si>
  <si>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</si>
  <si>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</si>
  <si>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</si>
  <si>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</si>
  <si>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</si>
  <si>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</si>
  <si>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</si>
  <si>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</si>
  <si>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</si>
  <si>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</si>
  <si>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</si>
  <si>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</si>
  <si>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</si>
  <si>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</si>
  <si>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</si>
  <si>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</si>
  <si>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</si>
  <si>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</si>
  <si>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</si>
  <si>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</si>
  <si>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</si>
  <si>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</si>
  <si>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</si>
  <si>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</si>
  <si>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</si>
  <si>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</si>
  <si>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</si>
  <si>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</si>
  <si>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</si>
  <si>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</si>
  <si>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</si>
  <si>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</si>
  <si>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</si>
  <si>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</si>
  <si>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</si>
  <si>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</si>
  <si>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</si>
  <si>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</si>
  <si>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</si>
  <si>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</si>
  <si>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</si>
  <si>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</si>
  <si>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</si>
  <si>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</si>
  <si>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</si>
  <si>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</si>
  <si>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</si>
  <si>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</si>
  <si>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</si>
  <si>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</si>
  <si>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</si>
  <si>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</si>
  <si>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</si>
  <si>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</si>
  <si>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</si>
  <si>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</si>
  <si>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</si>
  <si>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</si>
  <si>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</si>
  <si>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</si>
  <si>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</si>
  <si>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</si>
  <si>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</si>
  <si>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</si>
  <si>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</si>
  <si>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</si>
  <si>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</si>
  <si>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</si>
  <si>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</si>
  <si>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</si>
  <si>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</si>
  <si>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</si>
  <si>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</si>
  <si>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</si>
  <si>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</si>
  <si>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</si>
  <si>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</si>
  <si>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</si>
  <si>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</si>
  <si>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</si>
  <si>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</si>
  <si>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</si>
  <si>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</si>
  <si>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</si>
  <si>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</si>
  <si>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</si>
  <si>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</si>
  <si>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</si>
  <si>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</si>
  <si>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</si>
  <si>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</si>
  <si>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</si>
  <si>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</si>
  <si>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</si>
  <si>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</si>
  <si>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</si>
  <si>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</si>
  <si>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</si>
  <si>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</si>
  <si>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</si>
  <si>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</si>
  <si>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</si>
  <si>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</si>
  <si>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</si>
  <si>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</si>
  <si>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</si>
  <si>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</si>
  <si>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</si>
  <si>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</si>
  <si>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</si>
  <si>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</si>
  <si>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</si>
  <si>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</si>
  <si>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</si>
  <si>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</si>
  <si>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</si>
  <si>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</si>
  <si>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</si>
  <si>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</si>
  <si>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</si>
  <si>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</si>
  <si>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</si>
  <si>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</si>
  <si>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</si>
  <si>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</si>
  <si>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</si>
  <si>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</si>
  <si>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</si>
  <si>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</si>
  <si>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</si>
  <si>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</si>
  <si>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</si>
  <si>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</si>
  <si>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</si>
  <si>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</si>
  <si>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</si>
  <si>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</si>
  <si>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</si>
  <si>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</si>
  <si>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</si>
  <si>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</si>
  <si>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</si>
  <si>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</si>
  <si>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</si>
  <si>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</si>
  <si>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</si>
  <si>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</si>
  <si>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</si>
  <si>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</si>
  <si>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</si>
  <si>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</si>
  <si>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</si>
  <si>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</si>
  <si>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</si>
  <si>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</si>
  <si>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</si>
  <si>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</si>
  <si>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</si>
  <si>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</si>
  <si>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</si>
  <si>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</si>
  <si>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</si>
  <si>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</si>
  <si>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</si>
  <si>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</si>
  <si>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</si>
  <si>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</si>
  <si>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</si>
  <si>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</si>
  <si>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</si>
  <si>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</si>
  <si>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</si>
  <si>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</si>
  <si>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</si>
  <si>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</si>
  <si>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</si>
  <si>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</si>
  <si>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</si>
  <si>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</si>
  <si>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</si>
  <si>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</si>
  <si>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</si>
  <si>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</si>
  <si>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</si>
  <si>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</si>
  <si>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</si>
  <si>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</si>
  <si>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</si>
  <si>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</si>
  <si>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</si>
  <si>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</si>
  <si>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</si>
  <si>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</si>
  <si>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</si>
  <si>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</si>
  <si>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</si>
  <si>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</si>
  <si>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</si>
  <si>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</si>
  <si>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</si>
  <si>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</si>
  <si>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</si>
  <si>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</si>
  <si>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</si>
  <si>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</si>
  <si>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</si>
  <si>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</si>
  <si>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</si>
  <si>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</si>
  <si>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</si>
  <si>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</si>
  <si>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</si>
  <si>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</si>
  <si>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</si>
  <si>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</si>
  <si>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</si>
  <si>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</si>
  <si>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</si>
  <si>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</si>
  <si>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</si>
  <si>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</si>
  <si>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</si>
  <si>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</si>
  <si>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</si>
  <si>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</si>
  <si>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</si>
  <si>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</si>
  <si>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</si>
  <si>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</si>
  <si>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</si>
  <si>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</si>
  <si>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</si>
  <si>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</si>
  <si>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</si>
  <si>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</si>
  <si>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</si>
  <si>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</si>
  <si>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</si>
  <si>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</si>
  <si>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</si>
  <si>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</si>
  <si>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</si>
  <si>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</si>
  <si>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</si>
  <si>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</si>
  <si>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</si>
  <si>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</si>
  <si>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</si>
  <si>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</si>
  <si>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</si>
  <si>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</si>
  <si>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</si>
  <si>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</si>
  <si>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</si>
  <si>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</si>
  <si>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</si>
  <si>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</si>
  <si>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</si>
  <si>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</si>
  <si>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</si>
  <si>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</si>
  <si>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</si>
  <si>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</si>
  <si>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</si>
  <si>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</si>
  <si>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</si>
  <si>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</si>
  <si>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</si>
  <si>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</si>
  <si>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</si>
  <si>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</si>
  <si>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</si>
  <si>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</si>
  <si>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</si>
  <si>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</si>
  <si>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</si>
  <si>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</si>
  <si>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</si>
  <si>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</si>
  <si>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</si>
  <si>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</si>
  <si>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</si>
  <si>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</si>
  <si>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</si>
  <si>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</si>
  <si>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</si>
  <si>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</si>
  <si>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</si>
  <si>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</si>
  <si>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</si>
  <si>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</si>
  <si>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</si>
  <si>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</si>
  <si>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</si>
  <si>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</si>
  <si>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</si>
  <si>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</si>
  <si>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</si>
  <si>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</si>
  <si>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</si>
  <si>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</si>
  <si>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</si>
  <si>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</si>
  <si>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</si>
  <si>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</si>
  <si>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</si>
  <si>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</si>
  <si>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</si>
  <si>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</si>
  <si>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</si>
  <si>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</si>
  <si>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</si>
  <si>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</si>
  <si>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</si>
  <si>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</si>
  <si>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</si>
  <si>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</si>
  <si>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</si>
  <si>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</si>
  <si>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</si>
  <si>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</si>
  <si>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</si>
  <si>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</si>
  <si>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</si>
  <si>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</si>
  <si>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</si>
  <si>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</si>
  <si>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</si>
  <si>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</si>
  <si>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</si>
  <si>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</si>
  <si>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</si>
  <si>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</si>
  <si>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</si>
  <si>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</si>
  <si>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</si>
  <si>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</si>
  <si>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</si>
  <si>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</si>
  <si>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</si>
  <si>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</si>
  <si>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</si>
  <si>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</si>
  <si>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</si>
  <si>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</si>
  <si>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</si>
  <si>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</si>
  <si>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</si>
  <si>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</si>
  <si>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</si>
  <si>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</si>
  <si>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</si>
  <si>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</si>
  <si>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</si>
  <si>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</si>
  <si>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</si>
  <si>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</si>
  <si>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</si>
  <si>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</si>
  <si>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</si>
  <si>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</si>
  <si>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</si>
  <si>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</si>
  <si>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</si>
  <si>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</si>
  <si>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</si>
  <si>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</si>
  <si>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</si>
  <si>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</si>
  <si>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</si>
  <si>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</si>
  <si>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</si>
  <si>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</si>
  <si>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</si>
  <si>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</si>
  <si>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</si>
  <si>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</si>
  <si>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</si>
  <si>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</si>
  <si>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</si>
  <si>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</si>
  <si>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</si>
  <si>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</si>
  <si>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</si>
  <si>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</si>
  <si>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</si>
  <si>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</si>
  <si>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</si>
  <si>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</si>
  <si>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</si>
  <si>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</si>
  <si>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</si>
  <si>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</si>
  <si>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</si>
  <si>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</si>
  <si>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</si>
  <si>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</si>
  <si>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</si>
  <si>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</si>
  <si>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</si>
  <si>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</si>
  <si>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</si>
  <si>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</si>
  <si>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</si>
  <si>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</si>
  <si>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</si>
  <si>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</si>
  <si>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</si>
  <si>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</si>
  <si>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</si>
  <si>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</si>
  <si>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</si>
  <si>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</si>
  <si>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</si>
  <si>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</si>
  <si>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</si>
  <si>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</si>
  <si>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</si>
  <si>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</si>
  <si>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</si>
  <si>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</si>
  <si>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</si>
  <si>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</si>
  <si>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</si>
  <si>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</si>
  <si>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</si>
  <si>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</si>
  <si>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</si>
  <si>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</si>
  <si>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</si>
  <si>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</si>
  <si>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</si>
  <si>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</si>
  <si>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</si>
  <si>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</si>
  <si>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</si>
  <si>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</si>
  <si>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</si>
  <si>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</si>
  <si>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</si>
  <si>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</si>
  <si>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</si>
  <si>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</si>
  <si>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</si>
  <si>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</si>
  <si>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</si>
  <si>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</si>
  <si>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</si>
  <si>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</si>
  <si>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</si>
  <si>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</si>
  <si>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</si>
  <si>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</si>
  <si>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</si>
  <si>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</si>
  <si>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</si>
  <si>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</si>
  <si>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</si>
  <si>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</si>
  <si>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</si>
  <si>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</si>
  <si>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</si>
  <si>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</si>
  <si>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</si>
  <si>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</si>
  <si>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</si>
  <si>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</si>
  <si>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</si>
  <si>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</si>
  <si>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</si>
  <si>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</si>
  <si>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</si>
  <si>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</si>
  <si>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</si>
  <si>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</si>
  <si>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</si>
  <si>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</si>
  <si>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</si>
  <si>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</si>
  <si>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</si>
  <si>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</si>
  <si>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</si>
  <si>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</si>
  <si>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</si>
  <si>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</si>
  <si>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</si>
  <si>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</si>
  <si>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</si>
  <si>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</si>
  <si>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</si>
  <si>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</si>
  <si>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</si>
  <si>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</si>
  <si>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</si>
  <si>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</si>
  <si>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</si>
  <si>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</si>
  <si>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</si>
  <si>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</si>
  <si>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</si>
  <si>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</si>
  <si>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</si>
  <si>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</si>
  <si>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</si>
  <si>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</si>
  <si>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</si>
  <si>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</si>
  <si>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</si>
  <si>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</si>
  <si>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</si>
  <si>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</si>
  <si>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</si>
  <si>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</si>
  <si>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</si>
  <si>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</si>
  <si>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</si>
  <si>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</si>
  <si>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</si>
  <si>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</si>
  <si>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</si>
  <si>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</si>
  <si>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</si>
  <si>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</si>
  <si>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</si>
  <si>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</si>
  <si>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</si>
  <si>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</si>
  <si>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</si>
  <si>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</si>
  <si>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</si>
  <si>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</si>
  <si>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</si>
  <si>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</si>
  <si>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</si>
  <si>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</si>
  <si>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</si>
  <si>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</si>
  <si>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</si>
  <si>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</si>
  <si>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</si>
  <si>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</si>
  <si>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</si>
  <si>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</si>
  <si>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</si>
  <si>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</si>
  <si>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</si>
  <si>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</si>
  <si>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</si>
  <si>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</si>
  <si>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</si>
  <si>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</si>
  <si>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</si>
  <si>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</si>
  <si>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</si>
  <si>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</si>
  <si>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</si>
  <si>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</si>
  <si>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</si>
  <si>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</si>
  <si>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</si>
  <si>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</si>
  <si>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</si>
  <si>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</si>
  <si>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</si>
  <si>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</si>
  <si>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</si>
  <si>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</si>
  <si>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</si>
  <si>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</si>
  <si>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</si>
  <si>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</si>
  <si>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</si>
  <si>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</si>
  <si>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</si>
  <si>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</si>
  <si>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</si>
  <si>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</si>
  <si>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</si>
  <si>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</si>
  <si>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</si>
  <si>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</si>
  <si>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</si>
  <si>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</si>
  <si>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</si>
  <si>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</si>
  <si>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</si>
  <si>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</si>
  <si>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</si>
  <si>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</si>
  <si>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</si>
  <si>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</si>
  <si>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</si>
  <si>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</si>
  <si>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</si>
  <si>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</si>
  <si>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</si>
  <si>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</si>
  <si>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</si>
  <si>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</si>
  <si>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</si>
  <si>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</si>
  <si>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</si>
  <si>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</si>
  <si>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</si>
  <si>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</si>
  <si>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</si>
  <si>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</si>
  <si>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</si>
  <si>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</si>
  <si>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</si>
  <si>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</si>
  <si>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</si>
  <si>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</si>
  <si>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</si>
  <si>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</si>
  <si>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</si>
  <si>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</si>
  <si>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</si>
  <si>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</si>
  <si>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</si>
  <si>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</si>
  <si>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</si>
  <si>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</si>
  <si>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</si>
  <si>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</si>
  <si>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</si>
  <si>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</si>
  <si>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</si>
  <si>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</si>
  <si>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</si>
  <si>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</si>
  <si>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</si>
  <si>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</si>
  <si>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</si>
  <si>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</si>
  <si>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</si>
  <si>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</si>
  <si>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</si>
  <si>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</si>
  <si>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</si>
  <si>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</si>
  <si>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</si>
  <si>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</si>
  <si>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</si>
  <si>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</si>
  <si>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</si>
  <si>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</si>
  <si>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</si>
  <si>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</si>
  <si>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</si>
  <si>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</si>
  <si>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</si>
  <si>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</si>
  <si>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</si>
  <si>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</si>
  <si>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</si>
  <si>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</si>
  <si>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</si>
  <si>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</si>
  <si>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</si>
  <si>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</si>
  <si>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</si>
  <si>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</si>
  <si>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</si>
  <si>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</si>
  <si>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</si>
  <si>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</si>
  <si>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</si>
  <si>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</si>
  <si>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</si>
  <si>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</si>
  <si>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</si>
  <si>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</si>
  <si>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</si>
  <si>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</si>
  <si>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</si>
  <si>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</si>
  <si>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</si>
  <si>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</si>
  <si>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</si>
  <si>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</si>
  <si>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</si>
  <si>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</si>
  <si>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</si>
  <si>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</si>
  <si>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</si>
  <si>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</si>
  <si>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</si>
  <si>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</si>
  <si>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</si>
  <si>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</si>
  <si>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</si>
  <si>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</si>
  <si>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</si>
  <si>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</si>
  <si>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</si>
  <si>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</si>
  <si>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</si>
  <si>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</si>
  <si>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</si>
  <si>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</si>
  <si>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</si>
  <si>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</si>
  <si>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</si>
  <si>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</si>
  <si>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</si>
  <si>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</si>
  <si>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</si>
  <si>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</si>
  <si>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</si>
  <si>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</si>
  <si>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</si>
  <si>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</si>
  <si>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</si>
  <si>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</si>
  <si>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</si>
  <si>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</si>
  <si>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</si>
  <si>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</si>
  <si>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</si>
  <si>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</si>
  <si>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</si>
  <si>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</si>
  <si>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</si>
  <si>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</si>
  <si>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</si>
  <si>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</si>
  <si>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</si>
  <si>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</si>
  <si>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</si>
  <si>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</si>
  <si>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</si>
  <si>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</si>
  <si>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</si>
  <si>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</si>
  <si>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</si>
  <si>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</si>
  <si>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</si>
  <si>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</si>
  <si>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</si>
  <si>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</si>
  <si>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</si>
  <si>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</si>
  <si>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</si>
  <si>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</si>
  <si>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</si>
  <si>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</si>
  <si>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</si>
  <si>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</si>
  <si>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</si>
  <si>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</si>
  <si>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</si>
  <si>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</si>
  <si>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</si>
  <si>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</si>
  <si>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</si>
  <si>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</si>
  <si>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</si>
  <si>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</si>
  <si>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</si>
  <si>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</si>
  <si>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</si>
  <si>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</si>
  <si>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</si>
  <si>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</si>
  <si>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</si>
  <si>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</si>
  <si>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</si>
  <si>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</si>
  <si>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</si>
  <si>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</si>
  <si>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</si>
  <si>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</si>
  <si>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</si>
  <si>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</si>
  <si>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</si>
  <si>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</si>
  <si>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</si>
  <si>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</si>
  <si>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</si>
  <si>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</si>
  <si>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</si>
  <si>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</si>
  <si>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</si>
  <si>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</si>
  <si>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</si>
  <si>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</si>
  <si>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</si>
  <si>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</si>
  <si>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</si>
  <si>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</si>
  <si>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</si>
  <si>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</si>
  <si>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</si>
  <si>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</si>
  <si>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</si>
  <si>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</si>
  <si>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</si>
  <si>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</si>
  <si>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</si>
  <si>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</si>
  <si>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</si>
  <si>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</si>
  <si>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</si>
  <si>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</si>
  <si>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</si>
  <si>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</si>
  <si>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</si>
  <si>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</si>
  <si>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</si>
  <si>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</si>
  <si>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</si>
  <si>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</si>
  <si>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</si>
  <si>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</si>
  <si>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</si>
  <si>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</si>
  <si>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</si>
  <si>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</si>
  <si>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</si>
  <si>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</si>
  <si>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</si>
  <si>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</si>
  <si>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</si>
  <si>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</si>
  <si>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</si>
  <si>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</si>
  <si>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</si>
  <si>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</si>
  <si>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</si>
  <si>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</si>
  <si>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</si>
  <si>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</si>
  <si>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</si>
  <si>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</si>
  <si>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</si>
  <si>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</si>
  <si>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</si>
  <si>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</si>
  <si>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</si>
  <si>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</si>
  <si>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</si>
  <si>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</si>
  <si>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</si>
  <si>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</si>
  <si>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</si>
  <si>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</si>
  <si>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</si>
  <si>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</si>
  <si>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</si>
  <si>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</si>
  <si>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</si>
  <si>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</si>
  <si>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</si>
  <si>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</si>
  <si>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</si>
  <si>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</si>
  <si>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</si>
  <si>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</si>
  <si>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</si>
  <si>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</si>
  <si>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</si>
  <si>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</si>
  <si>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</si>
  <si>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</si>
  <si>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</si>
  <si>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</si>
  <si>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</si>
  <si>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</si>
  <si>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</si>
  <si>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</si>
  <si>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</si>
  <si>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</si>
  <si>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</si>
  <si>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</si>
  <si>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</si>
  <si>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</si>
  <si>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</si>
  <si>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</si>
  <si>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</si>
  <si>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</si>
  <si>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</si>
  <si>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</si>
  <si>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</si>
  <si>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</si>
  <si>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</si>
  <si>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</si>
  <si>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</si>
  <si>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</si>
  <si>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</si>
  <si>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</si>
  <si>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</si>
  <si>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</si>
  <si>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</si>
  <si>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</si>
  <si>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</si>
  <si>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</si>
  <si>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</si>
  <si>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</si>
  <si>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</si>
  <si>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</si>
  <si>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</si>
  <si>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</si>
  <si>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</si>
  <si>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</si>
  <si>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</si>
  <si>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</si>
  <si>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</si>
  <si>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</si>
  <si>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</si>
  <si>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</si>
  <si>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</si>
  <si>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</si>
  <si>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</si>
  <si>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</si>
  <si>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</si>
  <si>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</si>
  <si>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</si>
  <si>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</si>
  <si>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</si>
  <si>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</si>
  <si>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</si>
  <si>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</si>
  <si>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</si>
  <si>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</si>
  <si>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</si>
  <si>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</si>
  <si>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</si>
  <si>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</si>
  <si>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</si>
  <si>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</si>
  <si>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</si>
  <si>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</si>
  <si>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</si>
  <si>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</si>
  <si>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</si>
  <si>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</si>
  <si>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</si>
  <si>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</si>
  <si>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</si>
  <si>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</si>
  <si>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</si>
  <si>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</si>
  <si>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</si>
  <si>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</si>
  <si>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</si>
  <si>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</si>
  <si>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</si>
  <si>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</si>
  <si>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</si>
  <si>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</si>
  <si>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</si>
  <si>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</si>
  <si>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</si>
  <si>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</si>
  <si>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</si>
  <si>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</si>
  <si>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</si>
  <si>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</si>
  <si>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</si>
  <si>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</si>
  <si>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</si>
  <si>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</si>
  <si>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</si>
  <si>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</si>
  <si>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</si>
  <si>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</si>
  <si>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</si>
  <si>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</si>
  <si>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</si>
  <si>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</si>
  <si>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</si>
  <si>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</si>
  <si>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</si>
  <si>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</si>
  <si>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</si>
  <si>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</si>
  <si>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</si>
  <si>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</si>
  <si>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</si>
  <si>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</si>
  <si>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</si>
  <si>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</si>
  <si>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</si>
  <si>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</si>
  <si>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</si>
  <si>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</si>
  <si>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</si>
  <si>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</si>
  <si>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</si>
  <si>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</si>
  <si>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</si>
  <si>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</si>
  <si>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</si>
  <si>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</si>
  <si>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</si>
  <si>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</si>
  <si>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</si>
  <si>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</si>
  <si>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</si>
  <si>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</si>
  <si>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</si>
  <si>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</si>
  <si>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</si>
  <si>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</si>
  <si>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</si>
  <si>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</si>
  <si>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</si>
  <si>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</si>
  <si>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</si>
  <si>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</si>
  <si>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</si>
  <si>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</si>
  <si>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</si>
  <si>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</si>
  <si>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</si>
  <si>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</si>
  <si>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</si>
  <si>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</si>
  <si>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</si>
  <si>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</si>
  <si>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</si>
  <si>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</si>
  <si>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</si>
  <si>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</si>
  <si>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</si>
  <si>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</si>
  <si>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</si>
  <si>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</si>
  <si>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</si>
  <si>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</si>
  <si>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</si>
  <si>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</si>
  <si>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</si>
  <si>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</si>
  <si>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</si>
  <si>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</si>
  <si>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</si>
  <si>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</si>
  <si>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</si>
  <si>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</si>
  <si>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</si>
  <si>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</si>
  <si>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</si>
  <si>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</si>
  <si>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</si>
  <si>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</si>
  <si>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</si>
  <si>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</si>
  <si>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</si>
  <si>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</si>
  <si>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</si>
  <si>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</si>
  <si>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</si>
  <si>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</si>
  <si>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</si>
  <si>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</si>
  <si>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</si>
  <si>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</si>
  <si>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</si>
  <si>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</si>
  <si>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</si>
  <si>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</si>
  <si>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</si>
  <si>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</si>
  <si>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</si>
  <si>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</si>
  <si>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</si>
  <si>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</si>
  <si>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</si>
  <si>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</si>
  <si>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</si>
  <si>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</si>
  <si>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</si>
  <si>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</si>
  <si>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</si>
  <si>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</si>
  <si>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</si>
  <si>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</si>
  <si>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</si>
  <si>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</si>
  <si>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</si>
  <si>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</si>
  <si>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</si>
  <si>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</si>
  <si>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</si>
  <si>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</si>
  <si>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</si>
  <si>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</si>
  <si>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</si>
  <si>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</si>
  <si>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</si>
  <si>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</si>
  <si>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</si>
  <si>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</si>
  <si>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</si>
  <si>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</si>
  <si>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</si>
  <si>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</si>
  <si>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</si>
  <si>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</si>
  <si>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</si>
  <si>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</si>
  <si>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</si>
  <si>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</si>
  <si>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</si>
  <si>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</si>
  <si>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</si>
  <si>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</si>
  <si>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</si>
  <si>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</si>
  <si>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</si>
  <si>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</si>
  <si>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</si>
  <si>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</si>
  <si>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</si>
  <si>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</si>
  <si>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</si>
  <si>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</si>
  <si>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</si>
  <si>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</si>
  <si>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</si>
  <si>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</si>
  <si>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</si>
  <si>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</si>
  <si>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</si>
  <si>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</si>
  <si>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</si>
  <si>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</si>
  <si>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</si>
  <si>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</si>
  <si>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</si>
  <si>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</si>
  <si>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</si>
  <si>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</si>
  <si>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</si>
  <si>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</si>
  <si>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</si>
  <si>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</si>
  <si>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</si>
  <si>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</si>
  <si>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</si>
  <si>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</si>
  <si>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</si>
  <si>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</si>
  <si>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</si>
  <si>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</si>
  <si>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</si>
  <si>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</si>
  <si>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</si>
  <si>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</si>
  <si>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</si>
  <si>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</si>
  <si>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</si>
  <si>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</si>
  <si>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</si>
  <si>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</si>
  <si>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</si>
  <si>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</si>
  <si>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</si>
  <si>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</si>
  <si>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</si>
  <si>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</si>
  <si>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</si>
  <si>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</si>
  <si>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</si>
  <si>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</si>
  <si>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</si>
  <si>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</si>
  <si>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</si>
  <si>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</si>
  <si>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</si>
  <si>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</si>
  <si>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</si>
  <si>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</si>
  <si>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</si>
  <si>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</si>
  <si>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</si>
  <si>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</si>
  <si>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</si>
  <si>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</si>
  <si>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</si>
  <si>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</si>
  <si>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</si>
  <si>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</si>
  <si>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</si>
  <si>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</si>
  <si>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</si>
  <si>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</si>
  <si>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</si>
  <si>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</si>
  <si>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</si>
  <si>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</si>
  <si>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</si>
  <si>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</si>
  <si>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</si>
  <si>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</si>
  <si>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</si>
  <si>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</si>
  <si>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</si>
  <si>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</si>
  <si>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</si>
  <si>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</si>
  <si>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</si>
  <si>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</si>
  <si>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</si>
  <si>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</si>
  <si>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</si>
  <si>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</si>
  <si>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</si>
  <si>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</si>
  <si>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</si>
  <si>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</si>
  <si>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</si>
  <si>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</si>
  <si>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</si>
  <si>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</si>
  <si>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</si>
  <si>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</si>
  <si>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</si>
  <si>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</si>
  <si>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</si>
  <si>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</si>
  <si>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</si>
  <si>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</si>
  <si>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</si>
  <si>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</si>
  <si>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</si>
  <si>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</si>
  <si>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</si>
  <si>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</si>
  <si>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</si>
  <si>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</si>
  <si>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</si>
  <si>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</si>
  <si>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</si>
  <si>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</si>
  <si>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</si>
  <si>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</si>
  <si>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</si>
  <si>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</si>
  <si>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</si>
  <si>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</si>
  <si>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</si>
  <si>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</si>
  <si>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</si>
  <si>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</si>
  <si>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</si>
  <si>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</si>
  <si>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</si>
  <si>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</si>
  <si>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</si>
  <si>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</si>
  <si>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</si>
  <si>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</si>
  <si>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</si>
  <si>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</si>
  <si>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</si>
  <si>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</si>
  <si>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</si>
  <si>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</si>
  <si>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</si>
  <si>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</si>
  <si>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</si>
  <si>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</si>
  <si>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</si>
  <si>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</si>
  <si>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</si>
  <si>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</si>
  <si>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</si>
  <si>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</si>
  <si>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</si>
  <si>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</si>
  <si>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</si>
  <si>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</si>
  <si>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</si>
  <si>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</si>
  <si>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</si>
  <si>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</si>
  <si>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</si>
  <si>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</si>
  <si>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</si>
  <si>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</si>
  <si>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</si>
  <si>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</si>
  <si>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</si>
  <si>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</si>
  <si>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</si>
  <si>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</si>
  <si>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</si>
  <si>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</si>
  <si>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</si>
  <si>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</si>
  <si>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</si>
  <si>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</si>
  <si>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</si>
  <si>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</si>
  <si>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</si>
  <si>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</si>
  <si>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</si>
  <si>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</si>
  <si>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</si>
  <si>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</si>
  <si>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</si>
  <si>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</si>
  <si>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</si>
  <si>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</si>
  <si>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</si>
  <si>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</si>
  <si>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</si>
  <si>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</si>
  <si>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</si>
  <si>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</si>
  <si>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</si>
  <si>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</si>
  <si>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</si>
  <si>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</si>
  <si>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</si>
  <si>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</si>
  <si>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</si>
  <si>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</si>
  <si>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</si>
  <si>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</si>
  <si>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</si>
  <si>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</si>
  <si>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</si>
  <si>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</si>
  <si>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</si>
  <si>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</si>
  <si>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</si>
  <si>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</si>
  <si>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</si>
  <si>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</si>
  <si>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</si>
  <si>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</si>
  <si>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</si>
  <si>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</si>
  <si>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</si>
  <si>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</si>
  <si>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</si>
  <si>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</si>
  <si>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</si>
  <si>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</si>
  <si>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</si>
  <si>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</si>
  <si>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</si>
  <si>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</si>
  <si>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</si>
  <si>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</si>
  <si>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</si>
  <si>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</si>
  <si>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</si>
  <si>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</si>
  <si>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</si>
  <si>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</si>
  <si>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</si>
  <si>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</si>
  <si>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</si>
  <si>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</si>
  <si>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</si>
  <si>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</si>
  <si>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</si>
  <si>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</si>
  <si>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</si>
  <si>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</si>
  <si>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</si>
  <si>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</si>
  <si>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</si>
  <si>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</si>
  <si>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</si>
  <si>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</si>
  <si>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</si>
  <si>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</si>
  <si>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</si>
  <si>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</si>
  <si>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</si>
  <si>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</si>
  <si>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</si>
  <si>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</si>
  <si>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</si>
  <si>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</si>
  <si>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</si>
  <si>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</si>
  <si>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</si>
  <si>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</si>
  <si>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</si>
  <si>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</si>
  <si>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</si>
  <si>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</si>
  <si>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</si>
  <si>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</si>
  <si>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</si>
  <si>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</si>
  <si>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</si>
  <si>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</si>
  <si>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</si>
  <si>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</si>
  <si>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</si>
  <si>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</si>
  <si>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</si>
  <si>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</si>
  <si>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</si>
  <si>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</si>
  <si>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</si>
  <si>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</si>
  <si>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</si>
  <si>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</si>
  <si>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</si>
  <si>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</si>
  <si>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</si>
  <si>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</si>
  <si>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</si>
  <si>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</si>
  <si>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</si>
  <si>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</si>
  <si>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</si>
  <si>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</si>
  <si>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</si>
  <si>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</si>
  <si>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</si>
  <si>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</si>
  <si>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</si>
  <si>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</si>
  <si>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</si>
  <si>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</si>
  <si>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</si>
  <si>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</si>
  <si>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</si>
  <si>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</si>
  <si>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</si>
  <si>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</si>
  <si>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</si>
  <si>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</si>
  <si>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</si>
  <si>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</si>
  <si>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</si>
  <si>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</si>
  <si>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</si>
  <si>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</si>
  <si>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</si>
  <si>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</si>
  <si>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</si>
  <si>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</si>
  <si>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</si>
  <si>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</si>
  <si>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</si>
  <si>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</si>
  <si>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</si>
  <si>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</si>
  <si>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</si>
  <si>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</si>
  <si>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</si>
  <si>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</si>
  <si>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</si>
  <si>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</si>
  <si>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</si>
  <si>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</si>
  <si>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</si>
  <si>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</si>
  <si>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</si>
  <si>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</si>
  <si>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</si>
  <si>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</si>
  <si>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</si>
  <si>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</si>
  <si>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</si>
  <si>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</si>
  <si>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</si>
  <si>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</si>
  <si>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</si>
  <si>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</si>
  <si>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</si>
  <si>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</si>
  <si>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</si>
  <si>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</si>
  <si>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</si>
  <si>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</si>
  <si>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</si>
  <si>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</si>
  <si>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</si>
  <si>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</si>
  <si>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</si>
  <si>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</si>
  <si>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</si>
  <si>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</si>
  <si>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</si>
  <si>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</si>
  <si>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</si>
  <si>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</si>
  <si>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</si>
  <si>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</si>
  <si>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</si>
  <si>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</si>
  <si>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</si>
  <si>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</si>
  <si>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</si>
  <si>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</si>
  <si>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</si>
  <si>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</si>
  <si>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</si>
  <si>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</si>
  <si>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</si>
  <si>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</si>
  <si>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</si>
  <si>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</si>
  <si>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</si>
  <si>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</si>
  <si>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</si>
  <si>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</si>
  <si>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</si>
  <si>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</si>
  <si>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</si>
  <si>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</si>
  <si>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</si>
  <si>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</si>
  <si>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</si>
  <si>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</si>
  <si>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</si>
  <si>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</si>
  <si>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</si>
  <si>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</si>
  <si>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</si>
  <si>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</si>
  <si>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</si>
  <si>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</si>
  <si>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</si>
  <si>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</si>
  <si>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</si>
  <si>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</si>
  <si>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</si>
  <si>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</si>
  <si>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</si>
  <si>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</si>
  <si>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</si>
  <si>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</si>
  <si>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</si>
  <si>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</si>
  <si>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</si>
  <si>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</si>
  <si>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</si>
  <si>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</si>
  <si>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</si>
  <si>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</si>
  <si>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</si>
  <si>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</si>
  <si>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</si>
  <si>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</si>
  <si>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</si>
  <si>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</si>
  <si>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</si>
  <si>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</si>
  <si>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</si>
  <si>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</si>
  <si>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</si>
  <si>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</si>
  <si>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</si>
  <si>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</si>
  <si>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</si>
  <si>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</si>
  <si>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</si>
  <si>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</si>
  <si>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</si>
  <si>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</si>
  <si>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</si>
  <si>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</si>
  <si>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</si>
  <si>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</si>
  <si>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</si>
  <si>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</si>
  <si>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</si>
  <si>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</si>
  <si>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</si>
  <si>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</si>
  <si>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</si>
  <si>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</si>
  <si>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</si>
  <si>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</si>
  <si>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</si>
  <si>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</si>
  <si>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</si>
  <si>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</si>
  <si>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</si>
  <si>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</si>
  <si>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</si>
  <si>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</si>
  <si>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</si>
  <si>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</si>
  <si>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</si>
  <si>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</si>
  <si>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</si>
  <si>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</si>
  <si>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</si>
  <si>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</si>
  <si>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</si>
  <si>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</si>
  <si>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</si>
  <si>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</si>
  <si>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</si>
  <si>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</si>
  <si>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</si>
  <si>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</si>
  <si>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</si>
  <si>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</si>
  <si>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</si>
  <si>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</si>
  <si>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</si>
  <si>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</si>
  <si>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</si>
  <si>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</si>
  <si>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</si>
  <si>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</si>
  <si>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</si>
  <si>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</si>
  <si>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</si>
  <si>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</si>
  <si>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</si>
  <si>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</si>
  <si>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</si>
  <si>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</si>
  <si>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</si>
  <si>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</si>
  <si>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</si>
  <si>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</si>
  <si>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</si>
  <si>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</si>
  <si>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</si>
  <si>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</si>
  <si>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</si>
  <si>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</si>
  <si>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</si>
  <si>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</si>
  <si>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</si>
  <si>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</si>
  <si>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</si>
  <si>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</si>
  <si>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</si>
  <si>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</si>
  <si>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</si>
  <si>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</si>
  <si>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</si>
  <si>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</si>
  <si>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</si>
  <si>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</si>
  <si>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</si>
  <si>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</si>
  <si>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</si>
  <si>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</si>
  <si>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</si>
  <si>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</si>
  <si>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</si>
  <si>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</si>
  <si>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</si>
  <si>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</si>
  <si>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</si>
  <si>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</si>
  <si>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</si>
  <si>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</si>
  <si>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</si>
  <si>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</si>
  <si>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</si>
  <si>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</si>
  <si>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</si>
  <si>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</si>
  <si>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</si>
  <si>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</si>
  <si>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</si>
  <si>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</si>
  <si>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</si>
  <si>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</si>
  <si>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</si>
  <si>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</si>
  <si>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</si>
  <si>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</si>
  <si>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</si>
  <si>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</si>
  <si>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</si>
  <si>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</si>
  <si>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</si>
  <si>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</si>
  <si>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</si>
  <si>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</si>
  <si>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</si>
  <si>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</si>
  <si>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</si>
  <si>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</si>
  <si>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</si>
  <si>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</si>
  <si>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</si>
  <si>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</si>
  <si>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</si>
  <si>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</si>
  <si>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</si>
  <si>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</si>
  <si>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</si>
  <si>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</si>
  <si>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</si>
  <si>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</si>
  <si>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</si>
  <si>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</si>
  <si>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</si>
  <si>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</si>
  <si>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</si>
  <si>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</si>
  <si>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</si>
  <si>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</si>
  <si>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</si>
  <si>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</si>
  <si>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</si>
  <si>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</si>
  <si>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</si>
  <si>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</si>
  <si>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</si>
  <si>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</si>
  <si>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</si>
  <si>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</si>
  <si>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</si>
  <si>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</si>
  <si>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</si>
  <si>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</si>
  <si>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</si>
  <si>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</si>
  <si>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</si>
  <si>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</si>
  <si>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</si>
  <si>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</si>
  <si>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</si>
  <si>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</si>
  <si>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</si>
  <si>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</si>
  <si>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</si>
  <si>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</si>
  <si>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</si>
  <si>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</si>
  <si>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</si>
  <si>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</si>
  <si>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</si>
  <si>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</si>
  <si>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</si>
  <si>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</si>
  <si>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</si>
  <si>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</si>
  <si>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</si>
  <si>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</si>
  <si>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</si>
  <si>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</si>
  <si>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</si>
  <si>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</si>
  <si>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</si>
  <si>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</si>
  <si>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</si>
  <si>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</si>
  <si>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</si>
  <si>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</si>
  <si>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</si>
  <si>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</si>
  <si>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</si>
  <si>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</si>
  <si>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</si>
  <si>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</si>
  <si>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</si>
  <si>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</si>
  <si>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</si>
  <si>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</si>
  <si>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</si>
  <si>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</si>
  <si>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</si>
  <si>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</si>
  <si>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</si>
  <si>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</si>
  <si>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</si>
  <si>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</si>
  <si>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</si>
  <si>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</si>
  <si>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</si>
  <si>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</si>
  <si>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</si>
  <si>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</si>
  <si>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</si>
  <si>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</si>
  <si>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</si>
  <si>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</si>
  <si>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</si>
  <si>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</si>
  <si>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</si>
  <si>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</si>
  <si>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</si>
  <si>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</si>
  <si>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</si>
  <si>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</si>
  <si>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</si>
  <si>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</si>
  <si>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</si>
  <si>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</si>
  <si>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</si>
  <si>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</si>
  <si>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</si>
  <si>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</si>
  <si>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</si>
  <si>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</si>
  <si>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</si>
  <si>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</si>
  <si>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</si>
  <si>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</si>
  <si>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</si>
  <si>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</si>
  <si>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</si>
  <si>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</si>
  <si>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</si>
  <si>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</si>
  <si>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</si>
  <si>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</si>
  <si>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</si>
  <si>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</si>
  <si>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</si>
  <si>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</si>
  <si>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</si>
  <si>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</si>
  <si>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</si>
  <si>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</si>
  <si>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</si>
  <si>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</si>
  <si>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</si>
  <si>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</si>
  <si>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</si>
  <si>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</si>
  <si>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</si>
  <si>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</si>
  <si>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</si>
  <si>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</si>
  <si>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</si>
  <si>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</si>
  <si>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</si>
  <si>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</si>
  <si>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</si>
  <si>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</si>
  <si>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</si>
  <si>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</si>
  <si>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</si>
  <si>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</si>
  <si>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</si>
  <si>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</si>
  <si>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</si>
  <si>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</si>
  <si>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</si>
  <si>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</si>
  <si>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</si>
  <si>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</si>
  <si>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</si>
  <si>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</si>
  <si>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</si>
  <si>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</si>
  <si>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</si>
  <si>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</si>
  <si>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</si>
  <si>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</si>
  <si>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</si>
  <si>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</si>
  <si>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</si>
  <si>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</si>
  <si>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</si>
  <si>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</si>
  <si>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</si>
  <si>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</si>
  <si>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</si>
  <si>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</si>
  <si>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</si>
  <si>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</si>
  <si>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</si>
  <si>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</si>
  <si>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</si>
  <si>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</si>
  <si>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</si>
  <si>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</si>
  <si>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</si>
  <si>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</si>
  <si>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</si>
  <si>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</si>
  <si>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</si>
  <si>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</si>
  <si>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</si>
  <si>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</si>
  <si>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</si>
  <si>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</si>
  <si>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</si>
  <si>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</si>
  <si>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</si>
  <si>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</si>
  <si>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</si>
  <si>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</si>
  <si>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</si>
  <si>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</si>
  <si>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</si>
  <si>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</si>
  <si>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</si>
  <si>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</si>
  <si>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</si>
  <si>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</si>
  <si>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</si>
  <si>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</si>
  <si>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t>京（2023）昌不动产权第0047852号</t>
    <phoneticPr fontId="134" type="noConversion"/>
  </si>
  <si>
    <r>
      <t>1004</t>
    </r>
    <r>
      <rPr>
        <sz val="11"/>
        <color theme="9" tint="-0.249977111117893"/>
        <rFont val="宋体"/>
        <family val="3"/>
        <charset val="134"/>
      </rPr>
      <t>办公用房</t>
    </r>
    <phoneticPr fontId="31" type="noConversion"/>
  </si>
  <si>
    <t>京（2023）昌不动产权第0047848号</t>
  </si>
  <si>
    <t>总价</t>
    <phoneticPr fontId="3" type="noConversion"/>
  </si>
  <si>
    <t>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</si>
</sst>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0" fillId="0" borderId="1" xfId="0"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08" fillId="9" borderId="1" xfId="0" applyFont="1" applyFill="1" applyBorder="1" applyAlignment="1">
      <alignment horizontal="left" vertical="center"/>
    </xf>
    <xf numFmtId="0" fontId="95" fillId="5" borderId="0" xfId="0" applyFont="1" applyFill="1">
      <alignment vertical="center"/>
    </xf>
    <xf numFmtId="0" fontId="284" fillId="0" borderId="1" xfId="0" applyFont="1" applyBorder="1" applyAlignment="1">
      <alignment horizontal="left" vertical="center"/>
    </xf>
    <xf numFmtId="0" fontId="285" fillId="0" borderId="1" xfId="0" applyFont="1" applyBorder="1" applyAlignment="1">
      <alignment horizontal="left" vertical="center"/>
    </xf>
    <xf numFmtId="0" fontId="0" fillId="9" borderId="1" xfId="0" applyFill="1" applyBorder="1" applyAlignment="1">
      <alignment horizontal="left" vertical="center"/>
    </xf>
    <xf numFmtId="0" fontId="96" fillId="9" borderId="1" xfId="0" applyFont="1" applyFill="1" applyBorder="1" applyAlignment="1">
      <alignment horizontal="left" vertical="center"/>
    </xf>
    <xf numFmtId="0" fontId="284" fillId="9" borderId="1" xfId="0" applyFont="1" applyFill="1" applyBorder="1" applyAlignment="1">
      <alignment horizontal="lef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4" fillId="0" borderId="1" xfId="0" applyFont="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18" borderId="54" xfId="0" applyFont="1" applyFill="1" applyBorder="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18"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95" fillId="0" borderId="0" xfId="0" applyFont="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xmlns=""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xmlns=""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xmlns=""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xmlns=""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xmlns=""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xmlns=""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xmlns=""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xmlns=""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xmlns=""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xmlns=""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xmlns=""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xmlns=""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xmlns=""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xmlns=""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估价对象为北京市房地产，为所有。根据《国有土地使用证》[]，估价对象（分摊）出让国有建设用地使用权面积为0平方米，建筑面积为127.64平方米。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估价对象为北京市房地产,属开发建设的，该项目尚在开发建设中。根据《国有土地使用证》[]，估价对象（分摊）出让国有建设用地使用权面积为0平方米，规划建筑面积为127.64平方米。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248</v>
      </c>
    </row>
    <row r="21" spans="1:2">
      <c r="A21" s="860" t="s">
        <v>531</v>
      </c>
      <c r="B21" s="861">
        <f ca="1">'预评函-2'!D7</f>
        <v>1521153</v>
      </c>
    </row>
    <row r="22" spans="1:2">
      <c r="A22" s="860" t="s">
        <v>532</v>
      </c>
      <c r="B22" s="861" t="str">
        <f ca="1">'预评函-2'!D6</f>
        <v>贰佰肆拾捌万元整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248</v>
      </c>
    </row>
    <row r="31" spans="1:2">
      <c r="A31" s="860" t="s">
        <v>570</v>
      </c>
      <c r="B31" s="861">
        <f ca="1">'预评函-2'!D15</f>
        <v>1521153</v>
      </c>
    </row>
    <row r="32" spans="1:2">
      <c r="A32" s="860" t="s">
        <v>537</v>
      </c>
      <c r="B32" s="861" t="str">
        <f ca="1">'预评函-2'!D14</f>
        <v>贰佰肆拾捌万元整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127.64</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82"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2"/>
      <c r="B54" s="1167" t="s">
        <v>379</v>
      </c>
      <c r="C54" s="1165" t="s">
        <v>577</v>
      </c>
    </row>
    <row r="55" spans="1:4">
      <c r="A55" s="4182"/>
      <c r="B55" s="1167" t="s">
        <v>380</v>
      </c>
      <c r="C55" s="1165" t="s">
        <v>578</v>
      </c>
    </row>
    <row r="56" spans="1:4">
      <c r="A56" s="4182"/>
      <c r="B56" s="1167" t="s">
        <v>381</v>
      </c>
      <c r="C56" s="1165" t="s">
        <v>582</v>
      </c>
    </row>
    <row r="57" spans="1:4">
      <c r="A57" s="4182"/>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83" t="s">
        <v>2494</v>
      </c>
      <c r="J2" s="4184"/>
      <c r="K2" s="4184"/>
      <c r="L2" s="4184"/>
      <c r="M2" s="4184"/>
      <c r="N2" s="4184"/>
      <c r="O2" s="4184"/>
      <c r="P2" s="4184"/>
      <c r="Q2" s="4184"/>
      <c r="R2" s="4185"/>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83" t="s">
        <v>3734</v>
      </c>
      <c r="J8" s="4184"/>
      <c r="K8" s="4184"/>
      <c r="L8" s="4184"/>
      <c r="M8" s="4184"/>
      <c r="N8" s="4184"/>
      <c r="O8" s="4184"/>
      <c r="P8" s="4184"/>
      <c r="Q8" s="4184"/>
      <c r="R8" s="4185"/>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86" t="s">
        <v>3395</v>
      </c>
      <c r="J54" s="4186"/>
      <c r="K54" s="4186"/>
      <c r="L54" s="4186"/>
      <c r="M54" s="4186"/>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87" t="s">
        <v>3403</v>
      </c>
      <c r="J62" s="4187"/>
      <c r="K62" s="4187"/>
      <c r="L62" s="4187"/>
      <c r="M62" s="4187"/>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27" sqref="H27"/>
    </sheetView>
  </sheetViews>
  <sheetFormatPr defaultRowHeight="13.5"/>
  <cols>
    <col min="1" max="1" width="6.25" bestFit="1" customWidth="1"/>
    <col min="2" max="2" width="33.625" bestFit="1" customWidth="1"/>
    <col min="3" max="3" width="8.625" bestFit="1" customWidth="1"/>
    <col min="4" max="4" width="7.25" bestFit="1" customWidth="1"/>
    <col min="5" max="5" width="9.125" bestFit="1" customWidth="1"/>
    <col min="6" max="6" width="7.5" customWidth="1"/>
    <col min="7" max="7" width="7.75" customWidth="1"/>
    <col min="8" max="8" width="7.125" bestFit="1" customWidth="1"/>
  </cols>
  <sheetData>
    <row r="1" spans="1:9">
      <c r="A1" s="1149" t="s">
        <v>3830</v>
      </c>
      <c r="B1" s="1149" t="s">
        <v>3831</v>
      </c>
      <c r="C1" s="1149" t="s">
        <v>3832</v>
      </c>
      <c r="D1" s="1149" t="s">
        <v>3833</v>
      </c>
      <c r="E1" s="1149" t="s">
        <v>3834</v>
      </c>
      <c r="F1" s="1149" t="s">
        <v>3846</v>
      </c>
      <c r="G1" s="1149" t="s">
        <v>3398</v>
      </c>
      <c r="H1" s="1149" t="s">
        <v>3835</v>
      </c>
    </row>
    <row r="2" spans="1:9">
      <c r="A2" s="4124">
        <v>503</v>
      </c>
      <c r="B2" s="1149" t="s">
        <v>3836</v>
      </c>
      <c r="C2" s="4124">
        <v>145.47</v>
      </c>
      <c r="D2" s="4124">
        <v>12</v>
      </c>
      <c r="E2" s="4124">
        <v>5</v>
      </c>
      <c r="F2" s="4124"/>
      <c r="G2" s="4124"/>
      <c r="H2" s="4174" t="s">
        <v>3825</v>
      </c>
    </row>
    <row r="3" spans="1:9">
      <c r="A3" s="4124">
        <v>504</v>
      </c>
      <c r="B3" s="1149" t="s">
        <v>3837</v>
      </c>
      <c r="C3" s="4124">
        <v>164.45</v>
      </c>
      <c r="D3" s="4124">
        <v>12</v>
      </c>
      <c r="E3" s="4124">
        <v>5</v>
      </c>
      <c r="F3" s="4124"/>
      <c r="G3" s="4124"/>
      <c r="H3" s="4174"/>
    </row>
    <row r="4" spans="1:9">
      <c r="A4" s="4124">
        <v>505</v>
      </c>
      <c r="B4" s="1149" t="s">
        <v>3826</v>
      </c>
      <c r="C4" s="4124">
        <v>82.39</v>
      </c>
      <c r="D4" s="4124">
        <v>12</v>
      </c>
      <c r="E4" s="4124">
        <v>5</v>
      </c>
      <c r="F4" s="4124"/>
      <c r="G4" s="4124"/>
      <c r="H4" s="4174"/>
    </row>
    <row r="5" spans="1:9">
      <c r="A5" s="4124">
        <v>506</v>
      </c>
      <c r="B5" s="1149" t="s">
        <v>3827</v>
      </c>
      <c r="C5" s="4124">
        <v>204.26</v>
      </c>
      <c r="D5" s="4124">
        <v>12</v>
      </c>
      <c r="E5" s="4124">
        <v>5</v>
      </c>
      <c r="F5" s="4124"/>
      <c r="G5" s="4124"/>
      <c r="H5" s="4174"/>
    </row>
    <row r="6" spans="1:9">
      <c r="A6" s="4124">
        <v>509</v>
      </c>
      <c r="B6" s="1149" t="s">
        <v>3828</v>
      </c>
      <c r="C6" s="4124">
        <v>164.45</v>
      </c>
      <c r="D6" s="4124">
        <v>12</v>
      </c>
      <c r="E6" s="4124">
        <v>5</v>
      </c>
      <c r="F6" s="4124"/>
      <c r="G6" s="4124"/>
      <c r="H6" s="4174"/>
    </row>
    <row r="7" spans="1:9">
      <c r="A7" s="4124">
        <v>510</v>
      </c>
      <c r="B7" s="1149" t="s">
        <v>3829</v>
      </c>
      <c r="C7" s="4124">
        <v>127.64</v>
      </c>
      <c r="D7" s="4124">
        <v>12</v>
      </c>
      <c r="E7" s="4124">
        <v>5</v>
      </c>
      <c r="F7" s="4124"/>
      <c r="G7" s="4124"/>
      <c r="H7" s="4174"/>
    </row>
    <row r="8" spans="1:9">
      <c r="A8" s="4124">
        <v>1009</v>
      </c>
      <c r="B8" s="2348" t="s">
        <v>3874</v>
      </c>
      <c r="C8" s="2348">
        <v>164.45</v>
      </c>
      <c r="D8" s="4124">
        <v>12</v>
      </c>
      <c r="E8" s="4124">
        <v>10</v>
      </c>
      <c r="F8" s="4124"/>
      <c r="G8" s="4124"/>
      <c r="H8" s="4174"/>
    </row>
    <row r="9" spans="1:9">
      <c r="A9" s="4135">
        <v>409</v>
      </c>
      <c r="B9" s="4135" t="s">
        <v>3847</v>
      </c>
      <c r="C9" s="4135">
        <v>163.01</v>
      </c>
      <c r="D9" s="4135">
        <v>12</v>
      </c>
      <c r="E9" s="4135">
        <v>4</v>
      </c>
      <c r="F9" s="4135"/>
      <c r="G9" s="4136"/>
      <c r="H9" s="4188" t="s">
        <v>3838</v>
      </c>
    </row>
    <row r="10" spans="1:9">
      <c r="A10" s="4135">
        <v>411</v>
      </c>
      <c r="B10" s="4135" t="s">
        <v>3848</v>
      </c>
      <c r="C10" s="4135">
        <v>127.64</v>
      </c>
      <c r="D10" s="4135">
        <v>12</v>
      </c>
      <c r="E10" s="4135">
        <v>4</v>
      </c>
      <c r="F10" s="4135"/>
      <c r="G10" s="4135"/>
      <c r="H10" s="4188"/>
      <c r="I10" s="1125"/>
    </row>
    <row r="11" spans="1:9">
      <c r="A11" s="4135">
        <v>501</v>
      </c>
      <c r="B11" s="4135" t="s">
        <v>3849</v>
      </c>
      <c r="C11" s="4135">
        <v>127.64</v>
      </c>
      <c r="D11" s="4135">
        <v>12</v>
      </c>
      <c r="E11" s="4135">
        <v>5</v>
      </c>
      <c r="F11" s="4135"/>
      <c r="G11" s="4135"/>
      <c r="H11" s="4188"/>
      <c r="I11" s="1125"/>
    </row>
    <row r="12" spans="1:9">
      <c r="A12" s="4135">
        <v>502</v>
      </c>
      <c r="B12" s="4135" t="s">
        <v>3850</v>
      </c>
      <c r="C12" s="4135">
        <v>127.64</v>
      </c>
      <c r="D12" s="4135">
        <v>12</v>
      </c>
      <c r="E12" s="4135">
        <v>5</v>
      </c>
      <c r="F12" s="4135"/>
      <c r="G12" s="4135"/>
      <c r="H12" s="4188"/>
      <c r="I12" s="1125"/>
    </row>
    <row r="13" spans="1:9">
      <c r="A13" s="4135">
        <v>507</v>
      </c>
      <c r="B13" s="4135" t="s">
        <v>3851</v>
      </c>
      <c r="C13" s="4135">
        <v>82.35</v>
      </c>
      <c r="D13" s="4135">
        <v>12</v>
      </c>
      <c r="E13" s="4135">
        <v>5</v>
      </c>
      <c r="F13" s="4135"/>
      <c r="G13" s="4135"/>
      <c r="H13" s="4188"/>
      <c r="I13" s="1125"/>
    </row>
    <row r="14" spans="1:9">
      <c r="A14" s="4135">
        <v>508</v>
      </c>
      <c r="B14" s="4135" t="s">
        <v>3852</v>
      </c>
      <c r="C14" s="4135">
        <v>146.22999999999999</v>
      </c>
      <c r="D14" s="4135">
        <v>12</v>
      </c>
      <c r="E14" s="4135">
        <v>5</v>
      </c>
      <c r="F14" s="4135"/>
      <c r="G14" s="4135"/>
      <c r="H14" s="4188"/>
      <c r="I14" s="1125"/>
    </row>
    <row r="15" spans="1:9">
      <c r="A15" s="4135">
        <v>511</v>
      </c>
      <c r="B15" s="4135" t="s">
        <v>3853</v>
      </c>
      <c r="C15" s="4135">
        <v>127.64</v>
      </c>
      <c r="D15" s="4135">
        <v>12</v>
      </c>
      <c r="E15" s="4135">
        <v>5</v>
      </c>
      <c r="F15" s="4135"/>
      <c r="G15" s="4135"/>
      <c r="H15" s="4188"/>
      <c r="I15" s="1125"/>
    </row>
    <row r="16" spans="1:9">
      <c r="A16" s="4135">
        <v>904</v>
      </c>
      <c r="B16" s="4135" t="s">
        <v>3813</v>
      </c>
      <c r="C16" s="4135">
        <v>164.45</v>
      </c>
      <c r="D16" s="4135">
        <v>12</v>
      </c>
      <c r="E16" s="4135">
        <v>9</v>
      </c>
      <c r="F16" s="4135"/>
      <c r="G16" s="4135"/>
      <c r="H16" s="4188"/>
      <c r="I16" s="1125"/>
    </row>
    <row r="17" spans="1:9">
      <c r="A17" s="4133">
        <v>401</v>
      </c>
      <c r="B17" s="4133" t="s">
        <v>3839</v>
      </c>
      <c r="C17" s="4133">
        <v>127.64</v>
      </c>
      <c r="D17" s="4133">
        <v>12</v>
      </c>
      <c r="E17" s="4133">
        <v>4</v>
      </c>
      <c r="F17" s="4133"/>
      <c r="G17" s="4133"/>
      <c r="H17" s="4175" t="s">
        <v>3840</v>
      </c>
      <c r="I17" s="4134" t="s">
        <v>3864</v>
      </c>
    </row>
    <row r="18" spans="1:9">
      <c r="A18" s="4137">
        <v>402</v>
      </c>
      <c r="B18" s="4129" t="s">
        <v>3841</v>
      </c>
      <c r="C18" s="4137">
        <v>127.64</v>
      </c>
      <c r="D18" s="4137">
        <v>12</v>
      </c>
      <c r="E18" s="4137">
        <v>4</v>
      </c>
      <c r="F18" s="4137"/>
      <c r="G18" s="4137"/>
      <c r="H18" s="4175"/>
    </row>
    <row r="19" spans="1:9">
      <c r="A19" s="4137">
        <v>403</v>
      </c>
      <c r="B19" s="4129" t="s">
        <v>3842</v>
      </c>
      <c r="C19" s="4137">
        <v>145.47</v>
      </c>
      <c r="D19" s="4137">
        <v>12</v>
      </c>
      <c r="E19" s="4137">
        <v>4</v>
      </c>
      <c r="F19" s="4137"/>
      <c r="G19" s="4137"/>
      <c r="H19" s="4175"/>
    </row>
    <row r="20" spans="1:9">
      <c r="A20" s="4137">
        <v>404</v>
      </c>
      <c r="B20" s="4129" t="s">
        <v>3843</v>
      </c>
      <c r="C20" s="4137">
        <v>163.01</v>
      </c>
      <c r="D20" s="4137">
        <v>12</v>
      </c>
      <c r="E20" s="4137">
        <v>4</v>
      </c>
      <c r="F20" s="4137"/>
      <c r="G20" s="4137"/>
      <c r="H20" s="4175"/>
    </row>
    <row r="21" spans="1:9">
      <c r="A21" s="4137">
        <v>406</v>
      </c>
      <c r="B21" s="4129" t="s">
        <v>3844</v>
      </c>
      <c r="C21" s="4137">
        <v>204.18</v>
      </c>
      <c r="D21" s="4137">
        <v>12</v>
      </c>
      <c r="E21" s="4137">
        <v>4</v>
      </c>
      <c r="F21" s="4137"/>
      <c r="G21" s="4137"/>
      <c r="H21" s="4175"/>
    </row>
    <row r="22" spans="1:9">
      <c r="A22" s="4137">
        <v>410</v>
      </c>
      <c r="B22" s="4129" t="s">
        <v>3845</v>
      </c>
      <c r="C22" s="4137">
        <v>127.64</v>
      </c>
      <c r="D22" s="4137">
        <v>12</v>
      </c>
      <c r="E22" s="4137">
        <v>4</v>
      </c>
      <c r="F22" s="4137"/>
      <c r="G22" s="4137"/>
      <c r="H22" s="4175"/>
    </row>
    <row r="23" spans="1:9">
      <c r="A23" s="4139">
        <v>1004</v>
      </c>
      <c r="B23" s="4139" t="s">
        <v>3872</v>
      </c>
      <c r="C23" s="4139">
        <v>164.45</v>
      </c>
      <c r="D23" s="4139">
        <v>12</v>
      </c>
      <c r="E23" s="4139">
        <v>10</v>
      </c>
      <c r="F23" s="4139"/>
      <c r="G23" s="4138"/>
      <c r="H23" s="4175"/>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89" t="str">
        <f>IF(B10="北京市","北京市",C10)&amp;F10&amp;IF(结果表!G1="在建","出让国有建设用地使用权及在建建筑物",IF(结果表!G1="土地","出让国有建设用地使用权",))&amp;B9&amp;"预评估"</f>
        <v>北京市房地产抵押价值预评估</v>
      </c>
      <c r="C1" s="4190"/>
      <c r="D1" s="4190"/>
      <c r="E1" s="4190"/>
      <c r="F1" s="4190"/>
      <c r="G1" s="4190"/>
      <c r="H1" s="4190"/>
      <c r="I1" s="4191"/>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3814</v>
      </c>
      <c r="C8" s="1842"/>
      <c r="D8" s="4192" t="s">
        <v>2100</v>
      </c>
      <c r="E8" s="1843" t="s">
        <v>3815</v>
      </c>
      <c r="F8" s="1844"/>
      <c r="G8" s="2038"/>
      <c r="H8" s="2038"/>
      <c r="I8" s="2038"/>
      <c r="J8" s="1882"/>
      <c r="K8" s="1998"/>
      <c r="L8" s="1997"/>
      <c r="M8" s="1997"/>
      <c r="N8" s="1882"/>
      <c r="O8" s="1380"/>
      <c r="P8" s="1882"/>
      <c r="Q8" s="1882"/>
      <c r="R8" s="1882"/>
    </row>
    <row r="9" spans="1:30" ht="13.5" thickBot="1">
      <c r="A9" s="1845" t="s">
        <v>2101</v>
      </c>
      <c r="B9" s="1846" t="s">
        <v>3815</v>
      </c>
      <c r="C9" s="1847"/>
      <c r="D9" s="4193"/>
      <c r="E9" s="1846" t="s">
        <v>41</v>
      </c>
      <c r="F9" s="1848"/>
      <c r="G9" s="2039"/>
      <c r="H9" s="2039"/>
      <c r="I9" s="2039"/>
      <c r="J9" s="1882"/>
      <c r="K9" s="2000"/>
      <c r="L9" s="1997"/>
      <c r="M9" s="1997"/>
      <c r="N9" s="1882"/>
      <c r="O9" s="1380"/>
      <c r="P9" s="1882"/>
      <c r="Q9" s="1882"/>
      <c r="R9" s="1882"/>
    </row>
    <row r="10" spans="1:30" ht="13.5" thickTop="1">
      <c r="A10" s="1849" t="s">
        <v>2102</v>
      </c>
      <c r="B10" s="3961" t="s">
        <v>3816</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199"/>
      <c r="C16" s="4200"/>
      <c r="D16" s="4201"/>
      <c r="E16" s="1861" t="s">
        <v>2117</v>
      </c>
      <c r="F16" s="4202"/>
      <c r="G16" s="4203"/>
      <c r="H16" s="4203"/>
      <c r="I16" s="4204"/>
      <c r="J16" s="1882"/>
      <c r="K16" s="2001"/>
      <c r="L16" s="1380"/>
      <c r="M16" s="1380"/>
      <c r="N16" s="1882"/>
      <c r="O16" s="1380"/>
      <c r="P16" s="1882"/>
      <c r="Q16" s="1882"/>
      <c r="R16" s="1882"/>
    </row>
    <row r="17" spans="1:28">
      <c r="A17" s="216" t="s">
        <v>2118</v>
      </c>
      <c r="B17" s="205" t="s">
        <v>2119</v>
      </c>
      <c r="C17" s="10">
        <f>'数据-汇总表'!E3</f>
        <v>127.64</v>
      </c>
      <c r="D17" s="974" t="s">
        <v>2120</v>
      </c>
      <c r="E17" s="4205" t="s">
        <v>2121</v>
      </c>
      <c r="F17" s="4206"/>
      <c r="G17" s="4206"/>
      <c r="H17" s="4206"/>
      <c r="I17" s="4207"/>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08" t="s">
        <v>2125</v>
      </c>
      <c r="F18" s="4209"/>
      <c r="G18" s="4209"/>
      <c r="H18" s="4209"/>
      <c r="I18" s="4210"/>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5" t="s">
        <v>2129</v>
      </c>
      <c r="C20" s="4196"/>
      <c r="D20" s="4197" t="s">
        <v>2130</v>
      </c>
      <c r="E20" s="4198"/>
      <c r="F20" s="2028" t="s">
        <v>1043</v>
      </c>
      <c r="G20" s="2038"/>
      <c r="H20" s="2038"/>
      <c r="I20" s="2038"/>
      <c r="J20" s="1882"/>
      <c r="K20" s="4194"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94"/>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94"/>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12"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12"/>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12"/>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13"/>
      <c r="B30" s="205" t="s">
        <v>2141</v>
      </c>
      <c r="C30" s="4214"/>
      <c r="D30" s="4215"/>
      <c r="E30" s="2038"/>
      <c r="F30" s="2038"/>
      <c r="G30" s="2038"/>
      <c r="H30" s="2038"/>
      <c r="I30" s="2038"/>
      <c r="J30" s="1882"/>
      <c r="K30" s="2000"/>
      <c r="L30" s="1997"/>
      <c r="M30" s="1997"/>
      <c r="N30" s="1882"/>
      <c r="O30" s="1380"/>
      <c r="P30" s="1882"/>
      <c r="Q30" s="1882"/>
      <c r="R30" s="1882"/>
      <c r="S30" s="1882"/>
      <c r="T30" s="1882"/>
      <c r="U30" s="1882"/>
      <c r="V30" s="1882"/>
    </row>
    <row r="31" spans="1:28">
      <c r="A31" s="4216"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17"/>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17"/>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211" t="s">
        <v>2151</v>
      </c>
      <c r="T34" s="225" t="str">
        <f>NUMBERSTRING(7-K34,1)&amp;"通"</f>
        <v>七通</v>
      </c>
      <c r="U34" s="1882"/>
      <c r="V34" s="1882"/>
    </row>
    <row r="35" spans="1:30">
      <c r="A35" s="1873"/>
      <c r="B35" s="4211" t="s">
        <v>2152</v>
      </c>
      <c r="C35" s="4211"/>
      <c r="D35" s="4211"/>
      <c r="E35" s="4211"/>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11"/>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127.64</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127.64</v>
      </c>
      <c r="H5" s="10">
        <f t="shared" ref="H5:AT5" si="0">SUM(H13:H656)</f>
        <v>127.64</v>
      </c>
      <c r="I5" s="10">
        <f t="shared" si="0"/>
        <v>127.64</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127.64</v>
      </c>
      <c r="BA5" s="12">
        <f t="shared" si="1"/>
        <v>127.64</v>
      </c>
      <c r="BB5" s="12">
        <f t="shared" si="1"/>
        <v>127.64</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Sheet1!A17</f>
        <v>401</v>
      </c>
      <c r="D13" s="1233" t="s">
        <v>3742</v>
      </c>
      <c r="E13" s="10">
        <f>IF($C$3="是",ROUND($A$3*G13/$B$3,2),ROUND($A$3*(G13-AT13)/$B$3,2))</f>
        <v>0</v>
      </c>
      <c r="F13" s="26"/>
      <c r="G13" s="27">
        <f>H13+AC13+AT13</f>
        <v>127.64</v>
      </c>
      <c r="H13" s="14">
        <f>SUMIF(I$12:AB$12,"总值",I13:AB13)</f>
        <v>127.64</v>
      </c>
      <c r="I13" s="1234">
        <f>Sheet1!C17</f>
        <v>127.64</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401</v>
      </c>
      <c r="AY13" s="978">
        <f>ROUND($AY$6*AZ13/$AZ$5,2)</f>
        <v>0</v>
      </c>
      <c r="AZ13" s="10">
        <f>BA13+BL13</f>
        <v>127.64</v>
      </c>
      <c r="BA13" s="10">
        <f>SUM(BB13:BK13)</f>
        <v>127.64</v>
      </c>
      <c r="BB13" s="10">
        <f>IF($D13="是",I13-J13,0)</f>
        <v>127.64</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27" t="s">
        <v>1117</v>
      </c>
      <c r="B2" s="4227"/>
      <c r="C2" s="4227"/>
      <c r="D2" s="572" t="s">
        <v>1093</v>
      </c>
      <c r="E2" s="1243" t="s">
        <v>1094</v>
      </c>
      <c r="F2" s="2035"/>
      <c r="G2" s="2030"/>
      <c r="H2" s="2031"/>
      <c r="I2" s="1788" t="s">
        <v>1118</v>
      </c>
      <c r="J2" s="2035"/>
      <c r="K2" s="2035"/>
      <c r="L2" s="2035"/>
      <c r="M2" s="2035"/>
      <c r="N2" s="2036"/>
      <c r="O2" s="2035"/>
      <c r="P2" s="2035"/>
    </row>
    <row r="3" spans="1:16" ht="15.75" thickBot="1">
      <c r="A3" s="4228" t="s">
        <v>1091</v>
      </c>
      <c r="B3" s="4228"/>
      <c r="C3" s="4228"/>
      <c r="D3" s="2813">
        <f>'数据-基础表'!AY6</f>
        <v>0</v>
      </c>
      <c r="E3" s="2813">
        <f>'数据-基础表'!AZ5</f>
        <v>127.64</v>
      </c>
      <c r="F3" s="2035"/>
      <c r="G3" s="37"/>
      <c r="H3" s="38" t="s">
        <v>1092</v>
      </c>
      <c r="I3" s="2810" t="e">
        <f>ROUND('数据-基础表'!B3/'数据-基础表'!A3,2)</f>
        <v>#DIV/0!</v>
      </c>
      <c r="J3" s="2035"/>
      <c r="K3" s="2035"/>
      <c r="L3" s="2035"/>
      <c r="M3" s="2035"/>
      <c r="N3" s="2036"/>
      <c r="O3" s="2035"/>
      <c r="P3" s="2035"/>
    </row>
    <row r="4" spans="1:16" ht="15">
      <c r="A4" s="4229"/>
      <c r="B4" s="4230"/>
      <c r="C4" s="4231"/>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32" t="s">
        <v>1096</v>
      </c>
      <c r="C5" s="4232"/>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32" t="s">
        <v>1097</v>
      </c>
      <c r="C6" s="4232"/>
      <c r="D6" s="2807">
        <f>ROUND($D$3*E6/$E$3,2)</f>
        <v>0</v>
      </c>
      <c r="E6" s="2814">
        <f>E3-E5</f>
        <v>127.64</v>
      </c>
      <c r="F6" s="2035"/>
      <c r="G6" s="1250" t="s">
        <v>1098</v>
      </c>
      <c r="H6" s="39" t="s">
        <v>1099</v>
      </c>
      <c r="I6" s="2811" t="e">
        <f>ROUND(F31/D31,2)</f>
        <v>#DIV/0!</v>
      </c>
      <c r="J6" s="2035"/>
      <c r="K6" s="2035"/>
      <c r="L6" s="2035"/>
      <c r="M6" s="2035"/>
      <c r="N6" s="2035"/>
      <c r="O6" s="2035"/>
      <c r="P6" s="2035"/>
    </row>
    <row r="7" spans="1:16" ht="15.75" thickBot="1">
      <c r="A7" s="4224"/>
      <c r="B7" s="4225"/>
      <c r="C7" s="4226"/>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127.64</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127.64</v>
      </c>
      <c r="F16" s="2035"/>
      <c r="G16" s="2035"/>
      <c r="H16" s="1252" t="s">
        <v>1121</v>
      </c>
      <c r="I16" s="1253"/>
      <c r="J16" s="827"/>
      <c r="K16" s="4221" t="s">
        <v>1121</v>
      </c>
      <c r="L16" s="4222"/>
      <c r="M16" s="4222"/>
      <c r="N16" s="4222"/>
      <c r="O16" s="4222"/>
      <c r="P16" s="4223"/>
    </row>
    <row r="17" spans="1:19" ht="15">
      <c r="A17" s="1254" t="s">
        <v>1122</v>
      </c>
      <c r="B17" s="1255" t="s">
        <v>1123</v>
      </c>
      <c r="C17" s="1256" t="s">
        <v>1124</v>
      </c>
      <c r="D17" s="1257" t="s">
        <v>1112</v>
      </c>
      <c r="E17" s="1258" t="s">
        <v>1113</v>
      </c>
      <c r="F17" s="1259"/>
      <c r="G17" s="1260"/>
      <c r="H17" s="1261" t="s">
        <v>1125</v>
      </c>
      <c r="I17" s="1262" t="s">
        <v>1110</v>
      </c>
      <c r="J17" s="827"/>
      <c r="K17" s="4218" t="s">
        <v>1126</v>
      </c>
      <c r="L17" s="4219"/>
      <c r="M17" s="4220"/>
      <c r="N17" s="4218" t="s">
        <v>1127</v>
      </c>
      <c r="O17" s="4219"/>
      <c r="P17" s="4220"/>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127.64</v>
      </c>
      <c r="F19" s="2818">
        <f>'数据-基础表'!I13</f>
        <v>127.64</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127.64</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127.64</v>
      </c>
      <c r="F27" s="2822">
        <f>IF(SUM(F19:F26)=E8,SUM(F19:F26),"地上面积有误")</f>
        <v>127.64</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127.64</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127.64</v>
      </c>
      <c r="F31" s="2828">
        <f>F27+F30</f>
        <v>127.64</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W27:X27"/>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127.64</v>
      </c>
      <c r="L6" s="3738">
        <f>ROUND(4500/1.09,0)</f>
        <v>4128</v>
      </c>
      <c r="M6" s="3739">
        <f t="shared" ref="M6:M14" si="1">ROUND(K6*L6/10000,0)</f>
        <v>53</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197.7962</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127.64</v>
      </c>
      <c r="L16" s="3749">
        <f>ROUND(M16*10000/SUM(K6:K14),0)</f>
        <v>4152</v>
      </c>
      <c r="M16" s="3749">
        <f>SUM(M6:M14)</f>
        <v>53</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2.5528</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33" t="s">
        <v>2200</v>
      </c>
      <c r="B1" s="4234"/>
      <c r="C1" s="4234"/>
      <c r="D1" s="4234"/>
      <c r="E1" s="4234"/>
      <c r="F1" s="4234"/>
      <c r="G1" s="4234"/>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37" sqref="N37"/>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1060.03</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2060.5738000000001</v>
      </c>
      <c r="C5" s="2752">
        <f ca="1">ROUND(B5*10000/$B$1,0)</f>
        <v>19439</v>
      </c>
      <c r="D5" s="2752" t="e">
        <f ca="1">ROUND(B5*10000/$B$2,0)</f>
        <v>#DIV/0!</v>
      </c>
      <c r="E5" s="2058"/>
      <c r="F5" s="2059"/>
      <c r="G5" s="2059"/>
      <c r="H5" s="2059"/>
      <c r="I5" s="2059"/>
      <c r="J5" s="2059"/>
      <c r="K5" s="2059"/>
    </row>
    <row r="6" spans="1:11" ht="16.5">
      <c r="A6" s="1937" t="s">
        <v>644</v>
      </c>
      <c r="B6" s="2752">
        <f ca="1">SUM(G14:G23)</f>
        <v>2060.5738000000001</v>
      </c>
      <c r="C6" s="2752">
        <f ca="1">ROUND(B6*10000/$B$1,0)</f>
        <v>19439</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1060.03</v>
      </c>
      <c r="C14" s="2749"/>
      <c r="D14" s="2749">
        <f ca="1">典型户型修正!T22/10000</f>
        <v>2060.5738000000001</v>
      </c>
      <c r="E14" s="2749">
        <f ca="1">ROUND(D14*10000/B14,0)</f>
        <v>19439</v>
      </c>
      <c r="F14" s="2749" t="e">
        <f ca="1">ROUND(D14*10000/C14,0)</f>
        <v>#DIV/0!</v>
      </c>
      <c r="G14" s="2749">
        <f ca="1">D14</f>
        <v>2060.5738000000001</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312" t="str">
        <f>项目基本情况!S2</f>
        <v>北京市房地产</v>
      </c>
      <c r="B2" s="4313"/>
      <c r="C2" s="4313"/>
      <c r="D2" s="4313"/>
      <c r="E2" s="4313"/>
      <c r="F2" s="4313"/>
      <c r="G2" s="4313"/>
      <c r="H2" s="4313"/>
      <c r="I2" s="4314"/>
    </row>
    <row r="3" spans="1:12" ht="12.75">
      <c r="A3" s="4316" t="s">
        <v>1248</v>
      </c>
      <c r="B3" s="4317"/>
      <c r="C3" s="4317"/>
      <c r="D3" s="4317"/>
      <c r="E3" s="4317"/>
      <c r="F3" s="4317"/>
      <c r="G3" s="4317"/>
      <c r="H3" s="4317"/>
      <c r="I3" s="4317"/>
    </row>
    <row r="4" spans="1:12" ht="14.25">
      <c r="A4" s="1336" t="s">
        <v>1249</v>
      </c>
      <c r="B4" s="1337" t="s">
        <v>1250</v>
      </c>
      <c r="C4" s="1338" t="s">
        <v>3754</v>
      </c>
      <c r="D4" s="1338" t="s">
        <v>3746</v>
      </c>
      <c r="E4" s="4321" t="s">
        <v>1251</v>
      </c>
      <c r="F4" s="4322"/>
      <c r="G4" s="4322"/>
      <c r="H4" s="4322"/>
      <c r="I4" s="4323"/>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50" t="s">
        <v>1252</v>
      </c>
      <c r="B5" s="4315">
        <v>25</v>
      </c>
      <c r="C5" s="4318"/>
      <c r="D5" s="4304"/>
      <c r="E5" s="64" t="s">
        <v>1253</v>
      </c>
      <c r="F5" s="1339"/>
      <c r="G5" s="1339"/>
      <c r="H5" s="1339"/>
      <c r="I5" s="1000"/>
    </row>
    <row r="6" spans="1:12" ht="12.75">
      <c r="A6" s="4250"/>
      <c r="B6" s="4315"/>
      <c r="C6" s="4320"/>
      <c r="D6" s="4304"/>
      <c r="E6" s="64" t="s">
        <v>1254</v>
      </c>
      <c r="F6" s="1339"/>
      <c r="G6" s="1339"/>
      <c r="H6" s="1339"/>
      <c r="I6" s="1000"/>
    </row>
    <row r="7" spans="1:12" ht="12.75">
      <c r="A7" s="4250"/>
      <c r="B7" s="4315"/>
      <c r="C7" s="4319"/>
      <c r="D7" s="4304"/>
      <c r="E7" s="64" t="s">
        <v>1255</v>
      </c>
      <c r="F7" s="1339"/>
      <c r="G7" s="1339"/>
      <c r="H7" s="1339"/>
      <c r="I7" s="1000"/>
    </row>
    <row r="8" spans="1:12" ht="12.75">
      <c r="A8" s="4250" t="s">
        <v>1256</v>
      </c>
      <c r="B8" s="4315">
        <v>15</v>
      </c>
      <c r="C8" s="4318"/>
      <c r="D8" s="4304"/>
      <c r="E8" s="64" t="s">
        <v>1257</v>
      </c>
      <c r="F8" s="1339"/>
      <c r="G8" s="1339"/>
      <c r="H8" s="1339"/>
      <c r="I8" s="1000"/>
    </row>
    <row r="9" spans="1:12" ht="12.75">
      <c r="A9" s="4250"/>
      <c r="B9" s="4315"/>
      <c r="C9" s="4319"/>
      <c r="D9" s="4304"/>
      <c r="E9" s="64" t="s">
        <v>1258</v>
      </c>
      <c r="F9" s="1339"/>
      <c r="G9" s="1339"/>
      <c r="H9" s="1339"/>
      <c r="I9" s="1000"/>
    </row>
    <row r="10" spans="1:12" ht="12.75">
      <c r="A10" s="4250" t="s">
        <v>1259</v>
      </c>
      <c r="B10" s="4315">
        <v>15</v>
      </c>
      <c r="C10" s="4318"/>
      <c r="D10" s="4304"/>
      <c r="E10" s="64" t="s">
        <v>1260</v>
      </c>
      <c r="F10" s="1339"/>
      <c r="G10" s="1339"/>
      <c r="H10" s="1339"/>
      <c r="I10" s="1000"/>
    </row>
    <row r="11" spans="1:12" ht="12.75">
      <c r="A11" s="4250"/>
      <c r="B11" s="4315"/>
      <c r="C11" s="4319"/>
      <c r="D11" s="4304"/>
      <c r="E11" s="64" t="s">
        <v>1261</v>
      </c>
      <c r="F11" s="1339"/>
      <c r="G11" s="1339"/>
      <c r="H11" s="1339"/>
      <c r="I11" s="1000"/>
    </row>
    <row r="12" spans="1:12" ht="12.75">
      <c r="A12" s="4250" t="s">
        <v>1262</v>
      </c>
      <c r="B12" s="4315">
        <v>15</v>
      </c>
      <c r="C12" s="4318"/>
      <c r="D12" s="4304"/>
      <c r="E12" s="64" t="s">
        <v>1263</v>
      </c>
      <c r="F12" s="1339"/>
      <c r="G12" s="1339"/>
      <c r="H12" s="1339"/>
      <c r="I12" s="1000"/>
    </row>
    <row r="13" spans="1:12" ht="12.75">
      <c r="A13" s="4250"/>
      <c r="B13" s="4315"/>
      <c r="C13" s="4319"/>
      <c r="D13" s="4304"/>
      <c r="E13" s="64" t="s">
        <v>1264</v>
      </c>
      <c r="F13" s="1339"/>
      <c r="G13" s="1339"/>
      <c r="H13" s="1339"/>
      <c r="I13" s="1000"/>
    </row>
    <row r="14" spans="1:12" ht="12.75">
      <c r="A14" s="4250" t="s">
        <v>1265</v>
      </c>
      <c r="B14" s="4315">
        <v>30</v>
      </c>
      <c r="C14" s="4318">
        <v>7</v>
      </c>
      <c r="D14" s="4304">
        <v>3</v>
      </c>
      <c r="E14" s="64" t="s">
        <v>1266</v>
      </c>
      <c r="F14" s="1339"/>
      <c r="G14" s="1339"/>
      <c r="H14" s="1339"/>
      <c r="I14" s="1000"/>
    </row>
    <row r="15" spans="1:12" ht="12.75">
      <c r="A15" s="4250"/>
      <c r="B15" s="4315"/>
      <c r="C15" s="4320"/>
      <c r="D15" s="4304"/>
      <c r="E15" s="64" t="s">
        <v>1267</v>
      </c>
      <c r="F15" s="1339"/>
      <c r="G15" s="1339"/>
      <c r="H15" s="1339"/>
      <c r="I15" s="1000"/>
    </row>
    <row r="16" spans="1:12" ht="12.75">
      <c r="A16" s="4250"/>
      <c r="B16" s="4315"/>
      <c r="C16" s="4319"/>
      <c r="D16" s="4304"/>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338" t="s">
        <v>2054</v>
      </c>
      <c r="F18" s="4339"/>
      <c r="G18" s="4339"/>
      <c r="H18" s="4339"/>
      <c r="I18" s="4339"/>
      <c r="K18" s="205" t="s">
        <v>1273</v>
      </c>
      <c r="L18" s="2758">
        <f>IF(C1="",'数据-汇总表'!E3,SUMIF(项目类型,C1,'数据-汇总表'!E17:E26)+SUMIF(项目类型,C1,'数据-汇总表'!I17:I26))</f>
        <v>127.64</v>
      </c>
      <c r="M18" s="2758">
        <f>IF(C1="",'数据-汇总表'!E3,SUMIF(项目类型,C1,'数据-汇总表'!E17:E26))</f>
        <v>127.64</v>
      </c>
    </row>
    <row r="19" spans="1:36" ht="15">
      <c r="A19" s="1342" t="s">
        <v>1274</v>
      </c>
      <c r="B19" s="1343" t="s">
        <v>1275</v>
      </c>
      <c r="C19" s="3431">
        <f ca="1">SUMIF(INDIRECT("'"&amp;C4&amp;"'"&amp;"!A:A"),结果表!B19,INDIRECT("'"&amp;C4&amp;"'"&amp;"!B:B"))</f>
        <v>269.26929999999999</v>
      </c>
      <c r="D19" s="3432">
        <f ca="1">SUMIF(INDIRECT("'"&amp;D4&amp;"'"&amp;"!A:A"),结果表!B19,INDIRECT("'"&amp;D4&amp;"'"&amp;"!B:B"))</f>
        <v>197.7962</v>
      </c>
      <c r="E19" s="1342" t="s">
        <v>1276</v>
      </c>
      <c r="F19" s="1343" t="s">
        <v>1275</v>
      </c>
      <c r="G19" s="3427">
        <f ca="1">ROUND(C19*$C$18+D19*$D$18,0)</f>
        <v>248</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21096</v>
      </c>
      <c r="D20" s="3424">
        <f ca="1">SUMIF(INDIRECT("'"&amp;D4&amp;"'"&amp;"!A:A"),结果表!B20,INDIRECT("'"&amp;D4&amp;"'"&amp;"!B:B"))</f>
        <v>15496</v>
      </c>
      <c r="E20" s="1345"/>
      <c r="F20" s="38" t="s">
        <v>1279</v>
      </c>
      <c r="G20" s="3428">
        <f ca="1">ROUND(C20*$C$18+D20*$D$18,0)</f>
        <v>19416</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0.36134718462740945</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330" t="s">
        <v>1283</v>
      </c>
      <c r="B24" s="1343" t="s">
        <v>1275</v>
      </c>
      <c r="C24" s="66">
        <f>IF(B30=0,0,D30)</f>
        <v>0</v>
      </c>
      <c r="D24" s="1347"/>
      <c r="E24" s="62"/>
      <c r="F24" s="62"/>
      <c r="G24" s="62"/>
      <c r="H24" s="62"/>
      <c r="I24" s="62"/>
    </row>
    <row r="25" spans="1:36" ht="14.25">
      <c r="A25" s="4331"/>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19416</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305" t="s">
        <v>1296</v>
      </c>
      <c r="B36" s="1362" t="s">
        <v>1297</v>
      </c>
      <c r="C36" s="2764"/>
      <c r="D36" s="1363"/>
      <c r="E36" s="1284"/>
      <c r="F36" s="1364"/>
      <c r="G36" s="62"/>
      <c r="H36" s="62"/>
      <c r="I36" s="62"/>
    </row>
    <row r="37" spans="1:19" ht="15.75" thickBot="1">
      <c r="A37" s="4306"/>
      <c r="B37" s="1272" t="s">
        <v>1298</v>
      </c>
      <c r="C37" s="2765"/>
      <c r="D37" s="827"/>
      <c r="E37" s="827"/>
      <c r="F37" s="1364"/>
      <c r="G37" s="62"/>
      <c r="H37" s="62"/>
      <c r="I37" s="62"/>
    </row>
    <row r="38" spans="1:19" ht="15.75" thickBot="1">
      <c r="A38" s="4307"/>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327" t="s">
        <v>1310</v>
      </c>
      <c r="B45" s="4328"/>
      <c r="C45" s="4329"/>
      <c r="D45" s="2772">
        <f ca="1">ROUND(H101*F45,0)</f>
        <v>248</v>
      </c>
      <c r="E45" s="75" t="s">
        <v>1311</v>
      </c>
      <c r="F45" s="76">
        <v>1</v>
      </c>
      <c r="G45" s="77" t="s">
        <v>1312</v>
      </c>
      <c r="H45" s="62"/>
      <c r="I45" s="62"/>
      <c r="J45" s="4237" t="s">
        <v>1313</v>
      </c>
      <c r="K45" s="4237"/>
      <c r="L45" s="4237"/>
      <c r="M45" s="4237"/>
      <c r="N45" s="4237"/>
      <c r="O45" s="4237"/>
    </row>
    <row r="46" spans="1:19" ht="14.25" customHeight="1">
      <c r="A46" s="4324" t="s">
        <v>1314</v>
      </c>
      <c r="B46" s="4325"/>
      <c r="C46" s="4325"/>
      <c r="D46" s="4325"/>
      <c r="E46" s="4325"/>
      <c r="F46" s="4325"/>
      <c r="G46" s="4326"/>
      <c r="H46" s="1378"/>
      <c r="I46" s="78"/>
      <c r="J46" s="1945">
        <v>1</v>
      </c>
      <c r="K46" s="4238" t="s">
        <v>1315</v>
      </c>
      <c r="L46" s="4238"/>
      <c r="M46" s="4239"/>
      <c r="N46" s="4239"/>
      <c r="O46" s="4239"/>
    </row>
    <row r="47" spans="1:19" ht="12" customHeight="1">
      <c r="A47" s="79" t="s">
        <v>1316</v>
      </c>
      <c r="B47" s="80"/>
      <c r="C47" s="81"/>
      <c r="D47" s="787" t="s">
        <v>1317</v>
      </c>
      <c r="E47" s="205" t="s">
        <v>1318</v>
      </c>
      <c r="F47" s="82" t="s">
        <v>1319</v>
      </c>
      <c r="G47" s="1963" t="s">
        <v>1320</v>
      </c>
      <c r="H47" s="1964"/>
      <c r="I47" s="78"/>
      <c r="J47" s="1945">
        <v>2</v>
      </c>
      <c r="K47" s="4238" t="s">
        <v>1321</v>
      </c>
      <c r="L47" s="4238"/>
      <c r="M47" s="4240">
        <f>'数据-取费表'!B2</f>
        <v>46031</v>
      </c>
      <c r="N47" s="4240"/>
      <c r="O47" s="4240"/>
    </row>
    <row r="48" spans="1:19" ht="25.5">
      <c r="A48" s="4310" t="s">
        <v>1322</v>
      </c>
      <c r="B48" s="4311"/>
      <c r="C48" s="4311"/>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38" t="s">
        <v>1324</v>
      </c>
      <c r="L48" s="4238"/>
      <c r="M48" s="4241">
        <f ca="1">H101</f>
        <v>248</v>
      </c>
      <c r="N48" s="4241"/>
      <c r="O48" s="4241"/>
      <c r="R48" s="3952" t="s">
        <v>3706</v>
      </c>
      <c r="S48" s="3953"/>
    </row>
    <row r="49" spans="1:35" ht="25.5" customHeight="1">
      <c r="A49" s="3919" t="s">
        <v>1325</v>
      </c>
      <c r="B49" s="4291" t="s">
        <v>1326</v>
      </c>
      <c r="C49" s="4291"/>
      <c r="D49" s="3920">
        <v>0</v>
      </c>
      <c r="E49" s="3921" t="s">
        <v>1327</v>
      </c>
      <c r="F49" s="3922" t="s">
        <v>26</v>
      </c>
      <c r="G49" s="4274"/>
      <c r="H49" s="3912" t="s">
        <v>2057</v>
      </c>
      <c r="I49" s="3913"/>
      <c r="J49" s="1945">
        <v>4</v>
      </c>
      <c r="K49" s="4238" t="str">
        <f>IF(项目基本情况!E8="房地产抵押价值","房地产抵押价值","抵押担保权已注销时的房地产抵押价值")</f>
        <v>房地产抵押价值</v>
      </c>
      <c r="L49" s="4238"/>
      <c r="M49" s="4241">
        <f ca="1">IF(项目基本情况!E8="房地产抵押价值",H107,H109)</f>
        <v>248</v>
      </c>
      <c r="N49" s="4241"/>
      <c r="O49" s="4241"/>
      <c r="R49" s="3954" t="s">
        <v>3707</v>
      </c>
      <c r="S49" s="3952" t="s">
        <v>3708</v>
      </c>
    </row>
    <row r="50" spans="1:35" ht="25.5" customHeight="1">
      <c r="A50" s="3923"/>
      <c r="B50" s="4291" t="s">
        <v>1328</v>
      </c>
      <c r="C50" s="4291"/>
      <c r="D50" s="3924"/>
      <c r="E50" s="3925"/>
      <c r="F50" s="3922"/>
      <c r="G50" s="4275"/>
      <c r="H50" s="1386" t="s">
        <v>2058</v>
      </c>
      <c r="I50" s="3913"/>
      <c r="J50" s="4237" t="s">
        <v>1329</v>
      </c>
      <c r="K50" s="4237"/>
      <c r="L50" s="4237"/>
      <c r="M50" s="4237"/>
      <c r="N50" s="4237"/>
      <c r="O50" s="4237"/>
      <c r="R50" s="3954" t="s">
        <v>3709</v>
      </c>
      <c r="S50" s="3952" t="s">
        <v>3710</v>
      </c>
    </row>
    <row r="51" spans="1:35" ht="20.45" customHeight="1">
      <c r="A51" s="3926"/>
      <c r="B51" s="4291" t="s">
        <v>1330</v>
      </c>
      <c r="C51" s="4291"/>
      <c r="D51" s="3911"/>
      <c r="E51" s="3927"/>
      <c r="F51" s="3922"/>
      <c r="G51" s="4276"/>
      <c r="H51" s="1386" t="s">
        <v>2059</v>
      </c>
      <c r="I51" s="3913"/>
      <c r="J51" s="1946" t="s">
        <v>1331</v>
      </c>
      <c r="K51" s="4238" t="s">
        <v>1332</v>
      </c>
      <c r="L51" s="4238"/>
      <c r="M51" s="1946" t="s">
        <v>1333</v>
      </c>
      <c r="N51" s="1946" t="s">
        <v>1334</v>
      </c>
      <c r="O51" s="1946" t="s">
        <v>1335</v>
      </c>
      <c r="R51" s="3954" t="s">
        <v>3711</v>
      </c>
      <c r="S51" s="3953" t="s">
        <v>3712</v>
      </c>
    </row>
    <row r="52" spans="1:35" ht="24" customHeight="1">
      <c r="A52" s="3928" t="s">
        <v>1336</v>
      </c>
      <c r="B52" s="4291" t="s">
        <v>1337</v>
      </c>
      <c r="C52" s="4291"/>
      <c r="D52" s="3911">
        <f ca="1">ROUND(D45*'数据-取费表'!B42/(1+'数据-取费表'!C43),0)</f>
        <v>0</v>
      </c>
      <c r="E52" s="3918" t="s">
        <v>1338</v>
      </c>
      <c r="F52" s="3909">
        <f>'数据-取费表'!B42</f>
        <v>0</v>
      </c>
      <c r="G52" s="969" t="s">
        <v>3696</v>
      </c>
      <c r="H52" s="1961"/>
      <c r="I52" s="1379"/>
      <c r="J52" s="1945">
        <v>1</v>
      </c>
      <c r="K52" s="4268" t="s">
        <v>1339</v>
      </c>
      <c r="L52" s="4268"/>
      <c r="M52" s="2775" t="b">
        <f>D48</f>
        <v>0</v>
      </c>
      <c r="N52" s="1945" t="str">
        <f>E48</f>
        <v>销售额×税（费）率</v>
      </c>
      <c r="O52" s="1947">
        <f>F48</f>
        <v>0</v>
      </c>
      <c r="R52" s="3952" t="s">
        <v>3713</v>
      </c>
      <c r="S52" s="3952" t="s">
        <v>3717</v>
      </c>
    </row>
    <row r="53" spans="1:35" ht="12" customHeight="1">
      <c r="A53" s="3928" t="s">
        <v>1340</v>
      </c>
      <c r="B53" s="4292" t="s">
        <v>2205</v>
      </c>
      <c r="C53" s="4293"/>
      <c r="D53" s="3911">
        <f ca="1">ROUND(D45*'数据-取费表'!B42/(1+'数据-取费表'!C43),0)</f>
        <v>0</v>
      </c>
      <c r="E53" s="3918" t="s">
        <v>1338</v>
      </c>
      <c r="F53" s="3909">
        <f>'数据-取费表'!B42</f>
        <v>0</v>
      </c>
      <c r="G53" s="1968"/>
      <c r="H53" s="1961"/>
      <c r="I53" s="1379"/>
      <c r="J53" s="1945">
        <v>2</v>
      </c>
      <c r="K53" s="4268" t="s">
        <v>1341</v>
      </c>
      <c r="L53" s="4268"/>
      <c r="M53" s="2775">
        <f t="shared" ref="M53:O54" ca="1" si="0">D55</f>
        <v>0</v>
      </c>
      <c r="N53" s="1945" t="str">
        <f t="shared" si="0"/>
        <v>销售额×税（费）率</v>
      </c>
      <c r="O53" s="1947" t="str">
        <f t="shared" si="0"/>
        <v>免征</v>
      </c>
      <c r="R53" s="3952" t="s">
        <v>3714</v>
      </c>
      <c r="S53" s="3953" t="s">
        <v>3721</v>
      </c>
    </row>
    <row r="54" spans="1:35" ht="12" customHeight="1">
      <c r="A54" s="3928" t="s">
        <v>1342</v>
      </c>
      <c r="B54" s="4292" t="s">
        <v>2206</v>
      </c>
      <c r="C54" s="4293"/>
      <c r="D54" s="3911">
        <f ca="1">C68</f>
        <v>0</v>
      </c>
      <c r="E54" s="3927" t="s">
        <v>1343</v>
      </c>
      <c r="F54" s="3909">
        <f>'数据-取费表'!B42</f>
        <v>0</v>
      </c>
      <c r="G54" s="1968"/>
      <c r="H54" s="1969"/>
      <c r="I54" s="1379"/>
      <c r="J54" s="1945">
        <v>3</v>
      </c>
      <c r="K54" s="4268" t="s">
        <v>1344</v>
      </c>
      <c r="L54" s="4268"/>
      <c r="M54" s="2775">
        <f t="shared" ca="1" si="0"/>
        <v>125</v>
      </c>
      <c r="N54" s="1945" t="str">
        <f t="shared" si="0"/>
        <v>增值额×税（费）率</v>
      </c>
      <c r="O54" s="1948" t="str">
        <f t="shared" si="0"/>
        <v>免征</v>
      </c>
      <c r="R54" s="3954" t="s">
        <v>3715</v>
      </c>
      <c r="S54" s="3953" t="s">
        <v>3718</v>
      </c>
    </row>
    <row r="55" spans="1:35" ht="24" customHeight="1">
      <c r="A55" s="4333" t="s">
        <v>1345</v>
      </c>
      <c r="B55" s="4334"/>
      <c r="C55" s="4334"/>
      <c r="D55" s="2773">
        <f ca="1">IF(H55="个人住宅",0,ROUND(D45*I55,0))</f>
        <v>0</v>
      </c>
      <c r="E55" s="974" t="s">
        <v>1346</v>
      </c>
      <c r="F55" s="1967" t="str">
        <f>IF(H55="正常",I55,"免征")</f>
        <v>免征</v>
      </c>
      <c r="G55" s="1968"/>
      <c r="H55" s="1966"/>
      <c r="I55" s="83">
        <f>'数据-取费表'!B50</f>
        <v>5.0000000000000001E-4</v>
      </c>
      <c r="J55" s="1945">
        <f>IF(H59="非个人房产","",4)</f>
        <v>4</v>
      </c>
      <c r="K55" s="4268" t="str">
        <f>IF(H59="非个人房产","——","个人所得税")</f>
        <v>个人所得税</v>
      </c>
      <c r="L55" s="4268"/>
      <c r="M55" s="2776">
        <f ca="1">D59</f>
        <v>2</v>
      </c>
      <c r="N55" s="1563" t="str">
        <f>E59</f>
        <v>差额计税</v>
      </c>
      <c r="O55" s="1949">
        <f>F59</f>
        <v>0.01</v>
      </c>
      <c r="R55" s="3954" t="s">
        <v>3716</v>
      </c>
      <c r="S55" s="3953" t="s">
        <v>3719</v>
      </c>
    </row>
    <row r="56" spans="1:35" ht="24.75">
      <c r="A56" s="4333" t="s">
        <v>1347</v>
      </c>
      <c r="B56" s="4334"/>
      <c r="C56" s="4334"/>
      <c r="D56" s="2773">
        <f ca="1">IF(H56="个人住宅",D57,D58)</f>
        <v>125</v>
      </c>
      <c r="E56" s="974" t="s">
        <v>1348</v>
      </c>
      <c r="F56" s="1967" t="str">
        <f>IF(H56="正常",F58,"免征")</f>
        <v>免征</v>
      </c>
      <c r="G56" s="1970" t="s">
        <v>1349</v>
      </c>
      <c r="H56" s="1971"/>
      <c r="I56" s="1380"/>
      <c r="J56" s="1945" t="str">
        <f>IF(项目基本情况!K6="上海银行",IF(J55="",4,J55+1),"")</f>
        <v/>
      </c>
      <c r="K56" s="4244" t="str">
        <f>IF(项目基本情况!K6="上海银行","其他处置费用","")</f>
        <v/>
      </c>
      <c r="L56" s="4245"/>
      <c r="M56" s="2775" t="str">
        <f>IF(项目基本情况!K6="上海银行",M69,"")</f>
        <v/>
      </c>
      <c r="N56" s="4244" t="str">
        <f>IF(项目基本情况!K6="上海银行","包含处置中涉及的律师、诉讼、拍卖、评估等费用","")</f>
        <v/>
      </c>
      <c r="O56" s="4247"/>
      <c r="R56" s="3953"/>
      <c r="S56" s="3953" t="s">
        <v>3720</v>
      </c>
    </row>
    <row r="57" spans="1:35" ht="12.75">
      <c r="A57" s="1794" t="s">
        <v>1325</v>
      </c>
      <c r="B57" s="4294" t="s">
        <v>1350</v>
      </c>
      <c r="C57" s="4299"/>
      <c r="D57" s="2774">
        <v>0</v>
      </c>
      <c r="E57" s="226" t="s">
        <v>1327</v>
      </c>
      <c r="F57" s="205"/>
      <c r="G57" s="1968"/>
      <c r="H57" s="1972"/>
      <c r="I57" s="1380"/>
      <c r="J57" s="4268">
        <f>IF(AND(J55="",J56=""),4,IF(项目基本情况!K6="上海银行",结果表!J56+1,结果表!J55+1))</f>
        <v>5</v>
      </c>
      <c r="K57" s="4268" t="s">
        <v>1351</v>
      </c>
      <c r="L57" s="1950" t="s">
        <v>1352</v>
      </c>
      <c r="M57" s="1951"/>
      <c r="N57" s="2777">
        <f ca="1">SUMIF(M52:M56,"&lt;9e307")</f>
        <v>127</v>
      </c>
      <c r="O57" s="1952"/>
      <c r="P57" s="2061">
        <f ca="1">N57/M49</f>
        <v>0.51209677419354838</v>
      </c>
      <c r="R57" s="3951" t="s">
        <v>3722</v>
      </c>
      <c r="S57" s="3951" t="s">
        <v>3723</v>
      </c>
    </row>
    <row r="58" spans="1:35" ht="24.75">
      <c r="A58" s="1794" t="s">
        <v>1336</v>
      </c>
      <c r="B58" s="4294" t="s">
        <v>1353</v>
      </c>
      <c r="C58" s="4295"/>
      <c r="D58" s="2773">
        <f ca="1">IF(H58="转让取得",C81,C97)</f>
        <v>125</v>
      </c>
      <c r="E58" s="974" t="s">
        <v>1348</v>
      </c>
      <c r="F58" s="205" t="s">
        <v>26</v>
      </c>
      <c r="G58" s="1968"/>
      <c r="H58" s="1971"/>
      <c r="I58" s="1380"/>
      <c r="J58" s="4268"/>
      <c r="K58" s="4268"/>
      <c r="L58" s="1950" t="s">
        <v>1354</v>
      </c>
      <c r="M58" s="1953"/>
      <c r="N58" s="1954" t="str">
        <f ca="1">NUMBERSTRING(INT(N57*10000),2)&amp;"元整"</f>
        <v>壹佰贰拾柒万元整</v>
      </c>
      <c r="O58" s="1955"/>
      <c r="R58" s="3951" t="s">
        <v>3724</v>
      </c>
      <c r="S58" s="3951" t="s">
        <v>3725</v>
      </c>
    </row>
    <row r="59" spans="1:35" ht="24.75" thickBot="1">
      <c r="A59" s="4272" t="s">
        <v>1355</v>
      </c>
      <c r="B59" s="4273"/>
      <c r="C59" s="4273"/>
      <c r="D59" s="3929">
        <f ca="1">IF(H59="非个人房产","——",IF(H59="个人住宅（满五唯一有凭证）",0,IF(H59="个人其他（无凭证）",ROUND(D45/(1+'数据-取费表'!C43)*F59,0),ROUND(C67*F59,0))))</f>
        <v>2</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270">
        <f>J57+1</f>
        <v>6</v>
      </c>
      <c r="K59" s="4268" t="s">
        <v>1356</v>
      </c>
      <c r="L59" s="1945" t="s">
        <v>1352</v>
      </c>
      <c r="M59" s="1956"/>
      <c r="N59" s="2778">
        <f ca="1">M49-N57</f>
        <v>121</v>
      </c>
      <c r="O59" s="1957"/>
    </row>
    <row r="60" spans="1:35" ht="12" customHeight="1">
      <c r="A60" s="1381"/>
      <c r="B60" s="493"/>
      <c r="C60" s="493"/>
      <c r="D60" s="493"/>
      <c r="E60" s="1186"/>
      <c r="F60" s="1380"/>
      <c r="G60" s="1380"/>
      <c r="H60" s="78"/>
      <c r="I60" s="62"/>
      <c r="J60" s="4271"/>
      <c r="K60" s="4268"/>
      <c r="L60" s="1950" t="s">
        <v>1354</v>
      </c>
      <c r="M60" s="1953"/>
      <c r="N60" s="1954" t="str">
        <f ca="1">NUMBERSTRING(INT(N59*10000),2)&amp;"元整"</f>
        <v>壹佰贰拾壹万元整</v>
      </c>
      <c r="O60" s="1955"/>
    </row>
    <row r="61" spans="1:35" ht="13.5" thickBot="1">
      <c r="A61" s="4332" t="s">
        <v>1357</v>
      </c>
      <c r="B61" s="4332"/>
      <c r="C61" s="4332"/>
      <c r="D61" s="4332"/>
      <c r="E61" s="4332"/>
      <c r="F61" s="1380"/>
      <c r="G61" s="1380"/>
      <c r="H61" s="78"/>
      <c r="I61" s="62"/>
      <c r="J61" s="1945">
        <f>J59+1</f>
        <v>7</v>
      </c>
      <c r="K61" s="4268" t="s">
        <v>1358</v>
      </c>
      <c r="L61" s="4268"/>
      <c r="M61" s="1958"/>
      <c r="N61" s="2779">
        <f ca="1">ROUND(N59*10000/'数据-汇总表'!E3,0)</f>
        <v>9480</v>
      </c>
      <c r="O61" s="1959"/>
    </row>
    <row r="62" spans="1:35" ht="12.75">
      <c r="A62" s="4308" t="s">
        <v>1359</v>
      </c>
      <c r="B62" s="4309"/>
      <c r="C62" s="3933"/>
      <c r="D62" s="3933" t="s">
        <v>1360</v>
      </c>
      <c r="E62" s="3934" t="s">
        <v>1361</v>
      </c>
      <c r="F62" s="1380"/>
      <c r="G62" s="1380"/>
      <c r="H62" s="78"/>
      <c r="I62" s="62"/>
    </row>
    <row r="63" spans="1:35" ht="12.75">
      <c r="A63" s="3935" t="s">
        <v>328</v>
      </c>
      <c r="B63" s="3936" t="s">
        <v>1362</v>
      </c>
      <c r="C63" s="3910">
        <f ca="1">ROUND((C64+C65)/(1+'数据-取费表'!C43),0)</f>
        <v>248</v>
      </c>
      <c r="D63" s="3936"/>
      <c r="E63" s="3950" t="s">
        <v>3698</v>
      </c>
      <c r="F63" s="1380"/>
      <c r="G63" s="1380"/>
      <c r="H63" s="78"/>
      <c r="I63" s="62"/>
      <c r="J63" s="4246" t="s">
        <v>1363</v>
      </c>
      <c r="K63" s="963" t="s">
        <v>1364</v>
      </c>
      <c r="L63" s="2780">
        <f ca="1">IF(M49&gt;10000,M49*0.5%,IF(AND(M49&gt;1000,M49&lt;=10000),M49*1%,IF(AND(M49&gt;100,M49&lt;=1000),M49*3%,IF(AND(M49&gt;10,M49&lt;=100),M49*5%,M49*8%))))</f>
        <v>7.4399999999999995</v>
      </c>
      <c r="M63" s="2758">
        <f ca="1">ROUND(L63,1)</f>
        <v>7.4</v>
      </c>
      <c r="N63" s="1960"/>
      <c r="Z63" s="1335"/>
      <c r="AI63" s="1278"/>
    </row>
    <row r="64" spans="1:35" ht="14.25" customHeight="1">
      <c r="A64" s="3937" t="s">
        <v>323</v>
      </c>
      <c r="B64" s="3938" t="s">
        <v>1365</v>
      </c>
      <c r="C64" s="3939">
        <f ca="1">D45</f>
        <v>248</v>
      </c>
      <c r="D64" s="3938" t="s">
        <v>24</v>
      </c>
      <c r="E64" s="3940"/>
      <c r="F64" s="1380"/>
      <c r="G64" s="1380"/>
      <c r="H64" s="78"/>
      <c r="I64" s="62"/>
      <c r="J64" s="4246"/>
      <c r="K64" s="963" t="s">
        <v>1366</v>
      </c>
      <c r="L64" s="2780">
        <f ca="1">IF(M49&gt;2000,M49*0.5%,IF(AND(M49&gt;1000,M49&lt;=2000),M49*0.6%,IF(AND(M49&gt;500,M49&lt;=1000),M49*0.7%,IF(AND(M49&gt;200,M49&lt;=500),M49*0.8%,IF(AND(M49&gt;100,M49&lt;=200),M49*0.9%,IF(AND(M49&gt;50,M49&lt;=100),M49*1%,IF(AND(M49&gt;20,M49&lt;=50),M49*1.5%,IF(AND(M49&gt;10,M49&lt;=20),M49*2%,IF(AND(M49&gt;1,M49&lt;=10),M49*2.5%)))))))))</f>
        <v>1.984</v>
      </c>
      <c r="M64" s="2758">
        <f t="shared" ref="M64:M65" ca="1" si="1">ROUND(L64,1)</f>
        <v>2</v>
      </c>
      <c r="N64" s="1961" t="s">
        <v>1367</v>
      </c>
      <c r="Z64" s="1335"/>
      <c r="AI64" s="1278"/>
    </row>
    <row r="65" spans="1:35" ht="14.25" customHeight="1">
      <c r="A65" s="3937" t="s">
        <v>324</v>
      </c>
      <c r="B65" s="3938" t="s">
        <v>1368</v>
      </c>
      <c r="C65" s="3941"/>
      <c r="D65" s="3938"/>
      <c r="E65" s="3940"/>
      <c r="F65" s="1380"/>
      <c r="G65" s="1380"/>
      <c r="H65" s="78"/>
      <c r="I65" s="62"/>
      <c r="J65" s="4246"/>
      <c r="K65" s="963" t="s">
        <v>1369</v>
      </c>
      <c r="L65" s="2780">
        <f ca="1">IF(M49&gt;1000,M49*0.1%,IF(AND(M49&gt;500,M49&lt;=1000),M49*0.5%,IF(AND(M49&gt;50,M49&lt;=500),M49*1%,IF(AND(M49&gt;1,M49&lt;=50),M49*1.5%))))</f>
        <v>2.48</v>
      </c>
      <c r="M65" s="2758">
        <f t="shared" ca="1" si="1"/>
        <v>2.5</v>
      </c>
      <c r="N65" s="1961" t="s">
        <v>1367</v>
      </c>
      <c r="Z65" s="1335"/>
      <c r="AI65" s="1278"/>
    </row>
    <row r="66" spans="1:35" ht="14.25" customHeight="1">
      <c r="A66" s="3935" t="s">
        <v>325</v>
      </c>
      <c r="B66" s="3942" t="s">
        <v>1370</v>
      </c>
      <c r="C66" s="3943"/>
      <c r="D66" s="3942" t="s">
        <v>24</v>
      </c>
      <c r="E66" s="3914" t="s">
        <v>3697</v>
      </c>
      <c r="F66" s="3915"/>
      <c r="G66" s="3915"/>
      <c r="H66" s="78"/>
      <c r="I66" s="62"/>
      <c r="J66" s="4246"/>
      <c r="K66" s="963" t="s">
        <v>1371</v>
      </c>
      <c r="L66" s="2780">
        <f ca="1">M49*0.5%</f>
        <v>1.24</v>
      </c>
      <c r="M66" s="2758">
        <f ca="1">IF(L66&gt;0.5,0.5,ROUND(L66,0))</f>
        <v>0.5</v>
      </c>
      <c r="N66" s="1961" t="s">
        <v>1372</v>
      </c>
      <c r="Z66" s="1335"/>
      <c r="AI66" s="1278"/>
    </row>
    <row r="67" spans="1:35" ht="14.25" customHeight="1">
      <c r="A67" s="3935" t="s">
        <v>326</v>
      </c>
      <c r="B67" s="3942" t="s">
        <v>1373</v>
      </c>
      <c r="C67" s="3944">
        <f ca="1">C63-C66</f>
        <v>248</v>
      </c>
      <c r="D67" s="3938" t="s">
        <v>24</v>
      </c>
      <c r="E67" s="3940"/>
      <c r="F67" s="1380"/>
      <c r="G67" s="1380"/>
      <c r="H67" s="78"/>
      <c r="I67" s="62"/>
      <c r="J67" s="4246"/>
      <c r="K67" s="963" t="s">
        <v>1374</v>
      </c>
      <c r="L67" s="2780">
        <f ca="1">IF(M49&gt;=10000,(8.25+(M49-10000)*0.01%),IF(AND(M49&gt;=8000,M49&lt;10000),(7.85+(M49-8000)*0.02%),IF(AND(M49&gt;=5000,M49&lt;8000),(6.65+(M49-5000)*0.04%),IF(AND(M49&gt;=2000,M49&lt;5000),(4.25+(PM49-2000)*0.08%),IF(AND(M49&gt;=1000,M49&lt;2000),(2.75+(M49-1000)*0.15%),IF(AND(M49&gt;=100,M49&lt;1000),(0.5+(M49-100)*0.25%),IF(AND(M49&gt;0,M49&lt;100),M49*0.5%)))))))</f>
        <v>0.87</v>
      </c>
      <c r="M67" s="2758">
        <f ca="1">ROUND(L67*0.9,1)</f>
        <v>0.8</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246"/>
      <c r="K68" s="963" t="s">
        <v>1376</v>
      </c>
      <c r="L68" s="2780">
        <f ca="1">IF(M49&gt;10000,M49*0.5%,IF(AND(M49&gt;5000,M49&lt;=10000),M49*1%,IF(AND(M49&gt;1000,M49&lt;=5000),M49*2%,IF(AND(M49&gt;200,M49&lt;=1000),M49*3%,M49*5%))))</f>
        <v>7.4399999999999995</v>
      </c>
      <c r="M68" s="2758">
        <f ca="1">ROUND(L68,1)</f>
        <v>7.4</v>
      </c>
      <c r="N68" s="1960"/>
      <c r="Z68" s="1335"/>
      <c r="AI68" s="1278"/>
    </row>
    <row r="69" spans="1:35" ht="16.5" customHeight="1">
      <c r="A69" s="1382"/>
      <c r="B69" s="1383"/>
      <c r="C69" s="1384"/>
      <c r="D69" s="1385"/>
      <c r="E69" s="1386"/>
      <c r="F69" s="1186"/>
      <c r="G69" s="1186"/>
      <c r="H69" s="1187"/>
      <c r="I69" s="493"/>
      <c r="J69" s="4246"/>
      <c r="K69" s="963" t="s">
        <v>1377</v>
      </c>
      <c r="L69" s="2780"/>
      <c r="M69" s="2758">
        <f ca="1">ROUND(SUM(M63:M68),0)</f>
        <v>21</v>
      </c>
      <c r="N69" s="1962">
        <f ca="1">M69/M49</f>
        <v>8.4677419354838704E-2</v>
      </c>
      <c r="Z69" s="1335"/>
      <c r="AI69" s="1278"/>
    </row>
    <row r="70" spans="1:35" s="492" customFormat="1" ht="15" thickBot="1">
      <c r="A70" s="4297" t="s">
        <v>1378</v>
      </c>
      <c r="B70" s="4298"/>
      <c r="C70" s="4298"/>
      <c r="D70" s="4298"/>
      <c r="E70" s="4298"/>
      <c r="F70" s="4298"/>
      <c r="G70" s="4298"/>
      <c r="H70" s="4298"/>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87" t="s">
        <v>1359</v>
      </c>
      <c r="B71" s="4288"/>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248</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25</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94" t="s">
        <v>1386</v>
      </c>
      <c r="F76" s="4295"/>
      <c r="G76" s="4295"/>
      <c r="H76" s="4296"/>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25</v>
      </c>
      <c r="D78" s="1979">
        <f>'数据-取费表'!B44</f>
        <v>0.1</v>
      </c>
      <c r="E78" s="4284" t="s">
        <v>1390</v>
      </c>
      <c r="F78" s="4285"/>
      <c r="G78" s="4285"/>
      <c r="H78" s="4286"/>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223</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8.92</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125</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97" t="s">
        <v>1394</v>
      </c>
      <c r="B83" s="4298"/>
      <c r="C83" s="4298"/>
      <c r="D83" s="4298"/>
      <c r="E83" s="4298"/>
      <c r="F83" s="4298"/>
      <c r="G83" s="4298"/>
      <c r="H83" s="4298"/>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87" t="s">
        <v>1359</v>
      </c>
      <c r="B84" s="4288"/>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248</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25</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248" t="s">
        <v>2052</v>
      </c>
      <c r="H90" s="4249"/>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84" t="s">
        <v>1403</v>
      </c>
      <c r="F91" s="4285"/>
      <c r="G91" s="4285"/>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84" t="s">
        <v>1406</v>
      </c>
      <c r="F92" s="4285"/>
      <c r="G92" s="4285"/>
      <c r="H92" s="4286"/>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25</v>
      </c>
      <c r="D93" s="1979">
        <f>'数据-取费表'!B44</f>
        <v>0.1</v>
      </c>
      <c r="E93" s="4284" t="s">
        <v>1390</v>
      </c>
      <c r="F93" s="4285"/>
      <c r="G93" s="4285"/>
      <c r="H93" s="4286"/>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335" t="s">
        <v>1410</v>
      </c>
      <c r="F94" s="4336"/>
      <c r="G94" s="4336"/>
      <c r="H94" s="4337"/>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223</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8.92</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125</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9" t="s">
        <v>1412</v>
      </c>
      <c r="B100" s="4230"/>
      <c r="C100" s="4230"/>
      <c r="D100" s="4269"/>
      <c r="E100" s="4230" t="s">
        <v>1413</v>
      </c>
      <c r="F100" s="4230"/>
      <c r="G100" s="4230"/>
      <c r="H100" s="4269"/>
      <c r="I100" s="62"/>
    </row>
    <row r="101" spans="1:35" ht="18.75" customHeight="1">
      <c r="A101" s="4277" t="s">
        <v>1414</v>
      </c>
      <c r="B101" s="4278"/>
      <c r="C101" s="1984" t="str">
        <f>C4</f>
        <v>比较法-办公</v>
      </c>
      <c r="D101" s="1985" t="str">
        <f>D4</f>
        <v>收益法 (元)</v>
      </c>
      <c r="E101" s="4242" t="s">
        <v>1415</v>
      </c>
      <c r="F101" s="4243"/>
      <c r="G101" s="1396" t="s">
        <v>1416</v>
      </c>
      <c r="H101" s="2794">
        <f ca="1">H118</f>
        <v>248</v>
      </c>
      <c r="I101" s="62"/>
    </row>
    <row r="102" spans="1:35" ht="18.75" customHeight="1">
      <c r="A102" s="4279" t="s">
        <v>1417</v>
      </c>
      <c r="B102" s="1983" t="s">
        <v>1416</v>
      </c>
      <c r="C102" s="2786">
        <f ca="1">IF(D32="楼面单价",ROUND(C19,0),C19)</f>
        <v>269.26929999999999</v>
      </c>
      <c r="D102" s="2787">
        <f ca="1">IF(D32="楼面单价",ROUND(D19,0),D19)</f>
        <v>197.7962</v>
      </c>
      <c r="E102" s="4242"/>
      <c r="F102" s="4243"/>
      <c r="G102" s="1396" t="s">
        <v>1418</v>
      </c>
      <c r="H102" s="2795">
        <f ca="1">I118</f>
        <v>1521153</v>
      </c>
      <c r="I102" s="62"/>
    </row>
    <row r="103" spans="1:35" ht="42.75" customHeight="1">
      <c r="A103" s="4279"/>
      <c r="B103" s="1983" t="s">
        <v>1418</v>
      </c>
      <c r="C103" s="2788">
        <f ca="1">C20</f>
        <v>21096</v>
      </c>
      <c r="D103" s="2789">
        <f ca="1">D20</f>
        <v>15496</v>
      </c>
      <c r="E103" s="4235" t="s">
        <v>1419</v>
      </c>
      <c r="F103" s="4236"/>
      <c r="G103" s="1397" t="s">
        <v>1420</v>
      </c>
      <c r="H103" s="2794">
        <f>IF(D36="正常操作",H104+H105+H106,H105+H106)</f>
        <v>0</v>
      </c>
      <c r="I103" s="62"/>
    </row>
    <row r="104" spans="1:35" ht="18.75" customHeight="1">
      <c r="A104" s="4279" t="s">
        <v>1421</v>
      </c>
      <c r="B104" s="1986" t="s">
        <v>1416</v>
      </c>
      <c r="C104" s="2790">
        <f ca="1">H118</f>
        <v>248</v>
      </c>
      <c r="D104" s="2791"/>
      <c r="E104" s="1272" t="s">
        <v>1422</v>
      </c>
      <c r="F104" s="1269"/>
      <c r="G104" s="1397" t="s">
        <v>1420</v>
      </c>
      <c r="H104" s="1988">
        <f>IF(D36="同一抵押权人同一抵押物续贷",C36&amp;"（续贷，未扣减，详见特别提示）",C36)</f>
        <v>0</v>
      </c>
      <c r="I104" s="62"/>
    </row>
    <row r="105" spans="1:35" ht="18.75" customHeight="1" thickBot="1">
      <c r="A105" s="4289"/>
      <c r="B105" s="1987" t="s">
        <v>1418</v>
      </c>
      <c r="C105" s="2792">
        <f ca="1">I118</f>
        <v>1521153</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80" t="str">
        <f>IF(项目基本情况!E8="已注销","——","3.房地产抵押价值")</f>
        <v>3.房地产抵押价值</v>
      </c>
      <c r="F107" s="4243"/>
      <c r="G107" s="1396" t="s">
        <v>1416</v>
      </c>
      <c r="H107" s="2794">
        <f ca="1">IF(E107="——","——",H101-H103)</f>
        <v>248</v>
      </c>
      <c r="I107" s="62"/>
    </row>
    <row r="108" spans="1:35" ht="18.75" customHeight="1">
      <c r="A108" s="62"/>
      <c r="B108" s="62"/>
      <c r="C108" s="62"/>
      <c r="D108" s="62"/>
      <c r="E108" s="4280"/>
      <c r="F108" s="4243"/>
      <c r="G108" s="1396" t="s">
        <v>1418</v>
      </c>
      <c r="H108" s="2795">
        <f ca="1">IF(H107=H101,H102,ROUND(H107*10000/'数据-汇总表'!E3,0))</f>
        <v>1521153</v>
      </c>
      <c r="I108" s="62"/>
    </row>
    <row r="109" spans="1:35" ht="18.75" customHeight="1">
      <c r="A109" s="62"/>
      <c r="B109" s="62"/>
      <c r="C109" s="62"/>
      <c r="D109" s="62"/>
      <c r="E109" s="4280" t="str">
        <f>IF(项目基本情况!E8="已注销及未注销","4.抵押担保权已注销时的房地产抵押价值",IF(项目基本情况!E8="已注销","3.抵押担保权已注销时的房地产抵押价值","——"))</f>
        <v>——</v>
      </c>
      <c r="F109" s="4243"/>
      <c r="G109" s="1396" t="s">
        <v>1416</v>
      </c>
      <c r="H109" s="2797" t="str">
        <f>IF(E109="——","——",H101-H105-H106)</f>
        <v>——</v>
      </c>
      <c r="I109" s="62"/>
    </row>
    <row r="110" spans="1:35" ht="18.75" customHeight="1">
      <c r="A110" s="62"/>
      <c r="B110" s="62"/>
      <c r="C110" s="62"/>
      <c r="D110" s="62"/>
      <c r="E110" s="4280"/>
      <c r="F110" s="4243"/>
      <c r="G110" s="1396" t="s">
        <v>1418</v>
      </c>
      <c r="H110" s="2795" t="str">
        <f>IF(H109="——","——",ROUND(H109*10000/'数据-汇总表'!E3,0))</f>
        <v>——</v>
      </c>
      <c r="I110" s="62"/>
    </row>
    <row r="111" spans="1:35" ht="18.75" customHeight="1">
      <c r="A111" s="62"/>
      <c r="B111" s="62"/>
      <c r="C111" s="62"/>
      <c r="D111" s="62"/>
      <c r="E111" s="4281" t="str">
        <f>IF(项目基本情况!E9="抵押净值",IF(OR(项目基本情况!E8="已注销",项目基本情况!E8="房地产抵押价值"),"4.抵押净值","5.抵押净值"),"——")</f>
        <v>——</v>
      </c>
      <c r="F111" s="4267"/>
      <c r="G111" s="1396" t="s">
        <v>1416</v>
      </c>
      <c r="H111" s="2794" t="str">
        <f>IF(E111="——","——",N59)</f>
        <v>——</v>
      </c>
      <c r="I111" s="62"/>
    </row>
    <row r="112" spans="1:35" ht="18.75" customHeight="1" thickBot="1">
      <c r="A112" s="62"/>
      <c r="B112" s="62"/>
      <c r="C112" s="62"/>
      <c r="D112" s="62"/>
      <c r="E112" s="4282"/>
      <c r="F112" s="4283"/>
      <c r="G112" s="1399" t="s">
        <v>1418</v>
      </c>
      <c r="H112" s="2798" t="str">
        <f>IF(E111="——","——",N61)</f>
        <v>——</v>
      </c>
      <c r="I112" s="62"/>
    </row>
    <row r="113" spans="1:27" ht="18.75" customHeight="1">
      <c r="A113" s="62"/>
      <c r="B113" s="62"/>
      <c r="C113" s="62"/>
      <c r="D113" s="62"/>
      <c r="E113" s="4290" t="s">
        <v>1424</v>
      </c>
      <c r="F113" s="4290"/>
      <c r="G113" s="4290"/>
      <c r="H113" s="4290"/>
      <c r="I113" s="62"/>
    </row>
    <row r="114" spans="1:27" ht="3.75" customHeight="1">
      <c r="A114" s="493"/>
      <c r="B114" s="493"/>
      <c r="C114" s="493"/>
      <c r="D114" s="493"/>
      <c r="E114" s="1381"/>
      <c r="F114" s="1381"/>
      <c r="G114" s="1381"/>
      <c r="H114" s="1381"/>
      <c r="I114" s="493"/>
    </row>
    <row r="115" spans="1:27" ht="18.75" customHeight="1">
      <c r="A115" s="4301" t="s">
        <v>1426</v>
      </c>
      <c r="B115" s="4302"/>
      <c r="C115" s="4302"/>
      <c r="D115" s="4302"/>
      <c r="E115" s="4302"/>
      <c r="F115" s="4302"/>
      <c r="G115" s="4302"/>
      <c r="H115" s="4302"/>
      <c r="I115" s="4303"/>
    </row>
    <row r="116" spans="1:27" ht="27" customHeight="1">
      <c r="A116" s="4250" t="s">
        <v>1427</v>
      </c>
      <c r="B116" s="4254" t="s">
        <v>1428</v>
      </c>
      <c r="C116" s="4254" t="s">
        <v>1429</v>
      </c>
      <c r="D116" s="4265" t="s">
        <v>1430</v>
      </c>
      <c r="E116" s="4266"/>
      <c r="F116" s="4300" t="s">
        <v>1431</v>
      </c>
      <c r="G116" s="4300"/>
      <c r="H116" s="4250" t="s">
        <v>1432</v>
      </c>
      <c r="I116" s="4250"/>
      <c r="K116" s="3438"/>
      <c r="L116" s="3439" t="s">
        <v>3538</v>
      </c>
      <c r="M116" s="3439" t="s">
        <v>3539</v>
      </c>
      <c r="N116" s="3439" t="s">
        <v>3540</v>
      </c>
    </row>
    <row r="117" spans="1:27" ht="18.75" customHeight="1">
      <c r="A117" s="4250"/>
      <c r="B117" s="4255"/>
      <c r="C117" s="4255"/>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19416</v>
      </c>
    </row>
    <row r="118" spans="1:27" ht="24.75" customHeight="1">
      <c r="A118" s="1989" t="str">
        <f>项目基本情况!S2</f>
        <v>北京市房地产</v>
      </c>
      <c r="B118" s="2799">
        <f>M18</f>
        <v>127.64</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248</v>
      </c>
      <c r="I118" s="2800">
        <f ca="1">ROUND(IF(D32="楼面单价",C32,N117*10000/B118),0)</f>
        <v>1521153</v>
      </c>
      <c r="K118" s="3438"/>
      <c r="L118" s="3438"/>
      <c r="M118" s="3438"/>
      <c r="N118" s="3438"/>
    </row>
    <row r="119" spans="1:27" ht="18.75" customHeight="1">
      <c r="A119" s="4250" t="s">
        <v>1436</v>
      </c>
      <c r="B119" s="4250"/>
      <c r="C119" s="4250"/>
      <c r="D119" s="4256" t="e">
        <f ca="1">NUMBERSTRING(INT(D118*10000),2)&amp;"元整"</f>
        <v>#REF!</v>
      </c>
      <c r="E119" s="4257"/>
      <c r="F119" s="4256" t="e">
        <f ca="1">NUMBERSTRING(INT(F118*10000),2)&amp;"元整"</f>
        <v>#REF!</v>
      </c>
      <c r="G119" s="4257"/>
      <c r="H119" s="4256" t="str">
        <f ca="1">NUMBERSTRING(INT(H118*10000),2)&amp;"元整"</f>
        <v>贰佰肆拾捌万元整</v>
      </c>
      <c r="I119" s="4257"/>
      <c r="K119" s="3439" t="s">
        <v>3537</v>
      </c>
      <c r="L119" s="3438" t="e">
        <f ca="1">C34</f>
        <v>#REF!</v>
      </c>
      <c r="M119" s="3438" t="e">
        <f ca="1">C35</f>
        <v>#REF!</v>
      </c>
      <c r="N119" s="3440">
        <f ca="1">C32</f>
        <v>19416</v>
      </c>
    </row>
    <row r="120" spans="1:27" ht="18.75" customHeight="1">
      <c r="A120" s="4258" t="str">
        <f>IF(项目基本情况!B9="房地产市场价值","",MID(E103,3,LEN(E103)-2))</f>
        <v>估价师知悉的法定优先受偿款</v>
      </c>
      <c r="B120" s="4259"/>
      <c r="C120" s="4260"/>
      <c r="D120" s="4258">
        <f>H103</f>
        <v>0</v>
      </c>
      <c r="E120" s="4259"/>
      <c r="F120" s="4259"/>
      <c r="G120" s="4259"/>
      <c r="H120" s="4259"/>
      <c r="I120" s="4260"/>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61" t="s">
        <v>1436</v>
      </c>
      <c r="B121" s="4262"/>
      <c r="C121" s="4263"/>
      <c r="D121" s="4261" t="str">
        <f>IF(D120=0,"零元整",NUMBERSTRING(INT(D120*10000),2)&amp;"元整")</f>
        <v>零元整</v>
      </c>
      <c r="E121" s="4262"/>
      <c r="F121" s="4262"/>
      <c r="G121" s="4262"/>
      <c r="H121" s="4262"/>
      <c r="I121" s="4263"/>
      <c r="AA121" s="527"/>
    </row>
    <row r="122" spans="1:27" ht="18.75" customHeight="1">
      <c r="A122" s="4267" t="str">
        <f>IF(项目基本情况!B9="房地产市场价值","",MID(E107,3,LEN(E107)-2))</f>
        <v>房地产抵押价值</v>
      </c>
      <c r="B122" s="4267"/>
      <c r="C122" s="4267"/>
      <c r="D122" s="4251">
        <f ca="1">H107</f>
        <v>248</v>
      </c>
      <c r="E122" s="4252"/>
      <c r="F122" s="4252"/>
      <c r="G122" s="4252"/>
      <c r="H122" s="4252"/>
      <c r="I122" s="4253"/>
      <c r="AA122" s="527"/>
    </row>
    <row r="123" spans="1:27" ht="18.75" customHeight="1">
      <c r="A123" s="4250" t="s">
        <v>1436</v>
      </c>
      <c r="B123" s="4250"/>
      <c r="C123" s="4250"/>
      <c r="D123" s="4261" t="str">
        <f ca="1">NUMBERSTRING(INT(D122*10000),2)&amp;"元整"</f>
        <v>贰佰肆拾捌万元整</v>
      </c>
      <c r="E123" s="4262"/>
      <c r="F123" s="4262"/>
      <c r="G123" s="4262"/>
      <c r="H123" s="4262"/>
      <c r="I123" s="4263"/>
      <c r="AA123" s="527"/>
    </row>
    <row r="124" spans="1:27" ht="18.75" customHeight="1">
      <c r="A124" s="4267" t="str">
        <f>IF(项目基本情况!B9="房地产市场价值","",MID(E109,3,LEN(E109)-2))</f>
        <v/>
      </c>
      <c r="B124" s="4267"/>
      <c r="C124" s="4267"/>
      <c r="D124" s="4251" t="str">
        <f>H109</f>
        <v>——</v>
      </c>
      <c r="E124" s="4252"/>
      <c r="F124" s="4252"/>
      <c r="G124" s="4252"/>
      <c r="H124" s="4252"/>
      <c r="I124" s="4253"/>
      <c r="AA124" s="527"/>
    </row>
    <row r="125" spans="1:27" ht="18.75" customHeight="1">
      <c r="A125" s="4250" t="s">
        <v>1436</v>
      </c>
      <c r="B125" s="4250"/>
      <c r="C125" s="4250"/>
      <c r="D125" s="4261" t="e">
        <f>NUMBERSTRING(INT(D124*10000),2)&amp;"元整"</f>
        <v>#VALUE!</v>
      </c>
      <c r="E125" s="4262"/>
      <c r="F125" s="4262"/>
      <c r="G125" s="4262"/>
      <c r="H125" s="4262"/>
      <c r="I125" s="4263"/>
      <c r="AA125" s="527"/>
    </row>
    <row r="126" spans="1:27" ht="18.75" customHeight="1">
      <c r="A126" s="4267" t="str">
        <f>IF(项目基本情况!B9="房地产市场价值","",MID(E111,3,LEN(E111)-2))</f>
        <v/>
      </c>
      <c r="B126" s="4267"/>
      <c r="C126" s="4267"/>
      <c r="D126" s="4251" t="str">
        <f>H111</f>
        <v>——</v>
      </c>
      <c r="E126" s="4252"/>
      <c r="F126" s="4252"/>
      <c r="G126" s="4252"/>
      <c r="H126" s="4252"/>
      <c r="I126" s="4253"/>
      <c r="AA126" s="527"/>
    </row>
    <row r="127" spans="1:27" ht="18.75" customHeight="1">
      <c r="A127" s="4250" t="s">
        <v>1436</v>
      </c>
      <c r="B127" s="4250"/>
      <c r="C127" s="4250"/>
      <c r="D127" s="4261" t="e">
        <f>NUMBERSTRING(INT(D126*10000),2)&amp;"元整"</f>
        <v>#VALUE!</v>
      </c>
      <c r="E127" s="4262"/>
      <c r="F127" s="4262"/>
      <c r="G127" s="4262"/>
      <c r="H127" s="4262"/>
      <c r="I127" s="4263"/>
      <c r="AA127" s="527"/>
    </row>
    <row r="128" spans="1:27" ht="21.75" customHeight="1">
      <c r="A128" s="4264" t="s">
        <v>1437</v>
      </c>
      <c r="B128" s="4264"/>
      <c r="C128" s="4264"/>
      <c r="D128" s="4264"/>
      <c r="E128" s="4264"/>
      <c r="F128" s="4264"/>
      <c r="G128" s="4264"/>
      <c r="H128" s="4264"/>
      <c r="I128" s="4264"/>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42" t="str">
        <f>项目基本情况!B1</f>
        <v>北京市房地产抵押价值预评估</v>
      </c>
      <c r="C37" s="4142"/>
      <c r="D37" s="4142"/>
      <c r="E37" s="4142"/>
      <c r="F37" s="4142"/>
      <c r="G37" s="4142"/>
      <c r="H37" s="4142"/>
      <c r="I37" s="4142"/>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67</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5249</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81</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66.552800000000005</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53</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8.5527999999999995</v>
      </c>
      <c r="D13" s="163"/>
      <c r="E13" s="2713"/>
      <c r="F13" s="2714"/>
      <c r="G13" s="175"/>
    </row>
    <row r="14" spans="1:9" s="137" customFormat="1">
      <c r="A14" s="2664" t="s">
        <v>3316</v>
      </c>
      <c r="B14" s="2739" t="s">
        <v>3349</v>
      </c>
      <c r="C14" s="2681">
        <f ca="1">IF(G14="已包含在土地购买价格中","0",IF(B1="",'数据-取费表'!B29,IF(G15="全部缴纳",C15+C16,H15)))</f>
        <v>2.5528</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127.64</v>
      </c>
      <c r="E16" s="2722">
        <f>'数据-取费表'!B28</f>
        <v>200</v>
      </c>
      <c r="F16" s="2714"/>
      <c r="G16" s="140"/>
    </row>
    <row r="17" spans="1:7" s="128" customFormat="1">
      <c r="A17" s="2664" t="s">
        <v>3317</v>
      </c>
      <c r="B17" s="2742" t="s">
        <v>3322</v>
      </c>
      <c r="C17" s="2681">
        <f ca="1">IF(G17="已包含在土地取得成本中","0",ROUND(D17*E17/10000,0))</f>
        <v>3</v>
      </c>
      <c r="D17" s="2723">
        <f ca="1">D15+D16</f>
        <v>127.64</v>
      </c>
      <c r="E17" s="2723">
        <f>'数据-取费表'!B31</f>
        <v>200</v>
      </c>
      <c r="F17" s="2689"/>
      <c r="G17" s="1423"/>
    </row>
    <row r="18" spans="1:7" s="128" customFormat="1">
      <c r="A18" s="2743" t="s">
        <v>3318</v>
      </c>
      <c r="B18" s="2742" t="s">
        <v>1489</v>
      </c>
      <c r="C18" s="2681">
        <f ca="1">ROUND(E18*D18*F10/10000,0)</f>
        <v>3</v>
      </c>
      <c r="D18" s="2681">
        <f ca="1">D17</f>
        <v>127.64</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1</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2+0.0006V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2</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10+0.003V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10</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14</v>
      </c>
      <c r="D31" s="2675"/>
      <c r="E31" s="2675"/>
      <c r="F31" s="2690">
        <f>IF('数据-取费表'!B24=0,'数据-取费表'!N16,1)</f>
        <v>0.82</v>
      </c>
      <c r="G31" s="2676" t="s">
        <v>3363</v>
      </c>
    </row>
    <row r="32" spans="1:7" s="128" customFormat="1" ht="15.75">
      <c r="A32" s="2663" t="s">
        <v>3328</v>
      </c>
      <c r="B32" s="2662" t="s">
        <v>3329</v>
      </c>
      <c r="C32" s="2685">
        <f ca="1">C5-C31</f>
        <v>67</v>
      </c>
      <c r="D32" s="2675"/>
      <c r="E32" s="2675"/>
      <c r="F32" s="2674"/>
      <c r="G32" s="2677" t="s">
        <v>3362</v>
      </c>
    </row>
    <row r="33" spans="1:7" s="128" customFormat="1" ht="16.5" thickBot="1">
      <c r="A33" s="2747">
        <v>4</v>
      </c>
      <c r="B33" s="2748" t="s">
        <v>3364</v>
      </c>
      <c r="C33" s="2686">
        <f ca="1">ROUND(C32*(1+F33),0)</f>
        <v>69</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61</v>
      </c>
      <c r="D40" s="3063"/>
      <c r="E40" s="3063"/>
      <c r="F40" s="3063"/>
      <c r="G40" s="3063"/>
    </row>
    <row r="41" spans="1:7" ht="15.75">
      <c r="A41" s="2729" t="s">
        <v>3332</v>
      </c>
      <c r="B41" s="2880" t="str">
        <f t="shared" ref="B41:C43" si="0">B10</f>
        <v xml:space="preserve">  建安费用</v>
      </c>
      <c r="C41" s="2660">
        <f t="shared" ca="1" si="0"/>
        <v>53</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1</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40" t="s">
        <v>3348</v>
      </c>
    </row>
    <row r="51" spans="1:7">
      <c r="A51" s="2729" t="s">
        <v>3333</v>
      </c>
      <c r="B51" s="2733" t="s">
        <v>3338</v>
      </c>
      <c r="C51" s="2906">
        <f ca="1">ROUND(IF('数据-取费表'!B22&lt;=1,F48*F23*'数据-取费表'!B22/2,F48*(POWER((1+F23),'数据-取费表'!B22/2)-1)),4)</f>
        <v>5.9999999999999995E-4</v>
      </c>
      <c r="D51" s="1087"/>
      <c r="E51" s="1087"/>
      <c r="F51" s="1070"/>
      <c r="G51" s="4341"/>
    </row>
    <row r="52" spans="1:7" ht="15">
      <c r="A52" s="2881" t="s">
        <v>3515</v>
      </c>
      <c r="B52" s="2890" t="s">
        <v>3339</v>
      </c>
      <c r="C52" s="2891" t="str">
        <f ca="1">C53&amp;"+"&amp;C54&amp;"V建1"</f>
        <v>9+0.003V建1</v>
      </c>
      <c r="D52" s="2892"/>
      <c r="E52" s="2884"/>
      <c r="F52" s="2893">
        <f ca="1">F27</f>
        <v>0.15</v>
      </c>
      <c r="G52" s="2894" t="s">
        <v>3516</v>
      </c>
    </row>
    <row r="53" spans="1:7">
      <c r="A53" s="2729" t="s">
        <v>3336</v>
      </c>
      <c r="B53" s="2732" t="s">
        <v>3340</v>
      </c>
      <c r="C53" s="2660">
        <f ca="1">ROUND((C40+C47)*F27,0)</f>
        <v>9</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75</v>
      </c>
      <c r="D56" s="315"/>
      <c r="E56" s="315"/>
      <c r="F56" s="2898"/>
      <c r="G56" s="2897" t="s">
        <v>3345</v>
      </c>
    </row>
    <row r="57" spans="1:7" ht="15">
      <c r="A57" s="2671" t="s">
        <v>3479</v>
      </c>
      <c r="B57" s="2899" t="s">
        <v>3342</v>
      </c>
      <c r="C57" s="2694">
        <f ca="1">ROUND(C56*(1-F57),0)</f>
        <v>14</v>
      </c>
      <c r="D57" s="315"/>
      <c r="E57" s="315"/>
      <c r="F57" s="2898">
        <f>F31</f>
        <v>0.82</v>
      </c>
      <c r="G57" s="2897" t="s">
        <v>3346</v>
      </c>
    </row>
    <row r="58" spans="1:7" ht="16.5">
      <c r="A58" s="2671" t="s">
        <v>3520</v>
      </c>
      <c r="B58" s="2895" t="s">
        <v>3521</v>
      </c>
      <c r="C58" s="2694">
        <f ca="1">C56-C57</f>
        <v>61</v>
      </c>
      <c r="D58" s="315"/>
      <c r="E58" s="315"/>
      <c r="F58" s="2898"/>
      <c r="G58" s="2897" t="s">
        <v>3347</v>
      </c>
    </row>
    <row r="59" spans="1:7" ht="15">
      <c r="A59" s="2900" t="s">
        <v>3407</v>
      </c>
      <c r="B59" s="2901" t="s">
        <v>3343</v>
      </c>
      <c r="C59" s="2902">
        <f ca="1">ROUND(C58*(1+F59),0)</f>
        <v>63</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8.9999999999999969E-2</v>
      </c>
    </row>
    <row r="64" spans="1:7" ht="21" customHeight="1">
      <c r="B64" s="72" t="s">
        <v>790</v>
      </c>
      <c r="C64" s="2727">
        <f ca="1">ROUND(C58/C32,3)</f>
        <v>0.91</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2681.3413999999998</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210071</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20656138</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25528</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25528</v>
      </c>
      <c r="D10" s="590">
        <f ca="1">IF(B1="",'数据-汇总表'!E6,IF(INDIRECT("'数据-取费表'!c"&amp;$G$1)="住宅",INDIRECT("'数据-取费表'!s"&amp;$G$1),INDIRECT("'数据-取费表'!k"&amp;$G$1)+INDIRECT("'数据-取费表'!s"&amp;$G$1)))</f>
        <v>127.64</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25528</v>
      </c>
      <c r="D19" s="126">
        <f ca="1">D9+D10</f>
        <v>127.64</v>
      </c>
      <c r="E19" s="125">
        <f>'数据-取费表'!B31</f>
        <v>200</v>
      </c>
      <c r="F19" s="145"/>
      <c r="G19" s="1423"/>
    </row>
    <row r="20" spans="1:7" s="128" customFormat="1" ht="13.5" customHeight="1">
      <c r="A20" s="169" t="s">
        <v>1528</v>
      </c>
      <c r="B20" s="124" t="s">
        <v>1529</v>
      </c>
      <c r="C20" s="146">
        <f ca="1">ROUND((C5+C19)*F20,0)</f>
        <v>413633</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1327881</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1313311</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1623</v>
      </c>
      <c r="D24" s="152"/>
      <c r="E24" s="152"/>
      <c r="F24" s="153"/>
      <c r="G24" s="154" t="s">
        <v>1540</v>
      </c>
    </row>
    <row r="25" spans="1:7" s="128" customFormat="1" ht="24">
      <c r="A25" s="565" t="s">
        <v>1460</v>
      </c>
      <c r="B25" s="129" t="s">
        <v>1541</v>
      </c>
      <c r="C25" s="152">
        <f ca="1">ROUND(IF('数据-取费表'!B22&lt;=1,C20*F22*'数据-取费表'!B22/2,C20*(POWER((1+F22),'数据-取费表'!B22/2)-1)),0)</f>
        <v>12947</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3164295</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3164295</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26222049</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584040</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526898</v>
      </c>
      <c r="D34" s="131"/>
      <c r="E34" s="134"/>
      <c r="F34" s="171"/>
      <c r="G34" s="133"/>
    </row>
    <row r="35" spans="1:7" ht="13.5" customHeight="1">
      <c r="A35" s="565" t="s">
        <v>349</v>
      </c>
      <c r="B35" s="129" t="s">
        <v>1485</v>
      </c>
      <c r="C35" s="134">
        <f ca="1">ROUND(C34*F35,0)</f>
        <v>26345</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25528</v>
      </c>
      <c r="D37" s="131">
        <f ca="1">D19</f>
        <v>127.64</v>
      </c>
      <c r="E37" s="163">
        <f>'数据-取费表'!B35</f>
        <v>200</v>
      </c>
      <c r="F37" s="173"/>
      <c r="G37" s="175"/>
    </row>
    <row r="38" spans="1:7" ht="13.5" customHeight="1">
      <c r="A38" s="565" t="s">
        <v>352</v>
      </c>
      <c r="B38" s="129" t="s">
        <v>1491</v>
      </c>
      <c r="C38" s="134">
        <f ca="1">ROUND(C34*F38,0)</f>
        <v>5269</v>
      </c>
      <c r="D38" s="134"/>
      <c r="E38" s="134"/>
      <c r="F38" s="173">
        <f>'数据-取费表'!B36</f>
        <v>0.01</v>
      </c>
      <c r="G38" s="133" t="s">
        <v>1486</v>
      </c>
    </row>
    <row r="39" spans="1:7" s="128" customFormat="1" ht="13.5" customHeight="1">
      <c r="A39" s="169" t="s">
        <v>1492</v>
      </c>
      <c r="B39" s="124" t="s">
        <v>1493</v>
      </c>
      <c r="C39" s="146">
        <f ca="1">ROUND(C33*F20,0)</f>
        <v>11681</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18646</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18280</v>
      </c>
      <c r="D42" s="152"/>
      <c r="E42" s="152"/>
      <c r="F42" s="153"/>
      <c r="G42" s="4340" t="s">
        <v>1545</v>
      </c>
    </row>
    <row r="43" spans="1:7" ht="13.5" customHeight="1">
      <c r="A43" s="565" t="s">
        <v>345</v>
      </c>
      <c r="B43" s="129" t="s">
        <v>1502</v>
      </c>
      <c r="C43" s="152">
        <f ca="1">ROUND(IF('数据-取费表'!B22&lt;=1,C39*F22*'数据-取费表'!B20/2,C39*(POWER((1+F22),'数据-取费表'!B20/2)-1)),0)</f>
        <v>366</v>
      </c>
      <c r="D43" s="152"/>
      <c r="E43" s="152"/>
      <c r="F43" s="153"/>
      <c r="G43" s="4342"/>
    </row>
    <row r="44" spans="1:7" ht="13.5" customHeight="1">
      <c r="A44" s="565" t="s">
        <v>346</v>
      </c>
      <c r="B44" s="129" t="s">
        <v>1503</v>
      </c>
      <c r="C44" s="152">
        <f ca="1">ROUND(IF('数据-取费表'!B22&lt;=1,C40*F22*'数据-取费表'!B20/2,C40*(POWER((1+F22),'数据-取费表'!B20/2)-1)),4)</f>
        <v>5.9999999999999995E-4</v>
      </c>
      <c r="D44" s="152"/>
      <c r="E44" s="152"/>
      <c r="F44" s="153"/>
      <c r="G44" s="4341"/>
    </row>
    <row r="45" spans="1:7" s="128" customFormat="1" ht="13.5" customHeight="1">
      <c r="A45" s="169" t="s">
        <v>1504</v>
      </c>
      <c r="B45" s="158" t="s">
        <v>1473</v>
      </c>
      <c r="C45" s="159">
        <f ca="1">C46</f>
        <v>89358</v>
      </c>
      <c r="D45" s="149">
        <f ca="1">C47</f>
        <v>3.0000000000000001E-3</v>
      </c>
      <c r="E45" s="150" t="s">
        <v>1497</v>
      </c>
      <c r="F45" s="160">
        <f ca="1">F27</f>
        <v>0.15</v>
      </c>
      <c r="G45" s="161" t="s">
        <v>1505</v>
      </c>
    </row>
    <row r="46" spans="1:7" s="128" customFormat="1" ht="13.5" customHeight="1">
      <c r="A46" s="565" t="s">
        <v>344</v>
      </c>
      <c r="B46" s="162" t="s">
        <v>1506</v>
      </c>
      <c r="C46" s="163">
        <f ca="1">ROUND((C33+C39)*F27,0)</f>
        <v>89358</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721177</v>
      </c>
      <c r="D49" s="146"/>
      <c r="E49" s="146"/>
      <c r="F49" s="178"/>
      <c r="G49" s="148" t="s">
        <v>1510</v>
      </c>
    </row>
    <row r="50" spans="1:7" s="172" customFormat="1">
      <c r="A50" s="169" t="s">
        <v>1511</v>
      </c>
      <c r="B50" s="124" t="s">
        <v>1512</v>
      </c>
      <c r="C50" s="146"/>
      <c r="D50" s="146"/>
      <c r="E50" s="146"/>
      <c r="F50" s="178">
        <f>IF('数据-取费表'!B24=0,'数据-取费表'!N16,1)</f>
        <v>0.82</v>
      </c>
      <c r="G50" s="161"/>
    </row>
    <row r="51" spans="1:7" ht="16.5" customHeight="1">
      <c r="A51" s="169" t="s">
        <v>1513</v>
      </c>
      <c r="B51" s="124" t="s">
        <v>1547</v>
      </c>
      <c r="C51" s="146">
        <f ca="1">ROUND(C49*F50,0)</f>
        <v>591365</v>
      </c>
      <c r="D51" s="146"/>
      <c r="E51" s="146"/>
      <c r="F51" s="178"/>
      <c r="G51" s="148" t="s">
        <v>1514</v>
      </c>
    </row>
    <row r="52" spans="1:7" s="122" customFormat="1" ht="16.5" thickBot="1">
      <c r="A52" s="179" t="s">
        <v>1515</v>
      </c>
      <c r="B52" s="180"/>
      <c r="C52" s="181">
        <f ca="1">C31+C51</f>
        <v>26813414</v>
      </c>
      <c r="D52" s="180"/>
      <c r="E52" s="180"/>
      <c r="F52" s="180"/>
      <c r="G52" s="182"/>
    </row>
    <row r="55" spans="1:7" ht="15">
      <c r="B55" s="184" t="s">
        <v>1516</v>
      </c>
      <c r="C55" s="185"/>
    </row>
    <row r="56" spans="1:7">
      <c r="B56" s="187" t="s">
        <v>789</v>
      </c>
      <c r="C56" s="189">
        <f ca="1">1-C57</f>
        <v>0.97799999999999998</v>
      </c>
    </row>
    <row r="57" spans="1:7">
      <c r="B57" s="187" t="s">
        <v>790</v>
      </c>
      <c r="C57" s="188">
        <f ca="1">ROUND(C51/C52,3)</f>
        <v>2.1999999999999999E-2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60" t="s">
        <v>391</v>
      </c>
      <c r="B7" s="4345" t="s">
        <v>3441</v>
      </c>
      <c r="C7" s="4347">
        <f ca="1">ROUND(F6*F7*F8/10000,0)</f>
        <v>0</v>
      </c>
      <c r="D7" s="4362" t="s">
        <v>3528</v>
      </c>
      <c r="E7" s="777" t="s">
        <v>684</v>
      </c>
      <c r="F7" s="3964">
        <f ca="1">IF(INDIRECT("'数据-取费表'!ah"&amp;$G$1)="",INDIRECT("'数据-取费表'!k"&amp;$G$1),INDIRECT("'数据-取费表'!ah"&amp;$G$1))</f>
        <v>0</v>
      </c>
      <c r="G7" s="1011"/>
      <c r="H7" s="4360" t="s">
        <v>391</v>
      </c>
      <c r="I7" s="4345" t="s">
        <v>3441</v>
      </c>
      <c r="J7" s="4356">
        <f ca="1">ROUND(M6*M8*M7/10000,0)</f>
        <v>0</v>
      </c>
      <c r="K7" s="4348" t="s">
        <v>3443</v>
      </c>
      <c r="L7" s="205" t="s">
        <v>684</v>
      </c>
      <c r="M7" s="3966">
        <f ca="1">F7</f>
        <v>0</v>
      </c>
    </row>
    <row r="8" spans="1:37" ht="18" customHeight="1">
      <c r="A8" s="4361"/>
      <c r="B8" s="4346"/>
      <c r="C8" s="4347"/>
      <c r="D8" s="4362"/>
      <c r="E8" s="205" t="s">
        <v>685</v>
      </c>
      <c r="F8" s="3964">
        <f ca="1">INDIRECT("'数据-取费表'!ai"&amp;$G$1)</f>
        <v>0</v>
      </c>
      <c r="G8" s="1011"/>
      <c r="H8" s="4361"/>
      <c r="I8" s="4346"/>
      <c r="J8" s="4356"/>
      <c r="K8" s="4348"/>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8" t="s">
        <v>761</v>
      </c>
      <c r="C25" s="4359" t="e">
        <f ca="1">ROUND(C24*(1-((1+F27)/(1+F25))^F26)/(F25-F27),0)</f>
        <v>#DIV/0!</v>
      </c>
      <c r="D25" s="226" t="s">
        <v>745</v>
      </c>
      <c r="E25" s="205" t="s">
        <v>746</v>
      </c>
      <c r="F25" s="3050">
        <f ca="1">INDIRECT("'数据-取费表'!I"&amp;$G$1)</f>
        <v>0</v>
      </c>
      <c r="G25" s="1011"/>
      <c r="H25" s="4349" t="s">
        <v>389</v>
      </c>
      <c r="I25" s="4352" t="s">
        <v>744</v>
      </c>
      <c r="J25" s="4355">
        <f ca="1">IF(J5&lt;&gt;0,ROUND(J24*(1-((1+M27)/(1+M25))^M26)/(M25-M27),0),0)</f>
        <v>0</v>
      </c>
      <c r="K25" s="226" t="s">
        <v>745</v>
      </c>
      <c r="L25" s="216" t="s">
        <v>746</v>
      </c>
      <c r="M25" s="217">
        <f ca="1">INDIRECT("'数据-取费表'!I"&amp;$G$1)</f>
        <v>0</v>
      </c>
    </row>
    <row r="26" spans="1:37">
      <c r="A26" s="3068"/>
      <c r="B26" s="4358"/>
      <c r="C26" s="4359"/>
      <c r="D26" s="233" t="s">
        <v>762</v>
      </c>
      <c r="E26" s="205" t="s">
        <v>750</v>
      </c>
      <c r="F26" s="3052">
        <f ca="1">IF(INDIRECT("'数据-取费表'!af"&amp;$G$1)=0,INDIRECT("'数据-取费表'!ae"&amp;$G$1),INDIRECT("'数据-取费表'!af"&amp;$G$1))</f>
        <v>0</v>
      </c>
      <c r="G26" s="1011"/>
      <c r="H26" s="4350"/>
      <c r="I26" s="4353"/>
      <c r="J26" s="4356"/>
      <c r="K26" s="974" t="s">
        <v>749</v>
      </c>
      <c r="L26" s="205" t="s">
        <v>750</v>
      </c>
      <c r="M26" s="234">
        <f ca="1">INDIRECT("'数据-取费表'!ag"&amp;$G$1)</f>
        <v>0</v>
      </c>
    </row>
    <row r="27" spans="1:37" ht="18" customHeight="1">
      <c r="A27" s="1057"/>
      <c r="B27" s="4358"/>
      <c r="C27" s="4359"/>
      <c r="D27" s="229"/>
      <c r="E27" s="205" t="s">
        <v>753</v>
      </c>
      <c r="F27" s="3050">
        <f ca="1">INDIRECT("'数据-取费表'!v"&amp;$G$1)</f>
        <v>0</v>
      </c>
      <c r="G27" s="1011"/>
      <c r="H27" s="4351"/>
      <c r="I27" s="4354"/>
      <c r="J27" s="4357"/>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43" t="s">
        <v>824</v>
      </c>
      <c r="L58" s="4344"/>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127.64</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82" t="s">
        <v>1594</v>
      </c>
      <c r="D4" s="4383"/>
      <c r="E4" s="4384" t="s">
        <v>1595</v>
      </c>
      <c r="F4" s="4385"/>
      <c r="G4" s="4382" t="s">
        <v>1596</v>
      </c>
      <c r="H4" s="4383"/>
      <c r="I4" s="4382" t="s">
        <v>1597</v>
      </c>
      <c r="J4" s="4383"/>
      <c r="K4" s="3103" t="s">
        <v>1598</v>
      </c>
      <c r="L4" s="2083"/>
      <c r="M4" s="2084"/>
      <c r="N4" s="2084"/>
      <c r="O4" s="2084"/>
      <c r="P4" s="4386" t="s">
        <v>1599</v>
      </c>
      <c r="Q4" s="4387"/>
      <c r="R4" s="4368" t="s">
        <v>1595</v>
      </c>
      <c r="S4" s="4369"/>
      <c r="T4" s="4368" t="s">
        <v>1596</v>
      </c>
      <c r="U4" s="4369"/>
      <c r="V4" s="4394" t="s">
        <v>1597</v>
      </c>
      <c r="W4" s="4394"/>
      <c r="X4" s="984"/>
      <c r="Y4" s="4397" t="s">
        <v>1599</v>
      </c>
      <c r="Z4" s="4398"/>
      <c r="AA4" s="4363" t="s">
        <v>1595</v>
      </c>
      <c r="AB4" s="4363" t="s">
        <v>1596</v>
      </c>
      <c r="AC4" s="4363" t="s">
        <v>1597</v>
      </c>
    </row>
    <row r="5" spans="1:29" ht="15">
      <c r="A5" s="257"/>
      <c r="B5" s="258"/>
      <c r="C5" s="4374" t="s">
        <v>1600</v>
      </c>
      <c r="D5" s="4375"/>
      <c r="E5" s="4372" t="s">
        <v>1601</v>
      </c>
      <c r="F5" s="4373"/>
      <c r="G5" s="4374" t="s">
        <v>1602</v>
      </c>
      <c r="H5" s="4375"/>
      <c r="I5" s="4374" t="s">
        <v>1603</v>
      </c>
      <c r="J5" s="4375"/>
      <c r="K5" s="3104"/>
      <c r="L5" s="2083"/>
      <c r="M5" s="2084"/>
      <c r="N5" s="2084"/>
      <c r="O5" s="2084"/>
      <c r="P5" s="4388"/>
      <c r="Q5" s="4389"/>
      <c r="R5" s="4370"/>
      <c r="S5" s="4371"/>
      <c r="T5" s="4370"/>
      <c r="U5" s="4371"/>
      <c r="V5" s="4394"/>
      <c r="W5" s="4394"/>
      <c r="X5" s="984"/>
      <c r="Y5" s="4399"/>
      <c r="Z5" s="4400"/>
      <c r="AA5" s="4364"/>
      <c r="AB5" s="4364"/>
      <c r="AC5" s="4364"/>
    </row>
    <row r="6" spans="1:29" ht="15.75" thickBot="1">
      <c r="A6" s="259"/>
      <c r="B6" s="260"/>
      <c r="C6" s="4376" t="s">
        <v>1604</v>
      </c>
      <c r="D6" s="4377"/>
      <c r="E6" s="4378" t="s">
        <v>1604</v>
      </c>
      <c r="F6" s="4379"/>
      <c r="G6" s="4376" t="s">
        <v>1604</v>
      </c>
      <c r="H6" s="4377"/>
      <c r="I6" s="4376" t="s">
        <v>1604</v>
      </c>
      <c r="J6" s="4377"/>
      <c r="K6" s="3104" t="s">
        <v>1605</v>
      </c>
      <c r="L6" s="2083"/>
      <c r="M6" s="2084"/>
      <c r="N6" s="2084"/>
      <c r="O6" s="2084"/>
      <c r="P6" s="4390"/>
      <c r="Q6" s="4391"/>
      <c r="R6" s="4370"/>
      <c r="S6" s="4371"/>
      <c r="T6" s="4392"/>
      <c r="U6" s="4393"/>
      <c r="V6" s="4394"/>
      <c r="W6" s="4394"/>
      <c r="X6" s="984"/>
      <c r="Y6" s="4401"/>
      <c r="Z6" s="4402"/>
      <c r="AA6" s="4365"/>
      <c r="AB6" s="4365"/>
      <c r="AC6" s="4365"/>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5" t="s">
        <v>1607</v>
      </c>
      <c r="Q7" s="4403"/>
      <c r="R7" s="3573" t="s">
        <v>18</v>
      </c>
      <c r="S7" s="3574">
        <f t="shared" ref="S7:S15" si="0">F7</f>
        <v>0</v>
      </c>
      <c r="T7" s="3573" t="s">
        <v>18</v>
      </c>
      <c r="U7" s="3574">
        <f t="shared" ref="U7:U15" si="1">H7</f>
        <v>0</v>
      </c>
      <c r="V7" s="3573" t="s">
        <v>18</v>
      </c>
      <c r="W7" s="3574">
        <f t="shared" ref="W7:W15" si="2">J7</f>
        <v>0</v>
      </c>
      <c r="X7" s="513"/>
      <c r="Y7" s="4366" t="s">
        <v>1607</v>
      </c>
      <c r="Z7" s="4367"/>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5" t="s">
        <v>1610</v>
      </c>
      <c r="Q8" s="4396"/>
      <c r="R8" s="3573" t="s">
        <v>18</v>
      </c>
      <c r="S8" s="3574">
        <f t="shared" si="0"/>
        <v>100</v>
      </c>
      <c r="T8" s="3573" t="s">
        <v>18</v>
      </c>
      <c r="U8" s="3574">
        <f t="shared" si="1"/>
        <v>100</v>
      </c>
      <c r="V8" s="3573" t="s">
        <v>18</v>
      </c>
      <c r="W8" s="3574">
        <f t="shared" si="2"/>
        <v>100</v>
      </c>
      <c r="X8" s="513"/>
      <c r="Y8" s="4366" t="s">
        <v>1610</v>
      </c>
      <c r="Z8" s="4367"/>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80" t="s">
        <v>1613</v>
      </c>
      <c r="Q9" s="1792" t="str">
        <f t="shared" ref="Q9:Q15" si="6">B9</f>
        <v>用途</v>
      </c>
      <c r="R9" s="3573" t="s">
        <v>13</v>
      </c>
      <c r="S9" s="3574">
        <f t="shared" si="0"/>
        <v>100</v>
      </c>
      <c r="T9" s="3573" t="s">
        <v>13</v>
      </c>
      <c r="U9" s="3574">
        <f t="shared" si="1"/>
        <v>100</v>
      </c>
      <c r="V9" s="3573" t="s">
        <v>13</v>
      </c>
      <c r="W9" s="3574">
        <f t="shared" si="2"/>
        <v>100</v>
      </c>
      <c r="X9" s="513"/>
      <c r="Y9" s="4381"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80"/>
      <c r="Q10" s="1792" t="str">
        <f t="shared" si="6"/>
        <v>土地使用年限（年）</v>
      </c>
      <c r="R10" s="3573" t="s">
        <v>13</v>
      </c>
      <c r="S10" s="3574">
        <f t="shared" si="0"/>
        <v>100</v>
      </c>
      <c r="T10" s="3573" t="s">
        <v>13</v>
      </c>
      <c r="U10" s="3574">
        <f t="shared" si="1"/>
        <v>100</v>
      </c>
      <c r="V10" s="3573" t="s">
        <v>13</v>
      </c>
      <c r="W10" s="3574">
        <f t="shared" si="2"/>
        <v>100</v>
      </c>
      <c r="X10" s="513"/>
      <c r="Y10" s="4381"/>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80"/>
      <c r="Q11" s="1792" t="str">
        <f t="shared" si="6"/>
        <v>容积率</v>
      </c>
      <c r="R11" s="3573" t="s">
        <v>16</v>
      </c>
      <c r="S11" s="3574" t="e">
        <f t="shared" si="0"/>
        <v>#N/A</v>
      </c>
      <c r="T11" s="3573" t="s">
        <v>16</v>
      </c>
      <c r="U11" s="3574" t="e">
        <f t="shared" si="1"/>
        <v>#N/A</v>
      </c>
      <c r="V11" s="3573" t="s">
        <v>16</v>
      </c>
      <c r="W11" s="3574" t="e">
        <f t="shared" si="2"/>
        <v>#N/A</v>
      </c>
      <c r="X11" s="513"/>
      <c r="Y11" s="4381"/>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80"/>
      <c r="Q12" s="1792">
        <f t="shared" si="6"/>
        <v>111</v>
      </c>
      <c r="R12" s="3573" t="s">
        <v>16</v>
      </c>
      <c r="S12" s="3574">
        <f t="shared" si="0"/>
        <v>100</v>
      </c>
      <c r="T12" s="3573" t="s">
        <v>16</v>
      </c>
      <c r="U12" s="3574">
        <f t="shared" si="1"/>
        <v>100</v>
      </c>
      <c r="V12" s="3573" t="s">
        <v>16</v>
      </c>
      <c r="W12" s="3574">
        <f t="shared" si="2"/>
        <v>100</v>
      </c>
      <c r="X12" s="513"/>
      <c r="Y12" s="4381"/>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80"/>
      <c r="Q13" s="1792">
        <f t="shared" si="6"/>
        <v>111</v>
      </c>
      <c r="R13" s="3573" t="s">
        <v>16</v>
      </c>
      <c r="S13" s="3574">
        <f t="shared" si="0"/>
        <v>100</v>
      </c>
      <c r="T13" s="3573" t="s">
        <v>16</v>
      </c>
      <c r="U13" s="3574">
        <f t="shared" si="1"/>
        <v>100</v>
      </c>
      <c r="V13" s="3573" t="s">
        <v>16</v>
      </c>
      <c r="W13" s="3574">
        <f t="shared" si="2"/>
        <v>100</v>
      </c>
      <c r="X13" s="513"/>
      <c r="Y13" s="4381"/>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80"/>
      <c r="Q14" s="1792">
        <f t="shared" si="6"/>
        <v>111</v>
      </c>
      <c r="R14" s="3573" t="s">
        <v>16</v>
      </c>
      <c r="S14" s="3574">
        <f t="shared" si="0"/>
        <v>100</v>
      </c>
      <c r="T14" s="3573" t="s">
        <v>16</v>
      </c>
      <c r="U14" s="3574">
        <f t="shared" si="1"/>
        <v>100</v>
      </c>
      <c r="V14" s="3573" t="s">
        <v>16</v>
      </c>
      <c r="W14" s="3574">
        <f t="shared" si="2"/>
        <v>100</v>
      </c>
      <c r="X14" s="513"/>
      <c r="Y14" s="4381"/>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416" t="s">
        <v>1618</v>
      </c>
      <c r="Q15" s="1592" t="str">
        <f t="shared" si="6"/>
        <v>居住社区成熟度</v>
      </c>
      <c r="R15" s="3575" t="s">
        <v>16</v>
      </c>
      <c r="S15" s="3576">
        <f t="shared" si="0"/>
        <v>100</v>
      </c>
      <c r="T15" s="3575" t="s">
        <v>16</v>
      </c>
      <c r="U15" s="3576">
        <f t="shared" si="1"/>
        <v>100</v>
      </c>
      <c r="V15" s="3575" t="s">
        <v>16</v>
      </c>
      <c r="W15" s="3576">
        <f t="shared" si="2"/>
        <v>100</v>
      </c>
      <c r="X15" s="984"/>
      <c r="Y15" s="4409"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417"/>
      <c r="Q16" s="1592"/>
      <c r="R16" s="3575"/>
      <c r="S16" s="3576"/>
      <c r="T16" s="3575"/>
      <c r="U16" s="3576"/>
      <c r="V16" s="3575"/>
      <c r="W16" s="3576"/>
      <c r="X16" s="984"/>
      <c r="Y16" s="4410"/>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417"/>
      <c r="Q17" s="1592" t="str">
        <f>B17</f>
        <v>交通便捷度</v>
      </c>
      <c r="R17" s="3575" t="s">
        <v>16</v>
      </c>
      <c r="S17" s="3576">
        <f>F17</f>
        <v>100</v>
      </c>
      <c r="T17" s="3575" t="s">
        <v>16</v>
      </c>
      <c r="U17" s="3576">
        <f>H17</f>
        <v>100</v>
      </c>
      <c r="V17" s="3575" t="s">
        <v>16</v>
      </c>
      <c r="W17" s="3576">
        <f>J17</f>
        <v>100</v>
      </c>
      <c r="X17" s="984"/>
      <c r="Y17" s="4410"/>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417"/>
      <c r="Q18" s="1592"/>
      <c r="R18" s="3575"/>
      <c r="S18" s="3576"/>
      <c r="T18" s="3575"/>
      <c r="U18" s="3576"/>
      <c r="V18" s="3575"/>
      <c r="W18" s="3576"/>
      <c r="X18" s="984"/>
      <c r="Y18" s="4410"/>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417"/>
      <c r="Q19" s="1592" t="str">
        <f>B19</f>
        <v>公共配套设施</v>
      </c>
      <c r="R19" s="3575" t="s">
        <v>16</v>
      </c>
      <c r="S19" s="3576">
        <f>F19</f>
        <v>100</v>
      </c>
      <c r="T19" s="3575" t="s">
        <v>16</v>
      </c>
      <c r="U19" s="3576">
        <f>H19</f>
        <v>100</v>
      </c>
      <c r="V19" s="3575" t="s">
        <v>16</v>
      </c>
      <c r="W19" s="3576">
        <f>J19</f>
        <v>100</v>
      </c>
      <c r="X19" s="984"/>
      <c r="Y19" s="4410"/>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417"/>
      <c r="Q20" s="1592"/>
      <c r="R20" s="3575"/>
      <c r="S20" s="3576"/>
      <c r="T20" s="3575"/>
      <c r="U20" s="3576"/>
      <c r="V20" s="3575"/>
      <c r="W20" s="3576"/>
      <c r="X20" s="984"/>
      <c r="Y20" s="4410"/>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417"/>
      <c r="Q21" s="1592" t="str">
        <f>B21</f>
        <v>基础设施水平</v>
      </c>
      <c r="R21" s="3575" t="s">
        <v>13</v>
      </c>
      <c r="S21" s="3576">
        <f>F21</f>
        <v>100</v>
      </c>
      <c r="T21" s="3575" t="s">
        <v>13</v>
      </c>
      <c r="U21" s="3576">
        <f>H21</f>
        <v>100</v>
      </c>
      <c r="V21" s="3575" t="s">
        <v>13</v>
      </c>
      <c r="W21" s="3576">
        <f>J21</f>
        <v>100</v>
      </c>
      <c r="X21" s="984"/>
      <c r="Y21" s="441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417"/>
      <c r="Q22" s="1592"/>
      <c r="R22" s="3575"/>
      <c r="S22" s="3576"/>
      <c r="T22" s="3575"/>
      <c r="U22" s="3576"/>
      <c r="V22" s="3575"/>
      <c r="W22" s="3576"/>
      <c r="X22" s="984"/>
      <c r="Y22" s="4410"/>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417"/>
      <c r="Q23" s="1592" t="str">
        <f>B23</f>
        <v>自然及人文环境</v>
      </c>
      <c r="R23" s="3575" t="s">
        <v>16</v>
      </c>
      <c r="S23" s="3576">
        <f>F23</f>
        <v>100</v>
      </c>
      <c r="T23" s="3575" t="s">
        <v>16</v>
      </c>
      <c r="U23" s="3576">
        <f>H23</f>
        <v>100</v>
      </c>
      <c r="V23" s="3575" t="s">
        <v>16</v>
      </c>
      <c r="W23" s="3576">
        <f>J23</f>
        <v>100</v>
      </c>
      <c r="X23" s="984"/>
      <c r="Y23" s="4410"/>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417"/>
      <c r="Q24" s="1592"/>
      <c r="R24" s="3575"/>
      <c r="S24" s="3576"/>
      <c r="T24" s="3575"/>
      <c r="U24" s="3576"/>
      <c r="V24" s="3575"/>
      <c r="W24" s="3576"/>
      <c r="X24" s="984"/>
      <c r="Y24" s="4410"/>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417"/>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410"/>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417"/>
      <c r="Q26" s="1592" t="str">
        <f t="shared" si="11"/>
        <v>朝向</v>
      </c>
      <c r="R26" s="3575" t="s">
        <v>16</v>
      </c>
      <c r="S26" s="3576">
        <f t="shared" si="12"/>
        <v>100</v>
      </c>
      <c r="T26" s="3575" t="s">
        <v>16</v>
      </c>
      <c r="U26" s="3576">
        <f t="shared" si="13"/>
        <v>100</v>
      </c>
      <c r="V26" s="3575" t="s">
        <v>16</v>
      </c>
      <c r="W26" s="3576">
        <f t="shared" si="14"/>
        <v>100</v>
      </c>
      <c r="X26" s="984"/>
      <c r="Y26" s="4410"/>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417"/>
      <c r="Q27" s="1792">
        <f t="shared" si="11"/>
        <v>111</v>
      </c>
      <c r="R27" s="3573" t="s">
        <v>16</v>
      </c>
      <c r="S27" s="3574">
        <f t="shared" si="12"/>
        <v>100</v>
      </c>
      <c r="T27" s="3573" t="s">
        <v>16</v>
      </c>
      <c r="U27" s="3574">
        <f t="shared" si="13"/>
        <v>100</v>
      </c>
      <c r="V27" s="3573" t="s">
        <v>16</v>
      </c>
      <c r="W27" s="3574">
        <f t="shared" si="14"/>
        <v>100</v>
      </c>
      <c r="X27" s="513"/>
      <c r="Y27" s="4410"/>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417"/>
      <c r="Q28" s="1592">
        <f t="shared" si="11"/>
        <v>111</v>
      </c>
      <c r="R28" s="3575" t="s">
        <v>16</v>
      </c>
      <c r="S28" s="3576">
        <f t="shared" si="12"/>
        <v>100</v>
      </c>
      <c r="T28" s="3575" t="s">
        <v>16</v>
      </c>
      <c r="U28" s="3576">
        <f t="shared" si="13"/>
        <v>100</v>
      </c>
      <c r="V28" s="3575" t="s">
        <v>16</v>
      </c>
      <c r="W28" s="3576">
        <f t="shared" si="14"/>
        <v>100</v>
      </c>
      <c r="X28" s="984"/>
      <c r="Y28" s="4410"/>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417"/>
      <c r="Q29" s="1592">
        <f t="shared" si="11"/>
        <v>111</v>
      </c>
      <c r="R29" s="3575" t="s">
        <v>16</v>
      </c>
      <c r="S29" s="3576">
        <f t="shared" si="12"/>
        <v>100</v>
      </c>
      <c r="T29" s="3575" t="s">
        <v>16</v>
      </c>
      <c r="U29" s="3576">
        <f t="shared" si="13"/>
        <v>100</v>
      </c>
      <c r="V29" s="3575" t="s">
        <v>16</v>
      </c>
      <c r="W29" s="3576">
        <f t="shared" si="14"/>
        <v>100</v>
      </c>
      <c r="X29" s="984"/>
      <c r="Y29" s="4410"/>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417"/>
      <c r="Q30" s="1592">
        <f t="shared" si="11"/>
        <v>111</v>
      </c>
      <c r="R30" s="3575" t="s">
        <v>16</v>
      </c>
      <c r="S30" s="3576">
        <f t="shared" si="12"/>
        <v>100</v>
      </c>
      <c r="T30" s="3575" t="s">
        <v>16</v>
      </c>
      <c r="U30" s="3576">
        <f t="shared" si="13"/>
        <v>100</v>
      </c>
      <c r="V30" s="3575" t="s">
        <v>16</v>
      </c>
      <c r="W30" s="3576">
        <f t="shared" si="14"/>
        <v>100</v>
      </c>
      <c r="X30" s="984"/>
      <c r="Y30" s="4410"/>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417"/>
      <c r="Q31" s="1592">
        <f t="shared" si="11"/>
        <v>111</v>
      </c>
      <c r="R31" s="3575" t="s">
        <v>16</v>
      </c>
      <c r="S31" s="3576">
        <f t="shared" si="12"/>
        <v>100</v>
      </c>
      <c r="T31" s="3575" t="s">
        <v>16</v>
      </c>
      <c r="U31" s="3576">
        <f t="shared" si="13"/>
        <v>100</v>
      </c>
      <c r="V31" s="3575" t="s">
        <v>16</v>
      </c>
      <c r="W31" s="3576">
        <f t="shared" si="14"/>
        <v>100</v>
      </c>
      <c r="X31" s="984"/>
      <c r="Y31" s="4410"/>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411" t="s">
        <v>1623</v>
      </c>
      <c r="Q32" s="1592" t="str">
        <f t="shared" si="11"/>
        <v>建筑类型</v>
      </c>
      <c r="R32" s="3575" t="s">
        <v>16</v>
      </c>
      <c r="S32" s="3576">
        <f t="shared" si="12"/>
        <v>100</v>
      </c>
      <c r="T32" s="3575" t="s">
        <v>16</v>
      </c>
      <c r="U32" s="3576">
        <f t="shared" si="13"/>
        <v>100</v>
      </c>
      <c r="V32" s="3575" t="s">
        <v>16</v>
      </c>
      <c r="W32" s="3576">
        <f t="shared" si="14"/>
        <v>100</v>
      </c>
      <c r="X32" s="984"/>
      <c r="Y32" s="4414"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412"/>
      <c r="Q33" s="410" t="str">
        <f t="shared" si="11"/>
        <v>项目建筑规模</v>
      </c>
      <c r="R33" s="3577" t="s">
        <v>16</v>
      </c>
      <c r="S33" s="3578" t="e">
        <f t="shared" si="12"/>
        <v>#N/A</v>
      </c>
      <c r="T33" s="3577" t="s">
        <v>16</v>
      </c>
      <c r="U33" s="3578" t="e">
        <f t="shared" si="13"/>
        <v>#N/A</v>
      </c>
      <c r="V33" s="3577" t="s">
        <v>16</v>
      </c>
      <c r="W33" s="3578" t="e">
        <f t="shared" si="14"/>
        <v>#N/A</v>
      </c>
      <c r="X33" s="518"/>
      <c r="Y33" s="4414"/>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412"/>
      <c r="Q34" s="1592" t="str">
        <f t="shared" si="11"/>
        <v>建筑结构</v>
      </c>
      <c r="R34" s="3575" t="s">
        <v>16</v>
      </c>
      <c r="S34" s="3576">
        <f t="shared" si="12"/>
        <v>100</v>
      </c>
      <c r="T34" s="3575" t="s">
        <v>16</v>
      </c>
      <c r="U34" s="3576">
        <f t="shared" si="13"/>
        <v>100</v>
      </c>
      <c r="V34" s="3575" t="s">
        <v>16</v>
      </c>
      <c r="W34" s="3576">
        <f t="shared" si="14"/>
        <v>100</v>
      </c>
      <c r="X34" s="984"/>
      <c r="Y34" s="4414"/>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412"/>
      <c r="Q35" s="1592" t="str">
        <f t="shared" si="11"/>
        <v>建筑品质</v>
      </c>
      <c r="R35" s="3575" t="s">
        <v>16</v>
      </c>
      <c r="S35" s="3576">
        <f t="shared" si="12"/>
        <v>100</v>
      </c>
      <c r="T35" s="3575" t="s">
        <v>16</v>
      </c>
      <c r="U35" s="3576">
        <f t="shared" si="13"/>
        <v>100</v>
      </c>
      <c r="V35" s="3575" t="s">
        <v>16</v>
      </c>
      <c r="W35" s="3576">
        <f t="shared" si="14"/>
        <v>100</v>
      </c>
      <c r="X35" s="984"/>
      <c r="Y35" s="4414"/>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412"/>
      <c r="Q36" s="1592" t="str">
        <f t="shared" si="11"/>
        <v>公共部分装修</v>
      </c>
      <c r="R36" s="3575" t="s">
        <v>16</v>
      </c>
      <c r="S36" s="3576">
        <f t="shared" si="12"/>
        <v>100</v>
      </c>
      <c r="T36" s="3575" t="s">
        <v>16</v>
      </c>
      <c r="U36" s="3576">
        <f t="shared" si="13"/>
        <v>100</v>
      </c>
      <c r="V36" s="3575" t="s">
        <v>16</v>
      </c>
      <c r="W36" s="3576">
        <f t="shared" si="14"/>
        <v>100</v>
      </c>
      <c r="X36" s="984"/>
      <c r="Y36" s="4414"/>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412"/>
      <c r="Q37" s="1792" t="str">
        <f t="shared" si="11"/>
        <v>成新度</v>
      </c>
      <c r="R37" s="3573" t="s">
        <v>16</v>
      </c>
      <c r="S37" s="3574" t="e">
        <f t="shared" si="12"/>
        <v>#N/A</v>
      </c>
      <c r="T37" s="3573" t="s">
        <v>16</v>
      </c>
      <c r="U37" s="3574" t="e">
        <f t="shared" si="13"/>
        <v>#N/A</v>
      </c>
      <c r="V37" s="3573" t="s">
        <v>16</v>
      </c>
      <c r="W37" s="3574" t="e">
        <f t="shared" si="14"/>
        <v>#N/A</v>
      </c>
      <c r="X37" s="513"/>
      <c r="Y37" s="4414"/>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412" t="s">
        <v>1623</v>
      </c>
      <c r="Q38" s="1592" t="str">
        <f t="shared" si="11"/>
        <v>物业管理</v>
      </c>
      <c r="R38" s="3575" t="s">
        <v>16</v>
      </c>
      <c r="S38" s="3576">
        <f t="shared" si="12"/>
        <v>100</v>
      </c>
      <c r="T38" s="3575" t="s">
        <v>16</v>
      </c>
      <c r="U38" s="3576">
        <f t="shared" si="13"/>
        <v>100</v>
      </c>
      <c r="V38" s="3575" t="s">
        <v>16</v>
      </c>
      <c r="W38" s="3576">
        <f t="shared" si="14"/>
        <v>100</v>
      </c>
      <c r="X38" s="984"/>
      <c r="Y38" s="4414"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412"/>
      <c r="Q39" s="1592" t="str">
        <f t="shared" si="11"/>
        <v>市政基础设施</v>
      </c>
      <c r="R39" s="3575" t="s">
        <v>16</v>
      </c>
      <c r="S39" s="3576">
        <f t="shared" si="12"/>
        <v>100</v>
      </c>
      <c r="T39" s="3575" t="s">
        <v>16</v>
      </c>
      <c r="U39" s="3576">
        <f t="shared" si="13"/>
        <v>100</v>
      </c>
      <c r="V39" s="3575" t="s">
        <v>16</v>
      </c>
      <c r="W39" s="3576">
        <f t="shared" si="14"/>
        <v>100</v>
      </c>
      <c r="X39" s="984"/>
      <c r="Y39" s="4414"/>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412"/>
      <c r="Q40" s="1592" t="str">
        <f t="shared" si="11"/>
        <v>房型</v>
      </c>
      <c r="R40" s="3575" t="s">
        <v>16</v>
      </c>
      <c r="S40" s="3576">
        <f t="shared" si="12"/>
        <v>100</v>
      </c>
      <c r="T40" s="3575" t="s">
        <v>16</v>
      </c>
      <c r="U40" s="3576">
        <f t="shared" si="13"/>
        <v>100</v>
      </c>
      <c r="V40" s="3575" t="s">
        <v>16</v>
      </c>
      <c r="W40" s="3576">
        <f t="shared" si="14"/>
        <v>100</v>
      </c>
      <c r="X40" s="984"/>
      <c r="Y40" s="4414"/>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412"/>
      <c r="Q41" s="410" t="str">
        <f t="shared" si="11"/>
        <v>单套/主力户型建筑面积</v>
      </c>
      <c r="R41" s="3577" t="s">
        <v>16</v>
      </c>
      <c r="S41" s="3578">
        <f t="shared" si="12"/>
        <v>100</v>
      </c>
      <c r="T41" s="3577" t="s">
        <v>16</v>
      </c>
      <c r="U41" s="3578">
        <f t="shared" si="13"/>
        <v>100</v>
      </c>
      <c r="V41" s="3577" t="s">
        <v>16</v>
      </c>
      <c r="W41" s="3578">
        <f t="shared" si="14"/>
        <v>100</v>
      </c>
      <c r="X41" s="518"/>
      <c r="Y41" s="4414"/>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412"/>
      <c r="Q42" s="1592" t="str">
        <f t="shared" si="11"/>
        <v>内部装修</v>
      </c>
      <c r="R42" s="3575" t="s">
        <v>16</v>
      </c>
      <c r="S42" s="3576">
        <f t="shared" si="12"/>
        <v>100</v>
      </c>
      <c r="T42" s="3575" t="s">
        <v>16</v>
      </c>
      <c r="U42" s="3576">
        <f t="shared" si="13"/>
        <v>100</v>
      </c>
      <c r="V42" s="3575" t="s">
        <v>16</v>
      </c>
      <c r="W42" s="3576">
        <f t="shared" si="14"/>
        <v>100</v>
      </c>
      <c r="X42" s="984"/>
      <c r="Y42" s="4414"/>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412"/>
      <c r="Q43" s="1592" t="str">
        <f t="shared" si="11"/>
        <v>内部装修维护情况</v>
      </c>
      <c r="R43" s="3575" t="s">
        <v>16</v>
      </c>
      <c r="S43" s="3576">
        <f t="shared" si="12"/>
        <v>100</v>
      </c>
      <c r="T43" s="3575" t="s">
        <v>16</v>
      </c>
      <c r="U43" s="3576">
        <f t="shared" si="13"/>
        <v>100</v>
      </c>
      <c r="V43" s="3575" t="s">
        <v>16</v>
      </c>
      <c r="W43" s="3576">
        <f t="shared" si="14"/>
        <v>100</v>
      </c>
      <c r="X43" s="984"/>
      <c r="Y43" s="4414"/>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412"/>
      <c r="Q44" s="1792">
        <f t="shared" si="11"/>
        <v>111</v>
      </c>
      <c r="R44" s="3573" t="s">
        <v>16</v>
      </c>
      <c r="S44" s="3574">
        <f t="shared" si="12"/>
        <v>100</v>
      </c>
      <c r="T44" s="3573" t="s">
        <v>16</v>
      </c>
      <c r="U44" s="3574">
        <f t="shared" si="13"/>
        <v>100</v>
      </c>
      <c r="V44" s="3573" t="s">
        <v>16</v>
      </c>
      <c r="W44" s="3574">
        <f t="shared" si="14"/>
        <v>100</v>
      </c>
      <c r="X44" s="513"/>
      <c r="Y44" s="4414"/>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412"/>
      <c r="Q45" s="1592">
        <f t="shared" si="11"/>
        <v>111</v>
      </c>
      <c r="R45" s="3575" t="s">
        <v>16</v>
      </c>
      <c r="S45" s="3576">
        <f t="shared" si="12"/>
        <v>100</v>
      </c>
      <c r="T45" s="3575" t="s">
        <v>16</v>
      </c>
      <c r="U45" s="3576">
        <f t="shared" si="13"/>
        <v>100</v>
      </c>
      <c r="V45" s="3575" t="s">
        <v>16</v>
      </c>
      <c r="W45" s="3576">
        <f t="shared" si="14"/>
        <v>100</v>
      </c>
      <c r="X45" s="984"/>
      <c r="Y45" s="4414"/>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413"/>
      <c r="Q46" s="1592">
        <f t="shared" si="11"/>
        <v>111</v>
      </c>
      <c r="R46" s="3575" t="s">
        <v>15</v>
      </c>
      <c r="S46" s="3576">
        <f t="shared" si="12"/>
        <v>100</v>
      </c>
      <c r="T46" s="3575" t="s">
        <v>15</v>
      </c>
      <c r="U46" s="3576">
        <f t="shared" si="13"/>
        <v>100</v>
      </c>
      <c r="V46" s="3575" t="s">
        <v>15</v>
      </c>
      <c r="W46" s="3576">
        <f t="shared" si="14"/>
        <v>100</v>
      </c>
      <c r="X46" s="984"/>
      <c r="Y46" s="4415"/>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407" t="str">
        <f>A47</f>
        <v>成交单价（元/平方米）</v>
      </c>
      <c r="Q47" s="4407"/>
      <c r="R47" s="4408">
        <f>E47</f>
        <v>0</v>
      </c>
      <c r="S47" s="4408"/>
      <c r="T47" s="4408">
        <f>G47</f>
        <v>0</v>
      </c>
      <c r="U47" s="4408"/>
      <c r="V47" s="4408">
        <f>I47</f>
        <v>0</v>
      </c>
      <c r="W47" s="4408"/>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407" t="str">
        <f>A48</f>
        <v>比较价值（元/平方米）</v>
      </c>
      <c r="Q48" s="4407"/>
      <c r="R48" s="4408" t="e">
        <f>IF(F1="售价",ROUND(PRODUCT(R47,AA7:AA46),0),ROUND(PRODUCT(R47,AA7:AA46),1))</f>
        <v>#DIV/0!</v>
      </c>
      <c r="S48" s="4408"/>
      <c r="T48" s="4408" t="e">
        <f>IF(F1="售价",ROUND(PRODUCT(T47,AB7:AB46),0),ROUND(PRODUCT(T47,AB7:AB46),1))</f>
        <v>#DIV/0!</v>
      </c>
      <c r="U48" s="4408"/>
      <c r="V48" s="4408" t="e">
        <f>IF(F1="售价",ROUND(PRODUCT(V47,AC7:AC46),0),ROUND(PRODUCT(V47,AC7:AC46),1))</f>
        <v>#DIV/0!</v>
      </c>
      <c r="W48" s="4408"/>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404" t="str">
        <f>A49</f>
        <v>估价对象XX用房的比较价值（楼面单价，元/平方米）</v>
      </c>
      <c r="Q49" s="4405"/>
      <c r="R49" s="4406" t="e">
        <f>IF(F1="售价",ROUND(IF(D48="简单平均",AVERAGE(R48:V48),R48*F48+T48*H48+V48*J48),0),ROUND(IF(D48="简单平均",AVERAGE(R48:V48),R48*F48+T48*H48+V48*J48),1))</f>
        <v>#DIV/0!</v>
      </c>
      <c r="S49" s="4406"/>
      <c r="T49" s="4406"/>
      <c r="U49" s="4406"/>
      <c r="V49" s="4406"/>
      <c r="W49" s="440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3824</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18" t="s">
        <v>3823</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18"/>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18"/>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18"/>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18"/>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18"/>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18" t="s">
        <v>3822</v>
      </c>
      <c r="B8" s="4120">
        <v>45968.333831018521</v>
      </c>
      <c r="C8" s="4121" t="s">
        <v>3820</v>
      </c>
      <c r="D8" s="4121">
        <v>1</v>
      </c>
      <c r="E8" s="4121">
        <v>21</v>
      </c>
      <c r="F8" s="4121">
        <v>20</v>
      </c>
      <c r="G8" s="4121">
        <v>2001</v>
      </c>
      <c r="H8" s="4121" t="s">
        <v>3821</v>
      </c>
      <c r="I8" s="4121" t="s">
        <v>19</v>
      </c>
      <c r="J8" s="4121" t="s">
        <v>3800</v>
      </c>
      <c r="K8" s="4121">
        <v>1</v>
      </c>
      <c r="L8" s="4121">
        <v>725.98</v>
      </c>
      <c r="M8" s="4121">
        <v>1435.48</v>
      </c>
      <c r="N8" s="4121">
        <v>19773</v>
      </c>
    </row>
    <row r="9" spans="1:14">
      <c r="A9" s="4418"/>
      <c r="B9" s="4118">
        <v>45968.333831018521</v>
      </c>
      <c r="C9" s="4119" t="s">
        <v>3820</v>
      </c>
      <c r="D9" s="4119">
        <v>1</v>
      </c>
      <c r="E9" s="4119">
        <v>21</v>
      </c>
      <c r="F9" s="4119">
        <v>20</v>
      </c>
      <c r="G9" s="4119">
        <v>2002</v>
      </c>
      <c r="H9" s="4119" t="s">
        <v>3821</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73" sqref="D73"/>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269.26929999999999</v>
      </c>
      <c r="C2" s="3075" t="s">
        <v>3747</v>
      </c>
      <c r="D2" s="3218">
        <f>IF(E1="项目模式",IF(E2="——",ROUND(C50*D3/10000,0),ROUND(C50*D3/10000,0)-F2),IF(E1="单套模式",IF(E2="——",ROUND(C50*D3/10000,4),ROUND(C50*D3/10000,4)-F2)))</f>
        <v>269.26929999999999</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21096</v>
      </c>
      <c r="C3" s="253" t="s">
        <v>1695</v>
      </c>
      <c r="D3" s="3175">
        <f>IF(D1="",'数据-汇总表'!E3,SUMIF('数据-汇总表'!$C19:$C33,D1,'数据-汇总表'!$E19:$E33))</f>
        <v>127.64</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34" t="s">
        <v>1697</v>
      </c>
      <c r="D4" s="4435"/>
      <c r="E4" s="4436" t="s">
        <v>1698</v>
      </c>
      <c r="F4" s="4437"/>
      <c r="G4" s="4434" t="s">
        <v>1699</v>
      </c>
      <c r="H4" s="4435"/>
      <c r="I4" s="4434" t="s">
        <v>1700</v>
      </c>
      <c r="J4" s="4435"/>
      <c r="K4" s="415" t="s">
        <v>1701</v>
      </c>
      <c r="L4" s="2083"/>
      <c r="M4" s="2084"/>
      <c r="N4" s="2084"/>
      <c r="O4" s="2084"/>
      <c r="P4" s="4438" t="s">
        <v>1702</v>
      </c>
      <c r="Q4" s="4439"/>
      <c r="R4" s="4420" t="s">
        <v>1698</v>
      </c>
      <c r="S4" s="4421"/>
      <c r="T4" s="4420" t="s">
        <v>1699</v>
      </c>
      <c r="U4" s="4421"/>
      <c r="V4" s="4442" t="s">
        <v>1700</v>
      </c>
      <c r="W4" s="4442"/>
      <c r="X4" s="1498"/>
      <c r="Y4" s="4444" t="s">
        <v>1702</v>
      </c>
      <c r="Z4" s="4445"/>
      <c r="AA4" s="4419" t="s">
        <v>1698</v>
      </c>
      <c r="AB4" s="4419" t="s">
        <v>1699</v>
      </c>
      <c r="AC4" s="4431" t="s">
        <v>1700</v>
      </c>
    </row>
    <row r="5" spans="1:29" ht="15">
      <c r="A5" s="257"/>
      <c r="B5" s="258"/>
      <c r="C5" s="4424" t="s">
        <v>3873</v>
      </c>
      <c r="D5" s="4425"/>
      <c r="E5" s="4422" t="s">
        <v>3803</v>
      </c>
      <c r="F5" s="4423"/>
      <c r="G5" s="4428" t="s">
        <v>3804</v>
      </c>
      <c r="H5" s="4425"/>
      <c r="I5" s="4428" t="str">
        <f>中指成交!A8</f>
        <v>保利未来大都会</v>
      </c>
      <c r="J5" s="4425"/>
      <c r="K5" s="415"/>
      <c r="L5" s="2083"/>
      <c r="M5" s="2084"/>
      <c r="N5" s="2084"/>
      <c r="O5" s="2084"/>
      <c r="P5" s="4440"/>
      <c r="Q5" s="4389"/>
      <c r="R5" s="4370"/>
      <c r="S5" s="4371"/>
      <c r="T5" s="4370"/>
      <c r="U5" s="4371"/>
      <c r="V5" s="4394"/>
      <c r="W5" s="4394"/>
      <c r="X5" s="984"/>
      <c r="Y5" s="4399"/>
      <c r="Z5" s="4400"/>
      <c r="AA5" s="4364"/>
      <c r="AB5" s="4364"/>
      <c r="AC5" s="4432"/>
    </row>
    <row r="6" spans="1:29" ht="15.75" thickBot="1">
      <c r="A6" s="259"/>
      <c r="B6" s="260"/>
      <c r="C6" s="4426" t="s">
        <v>1604</v>
      </c>
      <c r="D6" s="4427"/>
      <c r="E6" s="4429" t="s">
        <v>1604</v>
      </c>
      <c r="F6" s="4430"/>
      <c r="G6" s="4426" t="s">
        <v>1604</v>
      </c>
      <c r="H6" s="4427"/>
      <c r="I6" s="4426" t="s">
        <v>1604</v>
      </c>
      <c r="J6" s="4427"/>
      <c r="K6" s="415" t="s">
        <v>1605</v>
      </c>
      <c r="L6" s="2083"/>
      <c r="M6" s="2084"/>
      <c r="N6" s="2084"/>
      <c r="O6" s="2084"/>
      <c r="P6" s="4441"/>
      <c r="Q6" s="4391"/>
      <c r="R6" s="4370"/>
      <c r="S6" s="4371"/>
      <c r="T6" s="4392"/>
      <c r="U6" s="4393"/>
      <c r="V6" s="4394"/>
      <c r="W6" s="4394"/>
      <c r="X6" s="984"/>
      <c r="Y6" s="4401"/>
      <c r="Z6" s="4402"/>
      <c r="AA6" s="4365"/>
      <c r="AB6" s="4365"/>
      <c r="AC6" s="4433"/>
    </row>
    <row r="7" spans="1:29" s="61" customFormat="1" ht="15.75" thickBot="1">
      <c r="A7" s="261" t="s">
        <v>1606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43" t="s">
        <v>1607</v>
      </c>
      <c r="Q7" s="4403"/>
      <c r="R7" s="3573" t="s">
        <v>13</v>
      </c>
      <c r="S7" s="3574">
        <f t="shared" ref="S7:S15" si="0">F7</f>
        <v>100</v>
      </c>
      <c r="T7" s="3573" t="s">
        <v>13</v>
      </c>
      <c r="U7" s="3574">
        <f t="shared" ref="U7:U15" si="1">H7</f>
        <v>100</v>
      </c>
      <c r="V7" s="3573" t="s">
        <v>13</v>
      </c>
      <c r="W7" s="3574">
        <f t="shared" ref="W7:W15" si="2">J7</f>
        <v>100</v>
      </c>
      <c r="X7" s="513"/>
      <c r="Y7" s="4366" t="s">
        <v>1607</v>
      </c>
      <c r="Z7" s="4367"/>
      <c r="AA7" s="41">
        <f>D7/F7</f>
        <v>1</v>
      </c>
      <c r="AB7" s="41">
        <f>D7/H7</f>
        <v>1</v>
      </c>
      <c r="AC7" s="597">
        <f>D7/J7</f>
        <v>1</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43" t="s">
        <v>1610</v>
      </c>
      <c r="Q8" s="4396"/>
      <c r="R8" s="3573" t="s">
        <v>13</v>
      </c>
      <c r="S8" s="3574">
        <f t="shared" si="0"/>
        <v>100</v>
      </c>
      <c r="T8" s="3573" t="s">
        <v>13</v>
      </c>
      <c r="U8" s="3574">
        <f t="shared" si="1"/>
        <v>100</v>
      </c>
      <c r="V8" s="3573" t="s">
        <v>13</v>
      </c>
      <c r="W8" s="3574">
        <f t="shared" si="2"/>
        <v>100</v>
      </c>
      <c r="X8" s="513"/>
      <c r="Y8" s="4366" t="s">
        <v>1610</v>
      </c>
      <c r="Z8" s="4367"/>
      <c r="AA8" s="41">
        <f t="shared" ref="AA8:AA47" si="3">D8/F8</f>
        <v>1</v>
      </c>
      <c r="AB8" s="41">
        <f t="shared" ref="AB8:AB47" si="4">D8/H8</f>
        <v>1</v>
      </c>
      <c r="AC8" s="597">
        <f t="shared" ref="AC8:AC47" si="5">D8/J8</f>
        <v>1</v>
      </c>
    </row>
    <row r="9" spans="1:29" s="61" customForma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80" t="s">
        <v>1613</v>
      </c>
      <c r="Q9" s="1792" t="str">
        <f t="shared" ref="Q9:Q15" si="6">B9</f>
        <v>用途</v>
      </c>
      <c r="R9" s="3573" t="s">
        <v>13</v>
      </c>
      <c r="S9" s="3574">
        <f t="shared" si="0"/>
        <v>100</v>
      </c>
      <c r="T9" s="3573" t="s">
        <v>13</v>
      </c>
      <c r="U9" s="3574">
        <f t="shared" si="1"/>
        <v>100</v>
      </c>
      <c r="V9" s="3573" t="s">
        <v>13</v>
      </c>
      <c r="W9" s="3574">
        <f t="shared" si="2"/>
        <v>100</v>
      </c>
      <c r="X9" s="513"/>
      <c r="Y9" s="4381"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80"/>
      <c r="Q10" s="1792" t="str">
        <f t="shared" si="6"/>
        <v>土地使用年限（年）</v>
      </c>
      <c r="R10" s="3573" t="s">
        <v>13</v>
      </c>
      <c r="S10" s="3574">
        <f t="shared" si="0"/>
        <v>100</v>
      </c>
      <c r="T10" s="3573" t="s">
        <v>13</v>
      </c>
      <c r="U10" s="3574">
        <f t="shared" si="1"/>
        <v>100</v>
      </c>
      <c r="V10" s="3573" t="s">
        <v>13</v>
      </c>
      <c r="W10" s="3574">
        <f t="shared" si="2"/>
        <v>100</v>
      </c>
      <c r="X10" s="513"/>
      <c r="Y10" s="4381"/>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80"/>
      <c r="Q11" s="1792" t="str">
        <f t="shared" si="6"/>
        <v>容积率</v>
      </c>
      <c r="R11" s="3573" t="s">
        <v>13</v>
      </c>
      <c r="S11" s="3574">
        <f t="shared" si="0"/>
        <v>100</v>
      </c>
      <c r="T11" s="3573" t="s">
        <v>13</v>
      </c>
      <c r="U11" s="3574">
        <f t="shared" si="1"/>
        <v>100</v>
      </c>
      <c r="V11" s="3573" t="s">
        <v>13</v>
      </c>
      <c r="W11" s="3574">
        <f t="shared" si="2"/>
        <v>100</v>
      </c>
      <c r="X11" s="513"/>
      <c r="Y11" s="4381"/>
      <c r="Z11" s="41" t="str">
        <f t="shared" si="7"/>
        <v>容积率</v>
      </c>
      <c r="AA11" s="41">
        <f t="shared" si="3"/>
        <v>1</v>
      </c>
      <c r="AB11" s="41">
        <f t="shared" si="4"/>
        <v>1</v>
      </c>
      <c r="AC11" s="597">
        <f t="shared" si="5"/>
        <v>1</v>
      </c>
    </row>
    <row r="12" spans="1:29" s="61" customFormat="1" ht="15.75" thickBot="1">
      <c r="A12" s="276"/>
      <c r="B12" s="4130" t="s">
        <v>3865</v>
      </c>
      <c r="C12" s="4131" t="s">
        <v>3868</v>
      </c>
      <c r="D12" s="3225">
        <v>100</v>
      </c>
      <c r="E12" s="4131" t="s">
        <v>3869</v>
      </c>
      <c r="F12" s="3809">
        <f>SUMIF(71:71,E12,72:72)-SUMIF(71:71,C12,72:72)+100</f>
        <v>102</v>
      </c>
      <c r="G12" s="4132" t="s">
        <v>3869</v>
      </c>
      <c r="H12" s="3809">
        <f>SUMIF(71:71,G12,72:72)-SUMIF(71:71,C12,72:72)+100</f>
        <v>102</v>
      </c>
      <c r="I12" s="4131" t="s">
        <v>3869</v>
      </c>
      <c r="J12" s="3809">
        <f>SUMIF(71:71,I12,72:72)-SUMIF(71:71,C12,72:72)+100</f>
        <v>102</v>
      </c>
      <c r="K12" s="417"/>
      <c r="L12" s="2085"/>
      <c r="M12" s="2036"/>
      <c r="N12" s="2036"/>
      <c r="O12" s="2036"/>
      <c r="P12" s="4380"/>
      <c r="Q12" s="1792" t="str">
        <f t="shared" si="6"/>
        <v>交易限制</v>
      </c>
      <c r="R12" s="3573" t="s">
        <v>13</v>
      </c>
      <c r="S12" s="3574">
        <f t="shared" si="0"/>
        <v>102</v>
      </c>
      <c r="T12" s="3573" t="s">
        <v>13</v>
      </c>
      <c r="U12" s="3574">
        <f t="shared" si="1"/>
        <v>102</v>
      </c>
      <c r="V12" s="3573" t="s">
        <v>13</v>
      </c>
      <c r="W12" s="3574">
        <f t="shared" si="2"/>
        <v>102</v>
      </c>
      <c r="X12" s="513"/>
      <c r="Y12" s="4381"/>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80"/>
      <c r="Q13" s="1792">
        <f t="shared" si="6"/>
        <v>111</v>
      </c>
      <c r="R13" s="3573" t="s">
        <v>13</v>
      </c>
      <c r="S13" s="3574">
        <f t="shared" si="0"/>
        <v>100</v>
      </c>
      <c r="T13" s="3573" t="s">
        <v>13</v>
      </c>
      <c r="U13" s="3574">
        <f t="shared" si="1"/>
        <v>100</v>
      </c>
      <c r="V13" s="3573" t="s">
        <v>13</v>
      </c>
      <c r="W13" s="3574">
        <f t="shared" si="2"/>
        <v>100</v>
      </c>
      <c r="X13" s="513"/>
      <c r="Y13" s="4381"/>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80"/>
      <c r="Q14" s="1792">
        <f t="shared" si="6"/>
        <v>111</v>
      </c>
      <c r="R14" s="3573" t="s">
        <v>13</v>
      </c>
      <c r="S14" s="3574">
        <f t="shared" si="0"/>
        <v>100</v>
      </c>
      <c r="T14" s="3573" t="s">
        <v>13</v>
      </c>
      <c r="U14" s="3574">
        <f t="shared" si="1"/>
        <v>100</v>
      </c>
      <c r="V14" s="3573" t="s">
        <v>13</v>
      </c>
      <c r="W14" s="3574">
        <f t="shared" si="2"/>
        <v>100</v>
      </c>
      <c r="X14" s="513"/>
      <c r="Y14" s="4381"/>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416" t="s">
        <v>1618</v>
      </c>
      <c r="Q15" s="1592" t="str">
        <f t="shared" si="6"/>
        <v>办公集聚程度</v>
      </c>
      <c r="R15" s="3575" t="s">
        <v>13</v>
      </c>
      <c r="S15" s="3576">
        <f t="shared" si="0"/>
        <v>100</v>
      </c>
      <c r="T15" s="3575" t="s">
        <v>13</v>
      </c>
      <c r="U15" s="3576">
        <f t="shared" si="1"/>
        <v>100</v>
      </c>
      <c r="V15" s="3575" t="s">
        <v>13</v>
      </c>
      <c r="W15" s="3576">
        <f t="shared" si="2"/>
        <v>100</v>
      </c>
      <c r="X15" s="984"/>
      <c r="Y15" s="4409"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417"/>
      <c r="Q16" s="1592"/>
      <c r="R16" s="3575"/>
      <c r="S16" s="3576"/>
      <c r="T16" s="3575"/>
      <c r="U16" s="3576"/>
      <c r="V16" s="3575"/>
      <c r="W16" s="3576"/>
      <c r="X16" s="984"/>
      <c r="Y16" s="4410"/>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417"/>
      <c r="Q17" s="1592" t="str">
        <f>B17</f>
        <v>交通便捷度</v>
      </c>
      <c r="R17" s="3575" t="s">
        <v>13</v>
      </c>
      <c r="S17" s="3576">
        <f>F17</f>
        <v>100</v>
      </c>
      <c r="T17" s="3575" t="s">
        <v>13</v>
      </c>
      <c r="U17" s="3576">
        <f>H17</f>
        <v>100</v>
      </c>
      <c r="V17" s="3575" t="s">
        <v>13</v>
      </c>
      <c r="W17" s="3576">
        <f>J17</f>
        <v>100</v>
      </c>
      <c r="X17" s="984"/>
      <c r="Y17" s="4410"/>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417"/>
      <c r="Q18" s="1592"/>
      <c r="R18" s="3575"/>
      <c r="S18" s="3576"/>
      <c r="T18" s="3575"/>
      <c r="U18" s="3576"/>
      <c r="V18" s="3575"/>
      <c r="W18" s="3576"/>
      <c r="X18" s="984"/>
      <c r="Y18" s="4410"/>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417"/>
      <c r="Q19" s="1592" t="str">
        <f>B19</f>
        <v>公共配套设施</v>
      </c>
      <c r="R19" s="3575" t="s">
        <v>13</v>
      </c>
      <c r="S19" s="3576">
        <f>F19</f>
        <v>100</v>
      </c>
      <c r="T19" s="3575" t="s">
        <v>13</v>
      </c>
      <c r="U19" s="3576">
        <f>H19</f>
        <v>100</v>
      </c>
      <c r="V19" s="3575" t="s">
        <v>13</v>
      </c>
      <c r="W19" s="3576">
        <f>J19</f>
        <v>100</v>
      </c>
      <c r="X19" s="984"/>
      <c r="Y19" s="4410"/>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417"/>
      <c r="Q20" s="1592"/>
      <c r="R20" s="3575"/>
      <c r="S20" s="3576"/>
      <c r="T20" s="3575"/>
      <c r="U20" s="3576"/>
      <c r="V20" s="3575"/>
      <c r="W20" s="3576"/>
      <c r="X20" s="984"/>
      <c r="Y20" s="4410"/>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417"/>
      <c r="Q21" s="1592" t="str">
        <f>B21</f>
        <v>基础设施水平</v>
      </c>
      <c r="R21" s="3575" t="s">
        <v>13</v>
      </c>
      <c r="S21" s="3576">
        <f>F21</f>
        <v>100</v>
      </c>
      <c r="T21" s="3575" t="s">
        <v>13</v>
      </c>
      <c r="U21" s="3576">
        <f>H21</f>
        <v>100</v>
      </c>
      <c r="V21" s="3575" t="s">
        <v>13</v>
      </c>
      <c r="W21" s="3576">
        <f>J21</f>
        <v>100</v>
      </c>
      <c r="X21" s="984"/>
      <c r="Y21" s="4410"/>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417"/>
      <c r="Q22" s="1592"/>
      <c r="R22" s="3575"/>
      <c r="S22" s="3576"/>
      <c r="T22" s="3575"/>
      <c r="U22" s="3576"/>
      <c r="V22" s="3575"/>
      <c r="W22" s="3576"/>
      <c r="X22" s="984"/>
      <c r="Y22" s="4410"/>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417"/>
      <c r="Q23" s="1592" t="str">
        <f>B23</f>
        <v>环境质量</v>
      </c>
      <c r="R23" s="3575" t="s">
        <v>13</v>
      </c>
      <c r="S23" s="3576">
        <f>F23</f>
        <v>100</v>
      </c>
      <c r="T23" s="3575" t="s">
        <v>13</v>
      </c>
      <c r="U23" s="3576">
        <f>H23</f>
        <v>100</v>
      </c>
      <c r="V23" s="3575" t="s">
        <v>13</v>
      </c>
      <c r="W23" s="3576">
        <f>J23</f>
        <v>100</v>
      </c>
      <c r="X23" s="984"/>
      <c r="Y23" s="4410"/>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417"/>
      <c r="Q24" s="1592"/>
      <c r="R24" s="3575"/>
      <c r="S24" s="3576"/>
      <c r="T24" s="3575"/>
      <c r="U24" s="3576"/>
      <c r="V24" s="3575"/>
      <c r="W24" s="3576"/>
      <c r="X24" s="984"/>
      <c r="Y24" s="4410"/>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417"/>
      <c r="Q25" s="1592" t="str">
        <f>B25</f>
        <v>毗邻道路的类型与等级</v>
      </c>
      <c r="R25" s="3575" t="s">
        <v>13</v>
      </c>
      <c r="S25" s="3576">
        <f>F25</f>
        <v>100</v>
      </c>
      <c r="T25" s="3575" t="s">
        <v>13</v>
      </c>
      <c r="U25" s="3576">
        <f>H25</f>
        <v>100</v>
      </c>
      <c r="V25" s="3575" t="s">
        <v>13</v>
      </c>
      <c r="W25" s="3576">
        <f>J25</f>
        <v>100</v>
      </c>
      <c r="X25" s="984"/>
      <c r="Y25" s="4410"/>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417"/>
      <c r="Q26" s="1592"/>
      <c r="R26" s="3575"/>
      <c r="S26" s="3576"/>
      <c r="T26" s="3575"/>
      <c r="U26" s="3576"/>
      <c r="V26" s="3575"/>
      <c r="W26" s="3576"/>
      <c r="X26" s="984"/>
      <c r="Y26" s="4410"/>
      <c r="Z26" s="982"/>
      <c r="AA26" s="982">
        <v>1</v>
      </c>
      <c r="AB26" s="982">
        <v>1</v>
      </c>
      <c r="AC26" s="1501">
        <v>1</v>
      </c>
    </row>
    <row r="27" spans="1:29" ht="15.75" thickBot="1">
      <c r="A27" s="273"/>
      <c r="B27" s="432" t="s">
        <v>1710</v>
      </c>
      <c r="C27" s="434" t="s">
        <v>3871</v>
      </c>
      <c r="D27" s="3226">
        <v>100</v>
      </c>
      <c r="E27" s="420" t="s">
        <v>3805</v>
      </c>
      <c r="F27" s="3814">
        <f>SUMIF(89:89,E27,90:90)-SUMIF(89:89,C27,90:90)+100</f>
        <v>102</v>
      </c>
      <c r="G27" s="434" t="s">
        <v>3808</v>
      </c>
      <c r="H27" s="3814">
        <f>SUMIF(89:89,G27,90:90)-SUMIF(89:89,C27,90:90)+100</f>
        <v>98</v>
      </c>
      <c r="I27" s="420" t="s">
        <v>3805</v>
      </c>
      <c r="J27" s="3814">
        <f>SUMIF(89:89,I27,90:90)-SUMIF(89:89,C27,90:90)+100</f>
        <v>102</v>
      </c>
      <c r="K27" s="416">
        <v>2</v>
      </c>
      <c r="L27" s="2089"/>
      <c r="M27" s="2084"/>
      <c r="N27" s="2084"/>
      <c r="O27" s="2084"/>
      <c r="P27" s="4417"/>
      <c r="Q27" s="1592" t="str">
        <f t="shared" ref="Q27:Q47" si="11">B27</f>
        <v>楼层</v>
      </c>
      <c r="R27" s="3575" t="s">
        <v>13</v>
      </c>
      <c r="S27" s="3576">
        <f>F27</f>
        <v>102</v>
      </c>
      <c r="T27" s="3575" t="s">
        <v>13</v>
      </c>
      <c r="U27" s="3576">
        <f>H27</f>
        <v>98</v>
      </c>
      <c r="V27" s="3575" t="s">
        <v>13</v>
      </c>
      <c r="W27" s="3576">
        <f>J27</f>
        <v>102</v>
      </c>
      <c r="X27" s="984"/>
      <c r="Y27" s="4410"/>
      <c r="Z27" s="982" t="str">
        <f>Q27</f>
        <v>楼层</v>
      </c>
      <c r="AA27" s="982">
        <f t="shared" si="3"/>
        <v>0.98039215686274506</v>
      </c>
      <c r="AB27" s="982">
        <f t="shared" si="4"/>
        <v>1.0204081632653061</v>
      </c>
      <c r="AC27" s="1501">
        <f t="shared" si="5"/>
        <v>0.98039215686274506</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417"/>
      <c r="Q28" s="1792" t="str">
        <f t="shared" si="11"/>
        <v>朝向</v>
      </c>
      <c r="R28" s="3573" t="s">
        <v>13</v>
      </c>
      <c r="S28" s="3574">
        <f>F28</f>
        <v>100</v>
      </c>
      <c r="T28" s="3573" t="s">
        <v>13</v>
      </c>
      <c r="U28" s="3574">
        <f>H28</f>
        <v>100</v>
      </c>
      <c r="V28" s="3573" t="s">
        <v>13</v>
      </c>
      <c r="W28" s="3574">
        <f>J28</f>
        <v>100</v>
      </c>
      <c r="X28" s="513"/>
      <c r="Y28" s="4410"/>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417"/>
      <c r="Q29" s="1592">
        <f t="shared" si="11"/>
        <v>111</v>
      </c>
      <c r="R29" s="3575" t="s">
        <v>13</v>
      </c>
      <c r="S29" s="3576">
        <f t="shared" ref="S29:S47" si="12">F29</f>
        <v>100</v>
      </c>
      <c r="T29" s="3575" t="s">
        <v>13</v>
      </c>
      <c r="U29" s="3576">
        <f t="shared" ref="U29:U47" si="13">H29</f>
        <v>100</v>
      </c>
      <c r="V29" s="3575" t="s">
        <v>13</v>
      </c>
      <c r="W29" s="3576">
        <f t="shared" ref="W29:W47" si="14">J29</f>
        <v>100</v>
      </c>
      <c r="X29" s="984"/>
      <c r="Y29" s="4410"/>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417"/>
      <c r="Q30" s="1592">
        <f t="shared" si="11"/>
        <v>111</v>
      </c>
      <c r="R30" s="3575" t="s">
        <v>13</v>
      </c>
      <c r="S30" s="3576">
        <f t="shared" si="12"/>
        <v>100</v>
      </c>
      <c r="T30" s="3575" t="s">
        <v>13</v>
      </c>
      <c r="U30" s="3576">
        <f t="shared" si="13"/>
        <v>100</v>
      </c>
      <c r="V30" s="3575" t="s">
        <v>13</v>
      </c>
      <c r="W30" s="3576">
        <f t="shared" si="14"/>
        <v>100</v>
      </c>
      <c r="X30" s="984"/>
      <c r="Y30" s="4410"/>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417"/>
      <c r="Q31" s="1592">
        <f t="shared" si="11"/>
        <v>111</v>
      </c>
      <c r="R31" s="3575" t="s">
        <v>13</v>
      </c>
      <c r="S31" s="3576">
        <f t="shared" si="12"/>
        <v>100</v>
      </c>
      <c r="T31" s="3575" t="s">
        <v>13</v>
      </c>
      <c r="U31" s="3576">
        <f t="shared" si="13"/>
        <v>100</v>
      </c>
      <c r="V31" s="3575" t="s">
        <v>13</v>
      </c>
      <c r="W31" s="3576">
        <f t="shared" si="14"/>
        <v>100</v>
      </c>
      <c r="X31" s="984"/>
      <c r="Y31" s="4410"/>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417"/>
      <c r="Q32" s="1592">
        <f t="shared" si="11"/>
        <v>111</v>
      </c>
      <c r="R32" s="3575" t="s">
        <v>13</v>
      </c>
      <c r="S32" s="3576">
        <f t="shared" si="12"/>
        <v>100</v>
      </c>
      <c r="T32" s="3575" t="s">
        <v>13</v>
      </c>
      <c r="U32" s="3576">
        <f t="shared" si="13"/>
        <v>100</v>
      </c>
      <c r="V32" s="3575" t="s">
        <v>13</v>
      </c>
      <c r="W32" s="3576">
        <f t="shared" si="14"/>
        <v>100</v>
      </c>
      <c r="X32" s="984"/>
      <c r="Y32" s="4410"/>
      <c r="Z32" s="982">
        <f t="shared" si="15"/>
        <v>111</v>
      </c>
      <c r="AA32" s="982">
        <f t="shared" si="3"/>
        <v>1</v>
      </c>
      <c r="AB32" s="982">
        <f t="shared" si="4"/>
        <v>1</v>
      </c>
      <c r="AC32" s="1501">
        <f t="shared" si="5"/>
        <v>1</v>
      </c>
    </row>
    <row r="33" spans="1:29" ht="15">
      <c r="A33" s="281" t="s">
        <v>1621</v>
      </c>
      <c r="B33" s="47" t="s">
        <v>1744</v>
      </c>
      <c r="C33" s="1505" t="s">
        <v>3854</v>
      </c>
      <c r="D33" s="3233">
        <v>100</v>
      </c>
      <c r="E33" s="1505" t="s">
        <v>3854</v>
      </c>
      <c r="F33" s="3816">
        <f>SUMIF(101:101,E33,102:102)-SUMIF(101:101,C33,102:102)+100</f>
        <v>100</v>
      </c>
      <c r="G33" s="1505" t="s">
        <v>3854</v>
      </c>
      <c r="H33" s="3814">
        <f>SUMIF(101:101,G33,102:102)-SUMIF(101:101,C33,102:102)+100</f>
        <v>100</v>
      </c>
      <c r="I33" s="1505" t="s">
        <v>3854</v>
      </c>
      <c r="J33" s="3820">
        <f>SUMIF(101:101,I33,102:102)-SUMIF(101:101,C33,102:102)+100</f>
        <v>100</v>
      </c>
      <c r="K33" s="416">
        <v>1</v>
      </c>
      <c r="L33" s="2089"/>
      <c r="M33" s="2084"/>
      <c r="N33" s="2084"/>
      <c r="O33" s="2084"/>
      <c r="P33" s="4411" t="s">
        <v>1623</v>
      </c>
      <c r="Q33" s="1592" t="str">
        <f t="shared" si="11"/>
        <v>建筑类型</v>
      </c>
      <c r="R33" s="3575" t="s">
        <v>13</v>
      </c>
      <c r="S33" s="3576">
        <f t="shared" si="12"/>
        <v>100</v>
      </c>
      <c r="T33" s="3575" t="s">
        <v>13</v>
      </c>
      <c r="U33" s="3576">
        <f t="shared" si="13"/>
        <v>100</v>
      </c>
      <c r="V33" s="3575" t="s">
        <v>13</v>
      </c>
      <c r="W33" s="3576">
        <f t="shared" si="14"/>
        <v>100</v>
      </c>
      <c r="X33" s="984"/>
      <c r="Y33" s="4414" t="s">
        <v>1623</v>
      </c>
      <c r="Z33" s="982" t="str">
        <f t="shared" si="15"/>
        <v>建筑类型</v>
      </c>
      <c r="AA33" s="982">
        <f t="shared" si="3"/>
        <v>1</v>
      </c>
      <c r="AB33" s="982">
        <f t="shared" si="4"/>
        <v>1</v>
      </c>
      <c r="AC33" s="1501">
        <f t="shared" si="5"/>
        <v>1</v>
      </c>
    </row>
    <row r="34" spans="1:29" s="298" customFormat="1" ht="15">
      <c r="A34" s="296"/>
      <c r="B34" s="271" t="s">
        <v>1624</v>
      </c>
      <c r="C34" s="297">
        <f>'数据-汇总表'!E3</f>
        <v>127.64</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412"/>
      <c r="Q34" s="410" t="str">
        <f t="shared" si="11"/>
        <v>项目建筑规模</v>
      </c>
      <c r="R34" s="3577" t="s">
        <v>13</v>
      </c>
      <c r="S34" s="3578">
        <f t="shared" si="12"/>
        <v>98</v>
      </c>
      <c r="T34" s="3577" t="s">
        <v>13</v>
      </c>
      <c r="U34" s="3578">
        <f t="shared" si="13"/>
        <v>100</v>
      </c>
      <c r="V34" s="3577" t="s">
        <v>13</v>
      </c>
      <c r="W34" s="3578">
        <f t="shared" si="14"/>
        <v>94</v>
      </c>
      <c r="X34" s="518"/>
      <c r="Y34" s="4414"/>
      <c r="Z34" s="519" t="str">
        <f t="shared" si="15"/>
        <v>项目建筑规模</v>
      </c>
      <c r="AA34" s="982">
        <f t="shared" si="3"/>
        <v>1.0204081632653061</v>
      </c>
      <c r="AB34" s="982">
        <f t="shared" si="4"/>
        <v>1</v>
      </c>
      <c r="AC34" s="1501">
        <f t="shared" si="5"/>
        <v>1.0638297872340425</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412"/>
      <c r="Q35" s="1592" t="str">
        <f t="shared" si="11"/>
        <v>建筑结构</v>
      </c>
      <c r="R35" s="3575" t="s">
        <v>13</v>
      </c>
      <c r="S35" s="3576">
        <f t="shared" si="12"/>
        <v>100</v>
      </c>
      <c r="T35" s="3575" t="s">
        <v>13</v>
      </c>
      <c r="U35" s="3576">
        <f t="shared" si="13"/>
        <v>100</v>
      </c>
      <c r="V35" s="3575" t="s">
        <v>13</v>
      </c>
      <c r="W35" s="3576">
        <f t="shared" si="14"/>
        <v>100</v>
      </c>
      <c r="X35" s="984"/>
      <c r="Y35" s="4414"/>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412"/>
      <c r="Q36" s="1592" t="str">
        <f t="shared" si="11"/>
        <v>公共部分装修</v>
      </c>
      <c r="R36" s="3575" t="s">
        <v>13</v>
      </c>
      <c r="S36" s="3576">
        <f t="shared" si="12"/>
        <v>100</v>
      </c>
      <c r="T36" s="3575" t="s">
        <v>13</v>
      </c>
      <c r="U36" s="3576">
        <f t="shared" si="13"/>
        <v>100</v>
      </c>
      <c r="V36" s="3575" t="s">
        <v>13</v>
      </c>
      <c r="W36" s="3576">
        <f t="shared" si="14"/>
        <v>100</v>
      </c>
      <c r="X36" s="984"/>
      <c r="Y36" s="4414"/>
      <c r="Z36" s="982" t="str">
        <f t="shared" si="15"/>
        <v>公共部分装修</v>
      </c>
      <c r="AA36" s="982">
        <f t="shared" si="3"/>
        <v>1</v>
      </c>
      <c r="AB36" s="982">
        <f t="shared" si="4"/>
        <v>1</v>
      </c>
      <c r="AC36" s="1501">
        <f t="shared" si="5"/>
        <v>1</v>
      </c>
    </row>
    <row r="37" spans="1:29" ht="15">
      <c r="A37" s="299"/>
      <c r="B37" s="271" t="s">
        <v>1713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412"/>
      <c r="Q37" s="1592" t="str">
        <f t="shared" si="11"/>
        <v>成新度</v>
      </c>
      <c r="R37" s="3575" t="s">
        <v>13</v>
      </c>
      <c r="S37" s="3576">
        <f t="shared" si="12"/>
        <v>100</v>
      </c>
      <c r="T37" s="3575" t="s">
        <v>13</v>
      </c>
      <c r="U37" s="3576">
        <f t="shared" si="13"/>
        <v>100</v>
      </c>
      <c r="V37" s="3575" t="s">
        <v>13</v>
      </c>
      <c r="W37" s="3576">
        <f t="shared" si="14"/>
        <v>101</v>
      </c>
      <c r="X37" s="984"/>
      <c r="Y37" s="4414"/>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412"/>
      <c r="Q38" s="1792" t="str">
        <f t="shared" si="11"/>
        <v>写字楼等级</v>
      </c>
      <c r="R38" s="3573" t="s">
        <v>13</v>
      </c>
      <c r="S38" s="3574">
        <f t="shared" si="12"/>
        <v>100</v>
      </c>
      <c r="T38" s="3573" t="s">
        <v>13</v>
      </c>
      <c r="U38" s="3574">
        <f t="shared" si="13"/>
        <v>100</v>
      </c>
      <c r="V38" s="3573" t="s">
        <v>13</v>
      </c>
      <c r="W38" s="3574">
        <f t="shared" si="14"/>
        <v>100</v>
      </c>
      <c r="X38" s="513"/>
      <c r="Y38" s="4414"/>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412" t="s">
        <v>1623</v>
      </c>
      <c r="Q39" s="1592" t="str">
        <f t="shared" si="11"/>
        <v>物业管理</v>
      </c>
      <c r="R39" s="3575" t="s">
        <v>13</v>
      </c>
      <c r="S39" s="3576">
        <f t="shared" si="12"/>
        <v>100</v>
      </c>
      <c r="T39" s="3575" t="s">
        <v>13</v>
      </c>
      <c r="U39" s="3576">
        <f t="shared" si="13"/>
        <v>100</v>
      </c>
      <c r="V39" s="3575" t="s">
        <v>13</v>
      </c>
      <c r="W39" s="3576">
        <f t="shared" si="14"/>
        <v>100</v>
      </c>
      <c r="X39" s="984"/>
      <c r="Y39" s="4414"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412"/>
      <c r="Q40" s="1592" t="str">
        <f t="shared" si="11"/>
        <v>市政基础设施</v>
      </c>
      <c r="R40" s="3575" t="s">
        <v>13</v>
      </c>
      <c r="S40" s="3576">
        <f t="shared" si="12"/>
        <v>100</v>
      </c>
      <c r="T40" s="3575" t="s">
        <v>13</v>
      </c>
      <c r="U40" s="3576">
        <f t="shared" si="13"/>
        <v>100</v>
      </c>
      <c r="V40" s="3575" t="s">
        <v>13</v>
      </c>
      <c r="W40" s="3576">
        <f t="shared" si="14"/>
        <v>100</v>
      </c>
      <c r="X40" s="984"/>
      <c r="Y40" s="4414"/>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412"/>
      <c r="Q41" s="1592" t="str">
        <f t="shared" si="11"/>
        <v>层高</v>
      </c>
      <c r="R41" s="3575" t="s">
        <v>13</v>
      </c>
      <c r="S41" s="3576">
        <f t="shared" si="12"/>
        <v>100</v>
      </c>
      <c r="T41" s="3575" t="s">
        <v>13</v>
      </c>
      <c r="U41" s="3576">
        <f t="shared" si="13"/>
        <v>100</v>
      </c>
      <c r="V41" s="3575" t="s">
        <v>13</v>
      </c>
      <c r="W41" s="3576">
        <f t="shared" si="14"/>
        <v>100</v>
      </c>
      <c r="X41" s="984"/>
      <c r="Y41" s="4414"/>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412"/>
      <c r="Q42" s="410" t="str">
        <f t="shared" si="11"/>
        <v>单套建筑面积</v>
      </c>
      <c r="R42" s="3577" t="s">
        <v>13</v>
      </c>
      <c r="S42" s="3578">
        <f t="shared" si="12"/>
        <v>100</v>
      </c>
      <c r="T42" s="3577" t="s">
        <v>13</v>
      </c>
      <c r="U42" s="3578">
        <f t="shared" si="13"/>
        <v>100</v>
      </c>
      <c r="V42" s="3577" t="s">
        <v>13</v>
      </c>
      <c r="W42" s="3578">
        <f t="shared" si="14"/>
        <v>100</v>
      </c>
      <c r="X42" s="518"/>
      <c r="Y42" s="4414"/>
      <c r="Z42" s="519" t="str">
        <f t="shared" si="15"/>
        <v>单套建筑面积</v>
      </c>
      <c r="AA42" s="982">
        <f t="shared" si="3"/>
        <v>1</v>
      </c>
      <c r="AB42" s="982">
        <f t="shared" si="4"/>
        <v>1</v>
      </c>
      <c r="AC42" s="1501">
        <f t="shared" si="5"/>
        <v>1</v>
      </c>
    </row>
    <row r="43" spans="1:29" ht="15">
      <c r="A43" s="299"/>
      <c r="B43" s="271" t="s">
        <v>1719</v>
      </c>
      <c r="C43" s="294" t="s">
        <v>3858</v>
      </c>
      <c r="D43" s="3226">
        <v>100</v>
      </c>
      <c r="E43" s="294" t="s">
        <v>3870</v>
      </c>
      <c r="F43" s="3816">
        <f>SUMIF(123:123,E43,124:124)-SUMIF(123:123,C43,124:124)+100</f>
        <v>97</v>
      </c>
      <c r="G43" s="294" t="s">
        <v>3870</v>
      </c>
      <c r="H43" s="3814">
        <f>SUMIF(123:123,G43,124:124)-SUMIF(123:123,C43,124:124)+100</f>
        <v>97</v>
      </c>
      <c r="I43" s="294" t="s">
        <v>3870</v>
      </c>
      <c r="J43" s="3814">
        <f>SUMIF(123:123,I43,124:124)-SUMIF(123:123,C43,124:124)+100</f>
        <v>97</v>
      </c>
      <c r="K43" s="416">
        <v>1</v>
      </c>
      <c r="L43" s="2089"/>
      <c r="M43" s="2084"/>
      <c r="N43" s="2084"/>
      <c r="O43" s="2084"/>
      <c r="P43" s="4412"/>
      <c r="Q43" s="1592" t="str">
        <f t="shared" si="11"/>
        <v>内部装修</v>
      </c>
      <c r="R43" s="3575" t="s">
        <v>13</v>
      </c>
      <c r="S43" s="3576">
        <f t="shared" si="12"/>
        <v>97</v>
      </c>
      <c r="T43" s="3575" t="s">
        <v>13</v>
      </c>
      <c r="U43" s="3576">
        <f t="shared" si="13"/>
        <v>97</v>
      </c>
      <c r="V43" s="3575" t="s">
        <v>13</v>
      </c>
      <c r="W43" s="3576">
        <f t="shared" si="14"/>
        <v>97</v>
      </c>
      <c r="X43" s="984"/>
      <c r="Y43" s="4414"/>
      <c r="Z43" s="982" t="str">
        <f t="shared" si="15"/>
        <v>内部装修</v>
      </c>
      <c r="AA43" s="982">
        <f t="shared" si="3"/>
        <v>1.0309278350515463</v>
      </c>
      <c r="AB43" s="982">
        <f t="shared" si="4"/>
        <v>1.0309278350515463</v>
      </c>
      <c r="AC43" s="1501">
        <f t="shared" si="5"/>
        <v>1.0309278350515463</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v>1</v>
      </c>
      <c r="L44" s="2089"/>
      <c r="M44" s="2084"/>
      <c r="N44" s="2084"/>
      <c r="O44" s="2084"/>
      <c r="P44" s="4412"/>
      <c r="Q44" s="1592" t="str">
        <f t="shared" si="11"/>
        <v>内部装修维护情况</v>
      </c>
      <c r="R44" s="3575" t="s">
        <v>13</v>
      </c>
      <c r="S44" s="3576">
        <f t="shared" si="12"/>
        <v>100</v>
      </c>
      <c r="T44" s="3575" t="s">
        <v>13</v>
      </c>
      <c r="U44" s="3576">
        <f t="shared" si="13"/>
        <v>100</v>
      </c>
      <c r="V44" s="3575" t="s">
        <v>13</v>
      </c>
      <c r="W44" s="3576">
        <f t="shared" si="14"/>
        <v>100</v>
      </c>
      <c r="X44" s="984"/>
      <c r="Y44" s="4414"/>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412"/>
      <c r="Q45" s="1792">
        <f t="shared" si="11"/>
        <v>111</v>
      </c>
      <c r="R45" s="3573" t="s">
        <v>13</v>
      </c>
      <c r="S45" s="3574">
        <f t="shared" si="12"/>
        <v>100</v>
      </c>
      <c r="T45" s="3573" t="s">
        <v>13</v>
      </c>
      <c r="U45" s="3574">
        <f t="shared" si="13"/>
        <v>100</v>
      </c>
      <c r="V45" s="3573" t="s">
        <v>13</v>
      </c>
      <c r="W45" s="3574">
        <f t="shared" si="14"/>
        <v>100</v>
      </c>
      <c r="X45" s="513"/>
      <c r="Y45" s="4414"/>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412"/>
      <c r="Q46" s="1592">
        <f t="shared" si="11"/>
        <v>111</v>
      </c>
      <c r="R46" s="3575" t="s">
        <v>13</v>
      </c>
      <c r="S46" s="3576">
        <f t="shared" si="12"/>
        <v>100</v>
      </c>
      <c r="T46" s="3575" t="s">
        <v>13</v>
      </c>
      <c r="U46" s="3576">
        <f t="shared" si="13"/>
        <v>100</v>
      </c>
      <c r="V46" s="3575" t="s">
        <v>13</v>
      </c>
      <c r="W46" s="3576">
        <f t="shared" si="14"/>
        <v>100</v>
      </c>
      <c r="X46" s="984"/>
      <c r="Y46" s="4414"/>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413"/>
      <c r="Q47" s="1592">
        <f t="shared" si="11"/>
        <v>111</v>
      </c>
      <c r="R47" s="3575" t="s">
        <v>13</v>
      </c>
      <c r="S47" s="3576">
        <f t="shared" si="12"/>
        <v>100</v>
      </c>
      <c r="T47" s="3575" t="s">
        <v>13</v>
      </c>
      <c r="U47" s="3576">
        <f t="shared" si="13"/>
        <v>100</v>
      </c>
      <c r="V47" s="3575" t="s">
        <v>13</v>
      </c>
      <c r="W47" s="3576">
        <f t="shared" si="14"/>
        <v>100</v>
      </c>
      <c r="X47" s="984"/>
      <c r="Y47" s="4415"/>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80" t="str">
        <f>A48</f>
        <v>成交单价（元/平方米）</v>
      </c>
      <c r="Q48" s="4407"/>
      <c r="R48" s="4408">
        <f>E48</f>
        <v>20770</v>
      </c>
      <c r="S48" s="4408"/>
      <c r="T48" s="4408">
        <f>G48</f>
        <v>20770</v>
      </c>
      <c r="U48" s="4408"/>
      <c r="V48" s="4408">
        <f>I48</f>
        <v>19773</v>
      </c>
      <c r="W48" s="4408"/>
      <c r="X48" s="284"/>
      <c r="Y48" s="520"/>
      <c r="Z48" s="284"/>
      <c r="AA48" s="284"/>
      <c r="AB48" s="284"/>
      <c r="AC48" s="430"/>
    </row>
    <row r="49" spans="1:29" ht="15.75" thickBot="1">
      <c r="A49" s="308" t="s">
        <v>1720</v>
      </c>
      <c r="B49" s="309"/>
      <c r="C49" s="3199">
        <f>R50</f>
        <v>21096</v>
      </c>
      <c r="D49" s="1787" t="s">
        <v>3856</v>
      </c>
      <c r="E49" s="3201">
        <f>R49</f>
        <v>21001</v>
      </c>
      <c r="F49" s="3094">
        <v>0.4</v>
      </c>
      <c r="G49" s="3199">
        <f>T49</f>
        <v>21421</v>
      </c>
      <c r="H49" s="3094">
        <v>0.4</v>
      </c>
      <c r="I49" s="3201">
        <f>V49</f>
        <v>20637</v>
      </c>
      <c r="J49" s="3094">
        <v>0.2</v>
      </c>
      <c r="K49" s="3149">
        <f>F49+H49+J49</f>
        <v>1</v>
      </c>
      <c r="L49" s="2091"/>
      <c r="M49" s="2084"/>
      <c r="N49" s="2084"/>
      <c r="O49" s="2084"/>
      <c r="P49" s="4380" t="str">
        <f>A49</f>
        <v>比较价值（元/平方米）</v>
      </c>
      <c r="Q49" s="4407"/>
      <c r="R49" s="4408">
        <f>IF(F1="售价",ROUND(PRODUCT(R48,AA7:AA47),0),ROUND(PRODUCT(R48,AA7:AA47),1))</f>
        <v>21001</v>
      </c>
      <c r="S49" s="4408"/>
      <c r="T49" s="4408">
        <f>IF(F1="售价",ROUND(PRODUCT(T48,AB7:AB47),0),ROUND(PRODUCT(T48,AB7:AB47),1))</f>
        <v>21421</v>
      </c>
      <c r="U49" s="4408"/>
      <c r="V49" s="4408">
        <f>IF(F1="售价",ROUND(PRODUCT(V48,AC7:AC47),0),ROUND(PRODUCT(V48,AC7:AC47),1))</f>
        <v>20637</v>
      </c>
      <c r="W49" s="4408"/>
      <c r="X49" s="284"/>
      <c r="Y49" s="284"/>
      <c r="Z49" s="284"/>
      <c r="AA49" s="284"/>
      <c r="AB49" s="284"/>
      <c r="AC49" s="430"/>
    </row>
    <row r="50" spans="1:29" ht="15.75" thickBot="1">
      <c r="A50" s="310" t="s">
        <v>1721</v>
      </c>
      <c r="B50" s="311"/>
      <c r="C50" s="3217">
        <f>R50</f>
        <v>21096</v>
      </c>
      <c r="D50" s="260"/>
      <c r="E50" s="260"/>
      <c r="F50" s="260"/>
      <c r="G50" s="260"/>
      <c r="H50" s="260"/>
      <c r="I50" s="260"/>
      <c r="J50" s="312"/>
      <c r="K50" s="521"/>
      <c r="L50" s="2091"/>
      <c r="M50" s="2084"/>
      <c r="N50" s="2084"/>
      <c r="O50" s="2084"/>
      <c r="P50" s="4446" t="str">
        <f>A50</f>
        <v>估价对象XX用房的比较价值（楼面单价，元/平方米）</v>
      </c>
      <c r="Q50" s="4447"/>
      <c r="R50" s="4448">
        <f>IF(F1="售价",ROUND(IF(D49="简单平均",AVERAGE(R49:V49),R49*F49+T49*H49+V49*J49),0),ROUND(IF(D49="简单平均",AVERAGE(R49:V49),R49*F49+T49*H49+V49*J49),1))</f>
        <v>21096</v>
      </c>
      <c r="S50" s="4448"/>
      <c r="T50" s="4448"/>
      <c r="U50" s="4448"/>
      <c r="V50" s="4448"/>
      <c r="W50" s="4448"/>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1.1121810303322155E-2</v>
      </c>
      <c r="F53" s="318" t="str">
        <f>IF(OR(E53&gt;=0.3,E53&lt;=-0.3),"超过30%","")</f>
        <v/>
      </c>
      <c r="G53" s="317">
        <f>IF(G48&lt;G49,G49/G48-1,G48/G49-1)</f>
        <v>3.1343283582089487E-2</v>
      </c>
      <c r="H53" s="318" t="str">
        <f>IF(OR(G53&gt;=0.3,G53&lt;=-0.3),"超过30%","")</f>
        <v/>
      </c>
      <c r="I53" s="317">
        <f>IF(I48&lt;I49,I49/I48-1,I48/I49-1)</f>
        <v>4.3695949021392844E-2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1.9999047664396974E-2</v>
      </c>
      <c r="F54" s="318" t="str">
        <f>IF(OR(E54&gt;=0.2,E54&lt;=-0.2),"超过20%","")</f>
        <v/>
      </c>
      <c r="G54" s="317">
        <f>IF(G49&lt;I49,I49/G49-1,G49/I49-1)</f>
        <v>3.7990017928962505E-2</v>
      </c>
      <c r="H54" s="318" t="str">
        <f>IF(OR(G54&gt;=0.2,G54&lt;=-0.2),"超过20%","")</f>
        <v/>
      </c>
      <c r="I54" s="317">
        <f>IF(I49&lt;E49,E49/I49-1,I49/E49-1)</f>
        <v>1.7638222609875465E-2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3866</v>
      </c>
      <c r="D71" s="4111" t="s">
        <v>3867</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3855</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3863</v>
      </c>
      <c r="D123" s="4111" t="s">
        <v>3810</v>
      </c>
      <c r="E123" s="4111" t="s">
        <v>3811</v>
      </c>
      <c r="F123" s="4111" t="s">
        <v>3812</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disablePrompts="1"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197.7962</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15496</v>
      </c>
      <c r="C3" s="1008" t="s">
        <v>794</v>
      </c>
      <c r="D3" s="1008">
        <f ca="1">IF(D2="含税",C28+J29+L51,C25+J28+L51)</f>
        <v>1977962</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115451</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115307</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60" t="s">
        <v>391</v>
      </c>
      <c r="B7" s="4345" t="s">
        <v>3441</v>
      </c>
      <c r="C7" s="4347">
        <f ca="1">ROUND(F6*F7*F8,0)</f>
        <v>128119</v>
      </c>
      <c r="D7" s="4362" t="s">
        <v>3528</v>
      </c>
      <c r="E7" s="777" t="s">
        <v>684</v>
      </c>
      <c r="F7" s="3964">
        <f ca="1">IF(INDIRECT("'数据-取费表'!ah"&amp;$G$1)="",INDIRECT("'数据-取费表'!k"&amp;$G$1),INDIRECT("'数据-取费表'!ah"&amp;$G$1))</f>
        <v>127.64</v>
      </c>
      <c r="G7" s="1011"/>
      <c r="H7" s="4360" t="s">
        <v>391</v>
      </c>
      <c r="I7" s="4345" t="s">
        <v>3441</v>
      </c>
      <c r="J7" s="4356">
        <f ca="1">ROUND(M6*M8*M7/10000,0)</f>
        <v>0</v>
      </c>
      <c r="K7" s="4348" t="s">
        <v>3443</v>
      </c>
      <c r="L7" s="1968" t="s">
        <v>684</v>
      </c>
      <c r="M7" s="4007">
        <f ca="1">F7</f>
        <v>127.64</v>
      </c>
    </row>
    <row r="8" spans="1:37" ht="18" customHeight="1">
      <c r="A8" s="4361"/>
      <c r="B8" s="4346"/>
      <c r="C8" s="4347"/>
      <c r="D8" s="4362"/>
      <c r="E8" s="205" t="s">
        <v>685</v>
      </c>
      <c r="F8" s="3964">
        <f ca="1">INDIRECT("'数据-取费表'!ai"&amp;$G$1)</f>
        <v>365</v>
      </c>
      <c r="G8" s="1011"/>
      <c r="H8" s="4361"/>
      <c r="I8" s="4346"/>
      <c r="J8" s="4356"/>
      <c r="K8" s="4348"/>
      <c r="L8" s="1968" t="s">
        <v>685</v>
      </c>
      <c r="M8" s="4007">
        <f ca="1">INDIRECT("'数据-取费表'!ai"&amp;$G$1)</f>
        <v>365</v>
      </c>
    </row>
    <row r="9" spans="1:37" ht="18" customHeight="1">
      <c r="A9" s="2958" t="s">
        <v>3442</v>
      </c>
      <c r="B9" s="3443" t="s">
        <v>3439</v>
      </c>
      <c r="C9" s="3037">
        <f ca="1">ROUND(C7*F9,0)</f>
        <v>12812</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144</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27659</v>
      </c>
      <c r="D13" s="787" t="s">
        <v>702</v>
      </c>
      <c r="E13" s="788"/>
      <c r="F13" s="773"/>
      <c r="G13" s="1011"/>
      <c r="H13" s="779" t="s">
        <v>387</v>
      </c>
      <c r="I13" s="780" t="s">
        <v>701</v>
      </c>
      <c r="J13" s="3019">
        <f ca="1">ROUND(J14+J21+J22+J23,0)</f>
        <v>7419</v>
      </c>
      <c r="K13" s="975" t="s">
        <v>3497</v>
      </c>
      <c r="L13" s="773"/>
      <c r="M13" s="3996"/>
    </row>
    <row r="14" spans="1:37" ht="18" customHeight="1">
      <c r="A14" s="711" t="s">
        <v>392</v>
      </c>
      <c r="B14" s="205" t="s">
        <v>706</v>
      </c>
      <c r="C14" s="2961">
        <f ca="1">ROUND(IF(AND(项目基本情况!B11="自然人",项目基本情况!B10="北京市"),C6*F14,C15+C18+C19),2)</f>
        <v>25032</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5964.79</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11195</v>
      </c>
      <c r="D15" s="3011" t="s">
        <v>3496</v>
      </c>
      <c r="E15" s="205" t="s">
        <v>3485</v>
      </c>
      <c r="F15" s="3045">
        <f>'数据-取费表'!B44</f>
        <v>0.1</v>
      </c>
      <c r="G15" s="1021"/>
      <c r="H15" s="711" t="s">
        <v>391</v>
      </c>
      <c r="I15" s="2975" t="s">
        <v>3313</v>
      </c>
      <c r="J15" s="2960">
        <f ca="1">ROUND((J16-J17)*(1+M15),2)</f>
        <v>-143.99</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10378</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201</v>
      </c>
      <c r="D17" s="2989" t="s">
        <v>3452</v>
      </c>
      <c r="E17" s="2989"/>
      <c r="F17" s="3045">
        <v>0.06</v>
      </c>
      <c r="G17" s="1021"/>
      <c r="H17" s="2664" t="s">
        <v>3317</v>
      </c>
      <c r="I17" s="2980" t="s">
        <v>3450</v>
      </c>
      <c r="J17" s="3012">
        <f ca="1">ROUND(J21*M16+((J22+J23)*M17),2)</f>
        <v>130.9</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13837</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6108.78</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1454</v>
      </c>
      <c r="D21" s="974" t="s">
        <v>726</v>
      </c>
      <c r="E21" s="205" t="s">
        <v>699</v>
      </c>
      <c r="F21" s="3048">
        <f ca="1">INDIRECT("'数据-取费表'!Ak"&amp;$G$1)</f>
        <v>2E-3</v>
      </c>
      <c r="G21" s="1021"/>
      <c r="H21" s="711" t="s">
        <v>396</v>
      </c>
      <c r="I21" s="205" t="s">
        <v>725</v>
      </c>
      <c r="J21" s="2960">
        <f ca="1">ROUND(J31*M21,2)</f>
        <v>1454.47</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596</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577</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87792</v>
      </c>
      <c r="D24" s="795" t="s">
        <v>740</v>
      </c>
      <c r="E24" s="796"/>
      <c r="F24" s="797"/>
      <c r="G24" s="1021"/>
      <c r="H24" s="779" t="s">
        <v>388</v>
      </c>
      <c r="I24" s="794" t="s">
        <v>739</v>
      </c>
      <c r="J24" s="3019">
        <f ca="1">J5-J13</f>
        <v>-7419</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8" t="s">
        <v>761</v>
      </c>
      <c r="C25" s="4347">
        <f ca="1">ROUND(C24*(1-((1+F27)/(1+F25))^F26)/(F25-F27),0)</f>
        <v>1795004</v>
      </c>
      <c r="D25" s="226" t="s">
        <v>745</v>
      </c>
      <c r="E25" s="205" t="s">
        <v>746</v>
      </c>
      <c r="F25" s="3050">
        <f ca="1">INDIRECT("'数据-取费表'!I"&amp;$G$1)</f>
        <v>5.5E-2</v>
      </c>
      <c r="G25" s="1011"/>
      <c r="H25" s="4349" t="s">
        <v>389</v>
      </c>
      <c r="I25" s="4352" t="s">
        <v>744</v>
      </c>
      <c r="J25" s="4355">
        <f ca="1">IF(J5&lt;&gt;0,ROUND(J24*(1-((1+M27)/(1+M25))^M26)/(M25-M27),0),0)</f>
        <v>0</v>
      </c>
      <c r="K25" s="226" t="s">
        <v>745</v>
      </c>
      <c r="L25" s="3442" t="s">
        <v>746</v>
      </c>
      <c r="M25" s="3993">
        <f ca="1">INDIRECT("'数据-取费表'!I"&amp;$G$1)</f>
        <v>5.5E-2</v>
      </c>
    </row>
    <row r="26" spans="1:37">
      <c r="A26" s="3068"/>
      <c r="B26" s="4358"/>
      <c r="C26" s="4347"/>
      <c r="D26" s="233" t="s">
        <v>762</v>
      </c>
      <c r="E26" s="205" t="s">
        <v>750</v>
      </c>
      <c r="F26" s="3052">
        <f ca="1">IF(INDIRECT("'数据-取费表'!af"&amp;$G$1)=0,INDIRECT("'数据-取费表'!ae"&amp;$G$1),INDIRECT("'数据-取费表'!af"&amp;$G$1))</f>
        <v>37.270000000000003</v>
      </c>
      <c r="G26" s="1011"/>
      <c r="H26" s="4350"/>
      <c r="I26" s="4353"/>
      <c r="J26" s="4356"/>
      <c r="K26" s="974" t="s">
        <v>749</v>
      </c>
      <c r="L26" s="1968" t="s">
        <v>750</v>
      </c>
      <c r="M26" s="4003">
        <f ca="1">INDIRECT("'数据-取费表'!ag"&amp;$G$1)</f>
        <v>0</v>
      </c>
    </row>
    <row r="27" spans="1:37" ht="18" customHeight="1">
      <c r="A27" s="1057"/>
      <c r="B27" s="4358"/>
      <c r="C27" s="4347"/>
      <c r="D27" s="229"/>
      <c r="E27" s="205" t="s">
        <v>753</v>
      </c>
      <c r="F27" s="3050">
        <f ca="1">INDIRECT("'数据-取费表'!v"&amp;$G$1)</f>
        <v>0.02</v>
      </c>
      <c r="G27" s="1011"/>
      <c r="H27" s="4351"/>
      <c r="I27" s="4354"/>
      <c r="J27" s="4357"/>
      <c r="K27" s="974"/>
      <c r="L27" s="1968" t="s">
        <v>753</v>
      </c>
      <c r="M27" s="4004">
        <f ca="1">INDIRECT("'数据-取费表'!aa"&amp;$G$1)</f>
        <v>0</v>
      </c>
    </row>
    <row r="28" spans="1:37" s="1022" customFormat="1" ht="18" customHeight="1" thickBot="1">
      <c r="A28" s="3068" t="s">
        <v>3527</v>
      </c>
      <c r="B28" s="2990" t="s">
        <v>3525</v>
      </c>
      <c r="C28" s="3015">
        <f ca="1">ROUND(C25*(1+F28),0)</f>
        <v>1956554</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127.64</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15329</v>
      </c>
      <c r="D29" s="238" t="s">
        <v>3530</v>
      </c>
      <c r="E29" s="239" t="s">
        <v>765</v>
      </c>
      <c r="F29" s="3053">
        <f ca="1">INDIRECT("'数据-取费表'!k"&amp;$G$1)</f>
        <v>127.64</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589309</v>
      </c>
      <c r="D31" s="3004" t="s">
        <v>3461</v>
      </c>
      <c r="E31" s="3000"/>
      <c r="F31" s="3001"/>
      <c r="G31" s="1011"/>
      <c r="H31" s="3021" t="s">
        <v>3453</v>
      </c>
      <c r="I31" s="3024" t="s">
        <v>3499</v>
      </c>
      <c r="J31" s="3025">
        <f ca="1">C47</f>
        <v>727236</v>
      </c>
      <c r="K31" s="3635" t="s">
        <v>3495</v>
      </c>
      <c r="L31" s="3026"/>
      <c r="M31" s="3441"/>
    </row>
    <row r="32" spans="1:37" ht="18" customHeight="1">
      <c r="A32" s="2958" t="s">
        <v>391</v>
      </c>
      <c r="B32" s="2922" t="s">
        <v>694</v>
      </c>
      <c r="C32" s="2856">
        <f ca="1">ROUND(INDIRECT("'数据-取费表'!l"&amp;$G$1)*F29+'数据-取费表'!L14*INDIRECT("'数据-取费表'!S"&amp;$G$1),0)</f>
        <v>526898</v>
      </c>
      <c r="D32" s="974" t="s">
        <v>695</v>
      </c>
      <c r="E32" s="974"/>
      <c r="F32" s="234"/>
      <c r="G32" s="1011"/>
      <c r="H32" s="3022" t="s">
        <v>396</v>
      </c>
      <c r="I32" s="3027" t="s">
        <v>3481</v>
      </c>
      <c r="J32" s="2905">
        <f ca="1">ROUND(J31*(1-M32),0)</f>
        <v>727236</v>
      </c>
      <c r="K32" s="205" t="s">
        <v>3484</v>
      </c>
      <c r="L32" s="2977" t="s">
        <v>3502</v>
      </c>
      <c r="M32" s="215">
        <f ca="1">INDIRECT("'数据-取费表'!ad"&amp;$G$1)</f>
        <v>0</v>
      </c>
    </row>
    <row r="33" spans="1:17" ht="18" customHeight="1" thickBot="1">
      <c r="A33" s="2958" t="s">
        <v>3442</v>
      </c>
      <c r="B33" s="2922" t="s">
        <v>697</v>
      </c>
      <c r="C33" s="2961">
        <f ca="1">ROUND(C32*F33,0)</f>
        <v>26345</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25528</v>
      </c>
      <c r="D35" s="205" t="s">
        <v>704</v>
      </c>
      <c r="E35" s="205" t="s">
        <v>705</v>
      </c>
      <c r="F35" s="3981">
        <f>'数据-取费表'!B35</f>
        <v>200</v>
      </c>
      <c r="G35" s="1011"/>
    </row>
    <row r="36" spans="1:17" ht="18" customHeight="1">
      <c r="A36" s="2958" t="s">
        <v>669</v>
      </c>
      <c r="B36" s="2980" t="s">
        <v>3320</v>
      </c>
      <c r="C36" s="2961">
        <f ca="1">ROUND(C32*F36,0)</f>
        <v>5269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5269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11786</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18814+0.0006V建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18814</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90164+0.003V建</v>
      </c>
      <c r="D43" s="2942" t="s">
        <v>3478</v>
      </c>
      <c r="E43" s="219"/>
      <c r="F43" s="3047"/>
      <c r="G43" s="1011"/>
      <c r="H43" s="62"/>
      <c r="I43" s="62"/>
      <c r="J43" s="62"/>
      <c r="K43" s="1961"/>
      <c r="L43" s="62"/>
      <c r="M43" s="62"/>
    </row>
    <row r="44" spans="1:17" ht="18" customHeight="1">
      <c r="A44" s="2958" t="s">
        <v>391</v>
      </c>
      <c r="B44" s="205" t="s">
        <v>741</v>
      </c>
      <c r="C44" s="2961">
        <f ca="1">ROUND((C31+C38)*F44,0)</f>
        <v>90164</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727236</v>
      </c>
      <c r="D47" s="3009" t="s">
        <v>3495</v>
      </c>
      <c r="E47" s="2993"/>
      <c r="F47" s="3050"/>
      <c r="K47" s="1027"/>
      <c r="Q47" s="3984"/>
    </row>
    <row r="48" spans="1:17" s="1011" customFormat="1" ht="18" customHeight="1">
      <c r="A48" s="2997" t="s">
        <v>3479</v>
      </c>
      <c r="B48" s="2996" t="s">
        <v>3481</v>
      </c>
      <c r="C48" s="3015">
        <f ca="1">ROUND(C47*(1-F48),0)</f>
        <v>130902</v>
      </c>
      <c r="D48" s="205" t="s">
        <v>3484</v>
      </c>
      <c r="E48" s="205" t="s">
        <v>693</v>
      </c>
      <c r="F48" s="3046">
        <f ca="1">INDIRECT("'数据-取费表'!y"&amp;$G$1)</f>
        <v>0.82</v>
      </c>
      <c r="K48" s="1027"/>
      <c r="Q48" s="3984"/>
    </row>
    <row r="49" spans="1:18" s="1011" customFormat="1" ht="18" customHeight="1" thickBot="1">
      <c r="A49" s="2998" t="s">
        <v>3482</v>
      </c>
      <c r="B49" s="3007" t="s">
        <v>3492</v>
      </c>
      <c r="C49" s="3029">
        <f ca="1">C47-C48</f>
        <v>596334</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-1998140</v>
      </c>
      <c r="D51" s="1031" t="str">
        <f>C2</f>
        <v>万元</v>
      </c>
      <c r="E51" s="1025"/>
      <c r="F51" s="1025"/>
      <c r="I51" s="1032" t="s">
        <v>797</v>
      </c>
      <c r="J51" s="1033"/>
      <c r="K51" s="1034"/>
      <c r="L51" s="3409">
        <f ca="1">IF(M52="住宅",0,IF(L53&gt;J56,L65,J65))</f>
        <v>21408</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1795004</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21408</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727236</v>
      </c>
      <c r="R54" s="1045" t="s">
        <v>805</v>
      </c>
    </row>
    <row r="55" spans="1:18" s="1011" customFormat="1" ht="13.5" thickBot="1">
      <c r="A55" s="705" t="s">
        <v>3489</v>
      </c>
      <c r="B55" s="3005" t="s">
        <v>3487</v>
      </c>
      <c r="C55" s="3034">
        <f ca="1">ROUND(F54*F56*F55,0)</f>
        <v>0</v>
      </c>
      <c r="D55" s="682"/>
      <c r="E55" s="757" t="s">
        <v>684</v>
      </c>
      <c r="F55" s="3040">
        <f ca="1">F7</f>
        <v>127.64</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1416694</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43" t="s">
        <v>824</v>
      </c>
      <c r="L58" s="4344"/>
      <c r="O58" s="1043" t="s">
        <v>403</v>
      </c>
      <c r="P58" s="1044" t="s">
        <v>825</v>
      </c>
      <c r="Q58" s="3987">
        <f ca="1">Q52+Q53</f>
        <v>1816412</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596334</v>
      </c>
      <c r="D61" s="1070"/>
      <c r="E61" s="1071"/>
      <c r="F61" s="1063"/>
      <c r="I61" s="1072" t="s">
        <v>829</v>
      </c>
      <c r="J61" s="1073" t="s">
        <v>3753</v>
      </c>
      <c r="K61" s="1046" t="s">
        <v>830</v>
      </c>
      <c r="L61" s="3407" t="str">
        <f ca="1">IF(L53&lt;J56,"——",L53-J58)</f>
        <v>——</v>
      </c>
      <c r="O61" s="1043" t="s">
        <v>397</v>
      </c>
      <c r="P61" s="1044" t="s">
        <v>804</v>
      </c>
      <c r="Q61" s="3987">
        <f ca="1">C25+J28</f>
        <v>1795004</v>
      </c>
      <c r="R61" s="1045" t="s">
        <v>805</v>
      </c>
    </row>
    <row r="62" spans="1:18" s="1011" customFormat="1" ht="24.75" thickBot="1">
      <c r="A62" s="1074"/>
      <c r="B62" s="679" t="s">
        <v>754</v>
      </c>
      <c r="C62" s="3036">
        <f ca="1">C47</f>
        <v>727236</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1866</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-184</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290894</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-184</v>
      </c>
      <c r="D65" s="3011" t="s">
        <v>3496</v>
      </c>
      <c r="E65" s="205" t="s">
        <v>3485</v>
      </c>
      <c r="F65" s="3045">
        <f>F15</f>
        <v>0.1</v>
      </c>
      <c r="I65" s="1081" t="s">
        <v>840</v>
      </c>
      <c r="J65" s="3415">
        <f ca="1">IF(OR(M52="住宅",J56&lt;L53,J61="是"),"0",IF(D2="含税",ROUND((J64/(1+J57)^J58)*(1+M16),0),ROUND(J64/(1+J57)^J58,0)))</f>
        <v>21408</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167</v>
      </c>
      <c r="D67" s="2989" t="s">
        <v>3452</v>
      </c>
      <c r="E67" s="2989"/>
      <c r="F67" s="3045">
        <f t="shared" si="0"/>
        <v>0.06</v>
      </c>
      <c r="I67" s="1085" t="s">
        <v>845</v>
      </c>
      <c r="J67" s="1086" t="s">
        <v>846</v>
      </c>
      <c r="K67" s="1086" t="s">
        <v>847</v>
      </c>
      <c r="L67" s="1086" t="s">
        <v>848</v>
      </c>
      <c r="M67" s="1087" t="s">
        <v>849</v>
      </c>
      <c r="O67" s="1043" t="s">
        <v>403</v>
      </c>
      <c r="P67" s="1044" t="s">
        <v>825</v>
      </c>
      <c r="Q67" s="3987">
        <f ca="1">Q61+Q62</f>
        <v>1795004</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1795004</v>
      </c>
      <c r="R70" s="1045" t="s">
        <v>805</v>
      </c>
    </row>
    <row r="71" spans="1:18" s="1011" customFormat="1" ht="16.5" thickBot="1">
      <c r="A71" s="711" t="s">
        <v>776</v>
      </c>
      <c r="B71" s="679" t="s">
        <v>777</v>
      </c>
      <c r="C71" s="2960">
        <f ca="1">ROUND(C62*F71,0)</f>
        <v>1454</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596</v>
      </c>
      <c r="D72" s="693" t="s">
        <v>3494</v>
      </c>
      <c r="E72" s="679" t="s">
        <v>699</v>
      </c>
      <c r="F72" s="3049">
        <f t="shared" ca="1" si="0"/>
        <v>1E-3</v>
      </c>
      <c r="O72" s="1052" t="s">
        <v>399</v>
      </c>
      <c r="P72" s="1044" t="s">
        <v>837</v>
      </c>
      <c r="Q72" s="3992">
        <f ca="1">L56</f>
        <v>1416694</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77974</v>
      </c>
      <c r="R73" s="1045" t="s">
        <v>408</v>
      </c>
    </row>
    <row r="74" spans="1:18" s="1011" customFormat="1" ht="13.5" thickBot="1">
      <c r="A74" s="686" t="s">
        <v>388</v>
      </c>
      <c r="B74" s="696" t="s">
        <v>739</v>
      </c>
      <c r="C74" s="3015">
        <f ca="1">C53-C63</f>
        <v>-1866</v>
      </c>
      <c r="D74" s="692" t="s">
        <v>740</v>
      </c>
      <c r="E74" s="697"/>
      <c r="F74" s="3051"/>
      <c r="O74" s="1052" t="s">
        <v>405</v>
      </c>
      <c r="P74" s="1090" t="s">
        <v>859</v>
      </c>
      <c r="Q74" s="3992">
        <f ca="1">C24</f>
        <v>87792</v>
      </c>
      <c r="R74" s="1045" t="s">
        <v>805</v>
      </c>
    </row>
    <row r="75" spans="1:18" s="1011" customFormat="1" ht="13.5" thickBot="1">
      <c r="A75" s="3637" t="s">
        <v>389</v>
      </c>
      <c r="B75" s="677" t="s">
        <v>761</v>
      </c>
      <c r="C75" s="3020">
        <f ca="1">ROUND(C74*(1-((1+F77)/(1+F75))^F76)/(F75-F77),0)</f>
        <v>-38152</v>
      </c>
      <c r="D75" s="3070" t="s">
        <v>745</v>
      </c>
      <c r="E75" s="679" t="s">
        <v>746</v>
      </c>
      <c r="F75" s="3050">
        <f ca="1">F25</f>
        <v>5.5E-2</v>
      </c>
      <c r="O75" s="1052" t="s">
        <v>406</v>
      </c>
      <c r="P75" s="1090" t="s">
        <v>860</v>
      </c>
      <c r="Q75" s="3992">
        <f ca="1">C48</f>
        <v>130902</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-41586</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-326</v>
      </c>
      <c r="D79" s="702" t="s">
        <v>3530</v>
      </c>
      <c r="E79" s="703" t="s">
        <v>765</v>
      </c>
      <c r="F79" s="3053">
        <f ca="1">F29</f>
        <v>127.64</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1795004</v>
      </c>
      <c r="R80" s="1045" t="s">
        <v>404</v>
      </c>
    </row>
    <row r="81" spans="1:12">
      <c r="A81" s="1011"/>
      <c r="B81" s="187" t="s">
        <v>862</v>
      </c>
      <c r="C81" s="1092"/>
      <c r="D81" s="1011"/>
      <c r="E81" s="1011"/>
      <c r="F81" s="1011"/>
      <c r="I81" s="1011"/>
      <c r="J81" s="1011"/>
      <c r="K81" s="1027"/>
      <c r="L81" s="1011"/>
    </row>
    <row r="82" spans="1:12">
      <c r="A82" s="1011"/>
      <c r="B82" s="241" t="s">
        <v>782</v>
      </c>
      <c r="C82" s="3125">
        <f ca="1">ROUND(C48*C83,0)</f>
        <v>9818</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0.88800000000000001</v>
      </c>
    </row>
    <row r="87" spans="1:12">
      <c r="B87" s="241" t="s">
        <v>787</v>
      </c>
      <c r="C87" s="3126">
        <f ca="1">ROUND(C82/C24,3)</f>
        <v>0.112</v>
      </c>
    </row>
    <row r="88" spans="1:12">
      <c r="B88" s="184" t="s">
        <v>788</v>
      </c>
      <c r="C88" s="152"/>
    </row>
    <row r="89" spans="1:12">
      <c r="B89" s="187" t="s">
        <v>789</v>
      </c>
      <c r="C89" s="3127">
        <f ca="1">1-C90</f>
        <v>0.67199999999999993</v>
      </c>
    </row>
    <row r="90" spans="1:12">
      <c r="B90" s="187" t="s">
        <v>790</v>
      </c>
      <c r="C90" s="3126">
        <f ca="1">ROUND(C49/(C25+J28+L51),3)</f>
        <v>0.32800000000000001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9" t="s">
        <v>681</v>
      </c>
      <c r="C6" s="775">
        <f ca="1">ROUND(F6*F8*F7*(1-F9),0)</f>
        <v>0</v>
      </c>
      <c r="D6" s="74" t="s">
        <v>2031</v>
      </c>
      <c r="E6" s="205" t="s">
        <v>683</v>
      </c>
      <c r="F6" s="206">
        <f ca="1">INDIRECT("'数据-取费表'!u"&amp;$G$1)</f>
        <v>0</v>
      </c>
      <c r="G6" s="1011"/>
      <c r="H6" s="770" t="s">
        <v>392</v>
      </c>
      <c r="I6" s="4449" t="s">
        <v>681</v>
      </c>
      <c r="J6" s="204">
        <f ca="1">ROUND(M6*M8*M7*(1-M9),0)</f>
        <v>0</v>
      </c>
      <c r="K6" s="1003" t="s">
        <v>2032</v>
      </c>
      <c r="L6" s="205" t="s">
        <v>683</v>
      </c>
      <c r="M6" s="206">
        <f ca="1">INDIRECT("'数据-取费表'!z"&amp;$G$1)</f>
        <v>0</v>
      </c>
    </row>
    <row r="7" spans="1:37" ht="18" customHeight="1">
      <c r="A7" s="774"/>
      <c r="B7" s="4450"/>
      <c r="C7" s="776"/>
      <c r="D7" s="210"/>
      <c r="E7" s="777" t="s">
        <v>684</v>
      </c>
      <c r="F7" s="206">
        <f ca="1">IF(INDIRECT("'数据-取费表'!ah"&amp;$G$1)="",INDIRECT("'数据-取费表'!k"&amp;$G$1),INDIRECT("'数据-取费表'!ah"&amp;$G$1))</f>
        <v>0</v>
      </c>
      <c r="G7" s="1011"/>
      <c r="H7" s="207"/>
      <c r="I7" s="4450"/>
      <c r="J7" s="209"/>
      <c r="K7" s="210"/>
      <c r="L7" s="205" t="s">
        <v>684</v>
      </c>
      <c r="M7" s="206">
        <f ca="1">F7</f>
        <v>0</v>
      </c>
    </row>
    <row r="8" spans="1:37" ht="18" customHeight="1">
      <c r="A8" s="207"/>
      <c r="B8" s="4450"/>
      <c r="C8" s="209"/>
      <c r="D8" s="210"/>
      <c r="E8" s="205" t="s">
        <v>685</v>
      </c>
      <c r="F8" s="206">
        <f ca="1">INDIRECT("'数据-取费表'!ai"&amp;$G$1)</f>
        <v>0</v>
      </c>
      <c r="G8" s="1011"/>
      <c r="H8" s="207"/>
      <c r="I8" s="4450"/>
      <c r="J8" s="209"/>
      <c r="K8" s="210"/>
      <c r="L8" s="205" t="s">
        <v>685</v>
      </c>
      <c r="M8" s="206">
        <f ca="1">INDIRECT("'数据-取费表'!ai"&amp;$G$1)</f>
        <v>0</v>
      </c>
    </row>
    <row r="9" spans="1:37" ht="18" customHeight="1">
      <c r="A9" s="207"/>
      <c r="B9" s="4451"/>
      <c r="C9" s="209"/>
      <c r="D9" s="210"/>
      <c r="E9" s="205" t="s">
        <v>686</v>
      </c>
      <c r="F9" s="215">
        <f ca="1">INDIRECT("'数据-取费表'!w"&amp;$G$1)</f>
        <v>0</v>
      </c>
      <c r="G9" s="1011"/>
      <c r="H9" s="207"/>
      <c r="I9" s="4451"/>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43" t="s">
        <v>824</v>
      </c>
      <c r="L53" s="4344"/>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52" t="s">
        <v>2231</v>
      </c>
      <c r="K2" s="4453"/>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54" t="s">
        <v>2241</v>
      </c>
      <c r="K3" s="4455"/>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54" t="s">
        <v>2243</v>
      </c>
      <c r="K4" s="4455"/>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56" t="s">
        <v>2247</v>
      </c>
      <c r="B6" s="4457"/>
      <c r="C6" s="4458"/>
      <c r="D6" s="4011"/>
      <c r="E6" s="2208"/>
      <c r="F6" s="2209"/>
      <c r="G6" s="2210"/>
      <c r="H6" s="2188"/>
      <c r="I6" s="2189"/>
      <c r="J6" s="4459">
        <v>1</v>
      </c>
      <c r="K6" s="4460"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59"/>
      <c r="K7" s="4461"/>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63" t="s">
        <v>2261</v>
      </c>
      <c r="C8" s="4464"/>
      <c r="D8" s="2224" t="s">
        <v>2262</v>
      </c>
      <c r="E8" s="2225" t="s">
        <v>2263</v>
      </c>
      <c r="F8" s="2226" t="s">
        <v>2264</v>
      </c>
      <c r="G8" s="2227"/>
      <c r="H8" s="2188"/>
      <c r="I8" s="2189"/>
      <c r="J8" s="4459"/>
      <c r="K8" s="4461"/>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63" t="s">
        <v>2267</v>
      </c>
      <c r="C9" s="4464"/>
      <c r="D9" s="4013">
        <f>ROUND(D6*E9,0)</f>
        <v>0</v>
      </c>
      <c r="E9" s="4014"/>
      <c r="F9" s="2228" t="s">
        <v>2268</v>
      </c>
      <c r="G9" s="2210"/>
      <c r="H9" s="2188"/>
      <c r="I9" s="2189"/>
      <c r="J9" s="4459"/>
      <c r="K9" s="4461"/>
      <c r="L9" s="2219" t="s">
        <v>2269</v>
      </c>
      <c r="M9" s="4042"/>
      <c r="N9" s="2232"/>
      <c r="O9" s="2232"/>
      <c r="P9" s="2232"/>
      <c r="Q9" s="2232">
        <v>365</v>
      </c>
      <c r="R9" s="4043">
        <f t="shared" si="0"/>
        <v>0</v>
      </c>
      <c r="S9" s="2182"/>
      <c r="T9" s="2182"/>
      <c r="U9" s="2182"/>
      <c r="V9" s="2189"/>
    </row>
    <row r="10" spans="1:22" s="2193" customFormat="1" ht="13.15" customHeight="1">
      <c r="A10" s="2223">
        <v>2</v>
      </c>
      <c r="B10" s="4463" t="s">
        <v>2270</v>
      </c>
      <c r="C10" s="4464"/>
      <c r="D10" s="4013">
        <f>ROUND(D6*E10,0)</f>
        <v>0</v>
      </c>
      <c r="E10" s="4014"/>
      <c r="F10" s="2228" t="s">
        <v>2271</v>
      </c>
      <c r="G10" s="2210"/>
      <c r="H10" s="2188"/>
      <c r="I10" s="2189"/>
      <c r="J10" s="4459"/>
      <c r="K10" s="4461"/>
      <c r="L10" s="2219" t="s">
        <v>2272</v>
      </c>
      <c r="M10" s="4042"/>
      <c r="N10" s="2232"/>
      <c r="O10" s="2232"/>
      <c r="P10" s="2232"/>
      <c r="Q10" s="2232">
        <v>365</v>
      </c>
      <c r="R10" s="4043">
        <f t="shared" si="0"/>
        <v>0</v>
      </c>
      <c r="S10" s="2182"/>
      <c r="T10" s="2182"/>
      <c r="U10" s="2182"/>
      <c r="V10" s="2189"/>
    </row>
    <row r="11" spans="1:22" s="2193" customFormat="1" ht="13.15" customHeight="1">
      <c r="A11" s="2223">
        <v>3</v>
      </c>
      <c r="B11" s="4463" t="s">
        <v>2273</v>
      </c>
      <c r="C11" s="4464"/>
      <c r="D11" s="4013">
        <f>D12+D14+D15+D16</f>
        <v>0</v>
      </c>
      <c r="E11" s="4015" t="e">
        <f>D11/D6</f>
        <v>#DIV/0!</v>
      </c>
      <c r="F11" s="2226"/>
      <c r="G11" s="2227"/>
      <c r="H11" s="2188"/>
      <c r="I11" s="2189"/>
      <c r="J11" s="4459"/>
      <c r="K11" s="4461"/>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65" t="s">
        <v>2276</v>
      </c>
      <c r="C12" s="4466"/>
      <c r="D12" s="4016">
        <f>ROUND(D13*1.2%*(1-30%),0)</f>
        <v>0</v>
      </c>
      <c r="E12" s="4017">
        <v>1.2E-2</v>
      </c>
      <c r="F12" s="2226" t="s">
        <v>2277</v>
      </c>
      <c r="G12" s="2227"/>
      <c r="H12" s="2188"/>
      <c r="I12" s="2189"/>
      <c r="J12" s="4459"/>
      <c r="K12" s="4461"/>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59"/>
      <c r="K13" s="4461"/>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65" t="s">
        <v>2282</v>
      </c>
      <c r="C14" s="4466"/>
      <c r="D14" s="4016">
        <f>ROUND(E14*B5/10000,0)</f>
        <v>0</v>
      </c>
      <c r="E14" s="4019"/>
      <c r="F14" s="2226" t="s">
        <v>2283</v>
      </c>
      <c r="G14" s="2227"/>
      <c r="H14" s="2188"/>
      <c r="I14" s="2189"/>
      <c r="J14" s="4459"/>
      <c r="K14" s="4462"/>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65" t="s">
        <v>2286</v>
      </c>
      <c r="C15" s="4466"/>
      <c r="D15" s="4016">
        <f>ROUND(D6*E15,0)</f>
        <v>0</v>
      </c>
      <c r="E15" s="4017">
        <v>5.5E-2</v>
      </c>
      <c r="F15" s="2226" t="s">
        <v>2287</v>
      </c>
      <c r="G15" s="2210"/>
      <c r="H15" s="2188"/>
      <c r="I15" s="2189"/>
      <c r="J15" s="4459">
        <v>2</v>
      </c>
      <c r="K15" s="4460"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65" t="s">
        <v>2295</v>
      </c>
      <c r="C16" s="4466"/>
      <c r="D16" s="4020">
        <f>D6*E16</f>
        <v>0</v>
      </c>
      <c r="E16" s="4021"/>
      <c r="F16" s="2228" t="s">
        <v>2296</v>
      </c>
      <c r="G16" s="2210"/>
      <c r="H16" s="2188"/>
      <c r="I16" s="2189"/>
      <c r="J16" s="4459"/>
      <c r="K16" s="4461"/>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67" t="s">
        <v>2298</v>
      </c>
      <c r="C17" s="4468"/>
      <c r="D17" s="4022">
        <f>ROUND(D6*E17,0)</f>
        <v>0</v>
      </c>
      <c r="E17" s="4023"/>
      <c r="F17" s="2240" t="s">
        <v>2299</v>
      </c>
      <c r="G17" s="2210"/>
      <c r="H17" s="2188"/>
      <c r="I17" s="2189"/>
      <c r="J17" s="4459"/>
      <c r="K17" s="4461"/>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59"/>
      <c r="K18" s="4461"/>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59"/>
      <c r="K19" s="4462"/>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59">
        <v>3</v>
      </c>
      <c r="K20" s="4460"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59"/>
      <c r="K21" s="4461"/>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59"/>
      <c r="K22" s="4461"/>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59"/>
      <c r="K23" s="4461"/>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59"/>
      <c r="K24" s="4462"/>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69">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70"/>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52" t="s">
        <v>2231</v>
      </c>
      <c r="K32" s="4453"/>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54" t="s">
        <v>2241</v>
      </c>
      <c r="K33" s="4455"/>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54" t="s">
        <v>2243</v>
      </c>
      <c r="K34" s="4455"/>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59">
        <v>1</v>
      </c>
      <c r="K36" s="4460"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59"/>
      <c r="K37" s="4461"/>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59"/>
      <c r="K38" s="4461"/>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59"/>
      <c r="K39" s="4461"/>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59"/>
      <c r="K40" s="4462"/>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69">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70"/>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197.7962</v>
      </c>
      <c r="C2" s="1432" t="s">
        <v>1578</v>
      </c>
      <c r="D2" s="1433" t="s">
        <v>1579</v>
      </c>
      <c r="E2" s="3172">
        <f>SUM(E6:E13)</f>
        <v>127.64</v>
      </c>
      <c r="F2" s="2076"/>
      <c r="G2" s="1108"/>
      <c r="H2" s="1108"/>
      <c r="I2" s="1108"/>
      <c r="J2" s="1108"/>
      <c r="K2" s="1108"/>
      <c r="L2" s="1108"/>
      <c r="M2" s="1108"/>
      <c r="N2" s="1108"/>
      <c r="O2" s="1108"/>
      <c r="P2" s="1108"/>
      <c r="Q2" s="1108"/>
      <c r="R2" s="1108"/>
      <c r="S2" s="1108"/>
    </row>
    <row r="3" spans="1:22" ht="15.75">
      <c r="A3" s="1431" t="s">
        <v>673</v>
      </c>
      <c r="B3" s="3171">
        <f ca="1">ROUND(B2*10000/E2,0)</f>
        <v>15496</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71" t="s">
        <v>1581</v>
      </c>
      <c r="C5" s="4472"/>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197.7962</v>
      </c>
      <c r="C6" s="1432" t="s">
        <v>1578</v>
      </c>
      <c r="D6" s="2076"/>
      <c r="E6" s="3173">
        <f>IF(OR(A6=0,F6="否"),0,'数据-取费表'!K6+'数据-取费表'!S6)</f>
        <v>127.64</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估价对象为北京市房地产，为所有。根据《国有土地使用证》[]，估价对象（分摊）出让国有建设用地使用权面积为0平方米，建筑面积为127.64平方米。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估价对象为北京市房地产,属开发建设的，该项目尚在开发建设中。根据《国有土地使用证》[]，估价对象（分摊）出让国有建设用地使用权面积为0平方米，规划建筑面积为127.64平方米。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5" sqref="U35"/>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7.375" style="21" bestFit="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76" t="s">
        <v>2011</v>
      </c>
      <c r="D1" s="4477"/>
      <c r="E1" s="4477"/>
      <c r="F1" s="4477"/>
      <c r="G1" s="4477"/>
      <c r="H1" s="4477"/>
      <c r="I1" s="4477"/>
      <c r="J1" s="4477"/>
      <c r="K1" s="4477"/>
      <c r="L1" s="4477"/>
      <c r="M1" s="4477"/>
      <c r="N1" s="4477"/>
      <c r="O1" s="4477"/>
      <c r="P1" s="4477"/>
      <c r="Q1" s="4477"/>
      <c r="R1" s="4477"/>
      <c r="S1" s="4478"/>
      <c r="T1" s="712" t="s">
        <v>2012</v>
      </c>
    </row>
    <row r="2" spans="1:45" s="485" customFormat="1" ht="25.5">
      <c r="A2" s="713"/>
      <c r="B2" s="482" t="s">
        <v>2013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5" t="s">
        <v>3857</v>
      </c>
      <c r="C5" s="4126" t="s">
        <v>3859</v>
      </c>
      <c r="D5" s="4127" t="s">
        <v>3860</v>
      </c>
      <c r="E5" s="4127" t="s">
        <v>3861</v>
      </c>
      <c r="F5" s="4128" t="s">
        <v>3862</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3817</v>
      </c>
      <c r="D17" s="4116" t="s">
        <v>3818</v>
      </c>
      <c r="E17" s="4116" t="s">
        <v>3819</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2061</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19443</v>
      </c>
      <c r="C21" s="78"/>
      <c r="D21" s="78"/>
      <c r="E21" s="78"/>
      <c r="F21" s="78"/>
      <c r="G21" s="78"/>
      <c r="H21" s="78"/>
      <c r="I21" s="78"/>
      <c r="J21" s="78"/>
      <c r="K21" s="78"/>
      <c r="L21" s="78"/>
      <c r="M21" s="78"/>
      <c r="N21" s="78"/>
      <c r="O21" s="78"/>
      <c r="P21" s="78"/>
      <c r="Q21" s="78"/>
      <c r="R21" s="78"/>
      <c r="S21" s="62"/>
      <c r="T21" s="4140" t="s">
        <v>3875</v>
      </c>
      <c r="U21" s="4140" t="s">
        <v>3876</v>
      </c>
    </row>
    <row r="22" spans="1:45">
      <c r="A22" s="219" t="s">
        <v>2025</v>
      </c>
      <c r="B22" s="18">
        <f>SUM(B24:B10000)</f>
        <v>1060.03</v>
      </c>
      <c r="C22" s="4473" t="s">
        <v>25</v>
      </c>
      <c r="D22" s="4474"/>
      <c r="E22" s="4474"/>
      <c r="F22" s="4474"/>
      <c r="G22" s="4474"/>
      <c r="H22" s="4474"/>
      <c r="I22" s="4474"/>
      <c r="J22" s="4474"/>
      <c r="K22" s="4474"/>
      <c r="L22" s="4474"/>
      <c r="M22" s="4474"/>
      <c r="N22" s="4474"/>
      <c r="O22" s="4474"/>
      <c r="P22" s="4474"/>
      <c r="Q22" s="4475"/>
      <c r="R22" s="2961">
        <f ca="1">ROUND(S22*10000/B22,0)</f>
        <v>19443</v>
      </c>
      <c r="S22" s="2961">
        <f ca="1">SUM(S24:S10000)</f>
        <v>2061</v>
      </c>
      <c r="T22" s="530">
        <f ca="1">SUM(T24:T31)</f>
        <v>20605738</v>
      </c>
      <c r="U22" s="530">
        <f ca="1">ROUND(T22/B22,0)</f>
        <v>19439</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Sheet1!A17</f>
        <v>401</v>
      </c>
      <c r="B24" s="3602">
        <f>Sheet1!C17</f>
        <v>127.64</v>
      </c>
      <c r="C24" s="3240">
        <v>1</v>
      </c>
      <c r="D24" s="3604" t="s">
        <v>3858</v>
      </c>
      <c r="E24" s="3240">
        <v>1</v>
      </c>
      <c r="F24" s="3604"/>
      <c r="G24" s="3240">
        <v>1</v>
      </c>
      <c r="H24" s="3604"/>
      <c r="I24" s="3240">
        <v>1</v>
      </c>
      <c r="J24" s="3604"/>
      <c r="K24" s="3240">
        <v>1</v>
      </c>
      <c r="L24" s="3604"/>
      <c r="M24" s="3240">
        <v>1</v>
      </c>
      <c r="N24" s="3604"/>
      <c r="O24" s="3240">
        <v>1</v>
      </c>
      <c r="P24" s="3604" t="s">
        <v>3871</v>
      </c>
      <c r="Q24" s="3240">
        <v>1</v>
      </c>
      <c r="R24" s="3599">
        <f ca="1">结果表!G20</f>
        <v>19416</v>
      </c>
      <c r="S24" s="3600">
        <f t="shared" ref="S24:S54" ca="1" si="11">ROUND(R24*B24/10000,0)</f>
        <v>248</v>
      </c>
      <c r="T24" s="4141">
        <f ca="1">ROUND(B24*R24,0)</f>
        <v>2478258</v>
      </c>
      <c r="U24" s="4141"/>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Sheet1!A18</f>
        <v>402</v>
      </c>
      <c r="B25" s="3602">
        <f>Sheet1!C18</f>
        <v>127.64</v>
      </c>
      <c r="C25" s="3241">
        <f>IF(B25="",1,(LOOKUP(B25,$3:$3,$4:$4)-LOOKUP($B$24,$3:$3,$4:$4)+100)/100)</f>
        <v>1</v>
      </c>
      <c r="D25" s="3604" t="s">
        <v>3858</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3871</v>
      </c>
      <c r="Q25" s="3241">
        <f>(SUMIF($17:$17,P25,$18:$18)-SUMIF($17:$17,$P$24,$18:$18)+100)/100</f>
        <v>1</v>
      </c>
      <c r="R25" s="2961">
        <f ca="1">IF(B25="",0,ROUND($R$24*C25*E25*G25*I25*K25*M25*O25*Q25,0))</f>
        <v>19416</v>
      </c>
      <c r="S25" s="3015">
        <f t="shared" ca="1" si="11"/>
        <v>248</v>
      </c>
      <c r="T25" s="4141">
        <f t="shared" ref="T25:T30" ca="1" si="12">ROUND(B25*R25,0)</f>
        <v>2478258</v>
      </c>
      <c r="U25" s="530"/>
    </row>
    <row r="26" spans="1:45">
      <c r="A26" s="4109">
        <f>Sheet1!A19</f>
        <v>403</v>
      </c>
      <c r="B26" s="3602">
        <f>Sheet1!C19</f>
        <v>145.47</v>
      </c>
      <c r="C26" s="3241">
        <f t="shared" ref="C26:C89" si="13">IF(B26="",1,(LOOKUP(B26,$3:$3,$4:$4)-LOOKUP($B$24,$3:$3,$4:$4)+100)/100)</f>
        <v>1</v>
      </c>
      <c r="D26" s="3604" t="s">
        <v>3858</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3871</v>
      </c>
      <c r="Q26" s="3241">
        <f t="shared" ref="Q26:Q89" si="20">(SUMIF($17:$17,P26,$18:$18)-SUMIF($17:$17,$P$24,$18:$18)+100)/100</f>
        <v>1</v>
      </c>
      <c r="R26" s="2961">
        <f t="shared" ref="R26:R89" ca="1" si="21">IF(B26="",0,ROUND($R$24*C26*E26*G26*I26*K26*M26*O26*Q26,0))</f>
        <v>19416</v>
      </c>
      <c r="S26" s="3015">
        <f t="shared" ca="1" si="11"/>
        <v>282</v>
      </c>
      <c r="T26" s="4141">
        <f t="shared" ca="1" si="12"/>
        <v>2824446</v>
      </c>
      <c r="U26" s="530"/>
    </row>
    <row r="27" spans="1:45">
      <c r="A27" s="4109">
        <f>Sheet1!A20</f>
        <v>404</v>
      </c>
      <c r="B27" s="3602">
        <f>Sheet1!C20</f>
        <v>163.01</v>
      </c>
      <c r="C27" s="3241">
        <f t="shared" si="13"/>
        <v>1</v>
      </c>
      <c r="D27" s="3604" t="s">
        <v>3858</v>
      </c>
      <c r="E27" s="3241">
        <f t="shared" si="14"/>
        <v>1</v>
      </c>
      <c r="F27" s="3605"/>
      <c r="G27" s="3241">
        <f t="shared" si="15"/>
        <v>1</v>
      </c>
      <c r="H27" s="3605"/>
      <c r="I27" s="3241">
        <f t="shared" si="16"/>
        <v>1</v>
      </c>
      <c r="J27" s="3605"/>
      <c r="K27" s="3241">
        <f t="shared" si="17"/>
        <v>1</v>
      </c>
      <c r="L27" s="3605"/>
      <c r="M27" s="3241">
        <f t="shared" si="18"/>
        <v>1</v>
      </c>
      <c r="N27" s="3605"/>
      <c r="O27" s="3241">
        <f t="shared" si="19"/>
        <v>1</v>
      </c>
      <c r="P27" s="3604" t="s">
        <v>3871</v>
      </c>
      <c r="Q27" s="3241">
        <f t="shared" si="20"/>
        <v>1</v>
      </c>
      <c r="R27" s="2961">
        <f t="shared" ca="1" si="21"/>
        <v>19416</v>
      </c>
      <c r="S27" s="3015">
        <f t="shared" ca="1" si="11"/>
        <v>317</v>
      </c>
      <c r="T27" s="4141">
        <f t="shared" ca="1" si="12"/>
        <v>3165002</v>
      </c>
      <c r="U27" s="530"/>
    </row>
    <row r="28" spans="1:45">
      <c r="A28" s="4109">
        <f>Sheet1!A21</f>
        <v>406</v>
      </c>
      <c r="B28" s="3602">
        <f>Sheet1!C21</f>
        <v>204.18</v>
      </c>
      <c r="C28" s="3241">
        <f t="shared" si="13"/>
        <v>0.99</v>
      </c>
      <c r="D28" s="3604" t="s">
        <v>3858</v>
      </c>
      <c r="E28" s="3241">
        <f t="shared" si="14"/>
        <v>1</v>
      </c>
      <c r="F28" s="3605"/>
      <c r="G28" s="3241">
        <f t="shared" si="15"/>
        <v>1</v>
      </c>
      <c r="H28" s="3605"/>
      <c r="I28" s="3241">
        <f t="shared" si="16"/>
        <v>1</v>
      </c>
      <c r="J28" s="3605"/>
      <c r="K28" s="3241">
        <f t="shared" si="17"/>
        <v>1</v>
      </c>
      <c r="L28" s="3605"/>
      <c r="M28" s="3241">
        <f t="shared" si="18"/>
        <v>1</v>
      </c>
      <c r="N28" s="3605"/>
      <c r="O28" s="3241">
        <f t="shared" si="19"/>
        <v>1</v>
      </c>
      <c r="P28" s="3604" t="s">
        <v>3871</v>
      </c>
      <c r="Q28" s="3241">
        <f t="shared" si="20"/>
        <v>1</v>
      </c>
      <c r="R28" s="2961">
        <f t="shared" ca="1" si="21"/>
        <v>19222</v>
      </c>
      <c r="S28" s="3015">
        <f t="shared" ca="1" si="11"/>
        <v>392</v>
      </c>
      <c r="T28" s="4141">
        <f t="shared" ca="1" si="12"/>
        <v>3924748</v>
      </c>
      <c r="U28" s="530"/>
    </row>
    <row r="29" spans="1:45">
      <c r="A29" s="4109">
        <f>Sheet1!A22</f>
        <v>410</v>
      </c>
      <c r="B29" s="3602">
        <f>Sheet1!C22</f>
        <v>127.64</v>
      </c>
      <c r="C29" s="3241">
        <f t="shared" si="13"/>
        <v>1</v>
      </c>
      <c r="D29" s="3604" t="s">
        <v>3858</v>
      </c>
      <c r="E29" s="3241">
        <f t="shared" si="14"/>
        <v>1</v>
      </c>
      <c r="F29" s="3605"/>
      <c r="G29" s="3241">
        <f t="shared" si="15"/>
        <v>1</v>
      </c>
      <c r="H29" s="3605"/>
      <c r="I29" s="3241">
        <f t="shared" si="16"/>
        <v>1</v>
      </c>
      <c r="J29" s="3605"/>
      <c r="K29" s="3241">
        <f t="shared" si="17"/>
        <v>1</v>
      </c>
      <c r="L29" s="3605"/>
      <c r="M29" s="3241">
        <f t="shared" si="18"/>
        <v>1</v>
      </c>
      <c r="N29" s="3605"/>
      <c r="O29" s="3241">
        <f t="shared" si="19"/>
        <v>1</v>
      </c>
      <c r="P29" s="3604" t="s">
        <v>3871</v>
      </c>
      <c r="Q29" s="3241">
        <f t="shared" si="20"/>
        <v>1</v>
      </c>
      <c r="R29" s="2961">
        <f t="shared" ca="1" si="21"/>
        <v>19416</v>
      </c>
      <c r="S29" s="3015">
        <f t="shared" ca="1" si="11"/>
        <v>248</v>
      </c>
      <c r="T29" s="4141">
        <f t="shared" ca="1" si="12"/>
        <v>2478258</v>
      </c>
      <c r="U29" s="530"/>
    </row>
    <row r="30" spans="1:45">
      <c r="A30" s="4109">
        <f>Sheet1!A23</f>
        <v>1004</v>
      </c>
      <c r="B30" s="3602">
        <f>Sheet1!C23</f>
        <v>164.45</v>
      </c>
      <c r="C30" s="3241">
        <f t="shared" si="13"/>
        <v>1</v>
      </c>
      <c r="D30" s="3604" t="s">
        <v>3858</v>
      </c>
      <c r="E30" s="3241">
        <f t="shared" si="14"/>
        <v>1</v>
      </c>
      <c r="F30" s="3605"/>
      <c r="G30" s="3241">
        <f t="shared" si="15"/>
        <v>1</v>
      </c>
      <c r="H30" s="3605"/>
      <c r="I30" s="3241">
        <f t="shared" si="16"/>
        <v>1</v>
      </c>
      <c r="J30" s="3605"/>
      <c r="K30" s="3241">
        <f t="shared" si="17"/>
        <v>1</v>
      </c>
      <c r="L30" s="3605"/>
      <c r="M30" s="3241">
        <f t="shared" si="18"/>
        <v>1</v>
      </c>
      <c r="N30" s="3605"/>
      <c r="O30" s="3241">
        <f t="shared" si="19"/>
        <v>1</v>
      </c>
      <c r="P30" s="3604" t="s">
        <v>3805</v>
      </c>
      <c r="Q30" s="3241">
        <f t="shared" si="20"/>
        <v>1.02</v>
      </c>
      <c r="R30" s="2961">
        <f t="shared" ca="1" si="21"/>
        <v>19804</v>
      </c>
      <c r="S30" s="3015">
        <f t="shared" ca="1" si="11"/>
        <v>326</v>
      </c>
      <c r="T30" s="4141">
        <f t="shared" ca="1" si="12"/>
        <v>3256768</v>
      </c>
      <c r="U30" s="530"/>
    </row>
    <row r="31" spans="1:45">
      <c r="A31" s="4109"/>
      <c r="B31" s="3602"/>
      <c r="C31" s="3241">
        <f t="shared" si="13"/>
        <v>1</v>
      </c>
      <c r="D31" s="3604"/>
      <c r="E31" s="3241">
        <f t="shared" si="14"/>
        <v>0</v>
      </c>
      <c r="F31" s="3605"/>
      <c r="G31" s="3241">
        <f t="shared" si="15"/>
        <v>1</v>
      </c>
      <c r="H31" s="3605"/>
      <c r="I31" s="3241">
        <f t="shared" si="16"/>
        <v>1</v>
      </c>
      <c r="J31" s="3605"/>
      <c r="K31" s="3241">
        <f t="shared" si="17"/>
        <v>1</v>
      </c>
      <c r="L31" s="3605"/>
      <c r="M31" s="3241">
        <f t="shared" si="18"/>
        <v>1</v>
      </c>
      <c r="N31" s="3605"/>
      <c r="O31" s="3241">
        <f t="shared" si="19"/>
        <v>1</v>
      </c>
      <c r="P31" s="3604"/>
      <c r="Q31" s="3241">
        <f t="shared" si="20"/>
        <v>0.02</v>
      </c>
      <c r="R31" s="2961">
        <f t="shared" si="21"/>
        <v>0</v>
      </c>
      <c r="S31" s="3015">
        <f t="shared" si="11"/>
        <v>0</v>
      </c>
      <c r="T31" s="532"/>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127.64</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82" t="s">
        <v>1697</v>
      </c>
      <c r="D4" s="4383"/>
      <c r="E4" s="4384" t="s">
        <v>1698</v>
      </c>
      <c r="F4" s="4385"/>
      <c r="G4" s="4382" t="s">
        <v>1699</v>
      </c>
      <c r="H4" s="4383"/>
      <c r="I4" s="4382" t="s">
        <v>1700</v>
      </c>
      <c r="J4" s="4383"/>
      <c r="K4" s="3157" t="s">
        <v>1701</v>
      </c>
      <c r="L4" s="2083"/>
      <c r="M4" s="2084"/>
      <c r="N4" s="2084"/>
      <c r="O4" s="2084"/>
      <c r="P4" s="4386" t="s">
        <v>1702</v>
      </c>
      <c r="Q4" s="4387"/>
      <c r="R4" s="4368" t="s">
        <v>1698</v>
      </c>
      <c r="S4" s="4369"/>
      <c r="T4" s="4368" t="s">
        <v>1699</v>
      </c>
      <c r="U4" s="4369"/>
      <c r="V4" s="4394" t="s">
        <v>1700</v>
      </c>
      <c r="W4" s="4394"/>
      <c r="X4" s="984"/>
      <c r="Y4" s="4397" t="s">
        <v>1702</v>
      </c>
      <c r="Z4" s="4398"/>
      <c r="AA4" s="4363" t="s">
        <v>1698</v>
      </c>
      <c r="AB4" s="4479" t="s">
        <v>1699</v>
      </c>
      <c r="AC4" s="4363" t="s">
        <v>1700</v>
      </c>
    </row>
    <row r="5" spans="1:29" ht="15">
      <c r="A5" s="257"/>
      <c r="B5" s="258"/>
      <c r="C5" s="4374" t="s">
        <v>1600</v>
      </c>
      <c r="D5" s="4375"/>
      <c r="E5" s="4372" t="s">
        <v>1601</v>
      </c>
      <c r="F5" s="4373"/>
      <c r="G5" s="4374" t="s">
        <v>1602</v>
      </c>
      <c r="H5" s="4375"/>
      <c r="I5" s="4374" t="s">
        <v>1603</v>
      </c>
      <c r="J5" s="4375"/>
      <c r="K5" s="3157"/>
      <c r="L5" s="2083"/>
      <c r="M5" s="2084"/>
      <c r="N5" s="2084"/>
      <c r="O5" s="2084"/>
      <c r="P5" s="4388"/>
      <c r="Q5" s="4389"/>
      <c r="R5" s="4370"/>
      <c r="S5" s="4371"/>
      <c r="T5" s="4370"/>
      <c r="U5" s="4371"/>
      <c r="V5" s="4394"/>
      <c r="W5" s="4394"/>
      <c r="X5" s="984"/>
      <c r="Y5" s="4399"/>
      <c r="Z5" s="4400"/>
      <c r="AA5" s="4364"/>
      <c r="AB5" s="4479"/>
      <c r="AC5" s="4364"/>
    </row>
    <row r="6" spans="1:29" ht="15.75" thickBot="1">
      <c r="A6" s="259"/>
      <c r="B6" s="260"/>
      <c r="C6" s="4376" t="s">
        <v>1604</v>
      </c>
      <c r="D6" s="4377"/>
      <c r="E6" s="4378" t="s">
        <v>1604</v>
      </c>
      <c r="F6" s="4379"/>
      <c r="G6" s="4376" t="s">
        <v>1604</v>
      </c>
      <c r="H6" s="4377"/>
      <c r="I6" s="4376" t="s">
        <v>1604</v>
      </c>
      <c r="J6" s="4377"/>
      <c r="K6" s="3157" t="s">
        <v>1605</v>
      </c>
      <c r="L6" s="2083"/>
      <c r="M6" s="2084"/>
      <c r="N6" s="2084"/>
      <c r="O6" s="2084"/>
      <c r="P6" s="4390"/>
      <c r="Q6" s="4391"/>
      <c r="R6" s="4370"/>
      <c r="S6" s="4371"/>
      <c r="T6" s="4392"/>
      <c r="U6" s="4393"/>
      <c r="V6" s="4394"/>
      <c r="W6" s="4394"/>
      <c r="X6" s="984"/>
      <c r="Y6" s="4401"/>
      <c r="Z6" s="4402"/>
      <c r="AA6" s="4365"/>
      <c r="AB6" s="4479"/>
      <c r="AC6" s="4365"/>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5" t="s">
        <v>1607</v>
      </c>
      <c r="Q7" s="4403"/>
      <c r="R7" s="3573" t="s">
        <v>13</v>
      </c>
      <c r="S7" s="3574">
        <f t="shared" ref="S7:S15" si="0">F7</f>
        <v>0</v>
      </c>
      <c r="T7" s="3573" t="s">
        <v>13</v>
      </c>
      <c r="U7" s="3574">
        <f t="shared" ref="U7:U15" si="1">H7</f>
        <v>0</v>
      </c>
      <c r="V7" s="3573" t="s">
        <v>13</v>
      </c>
      <c r="W7" s="3574">
        <f t="shared" ref="W7:W15" si="2">J7</f>
        <v>0</v>
      </c>
      <c r="X7" s="513"/>
      <c r="Y7" s="4366" t="s">
        <v>1607</v>
      </c>
      <c r="Z7" s="4367"/>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5" t="s">
        <v>1610</v>
      </c>
      <c r="Q8" s="4396"/>
      <c r="R8" s="3573" t="s">
        <v>13</v>
      </c>
      <c r="S8" s="3574">
        <f t="shared" si="0"/>
        <v>100</v>
      </c>
      <c r="T8" s="3573" t="s">
        <v>13</v>
      </c>
      <c r="U8" s="3574">
        <f t="shared" si="1"/>
        <v>100</v>
      </c>
      <c r="V8" s="3573" t="s">
        <v>13</v>
      </c>
      <c r="W8" s="3574">
        <f t="shared" si="2"/>
        <v>100</v>
      </c>
      <c r="X8" s="513"/>
      <c r="Y8" s="4366" t="s">
        <v>1610</v>
      </c>
      <c r="Z8" s="4367"/>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80" t="s">
        <v>1613</v>
      </c>
      <c r="Q9" s="1792" t="str">
        <f t="shared" ref="Q9:Q15" si="6">B9</f>
        <v>用途</v>
      </c>
      <c r="R9" s="3573" t="s">
        <v>13</v>
      </c>
      <c r="S9" s="3574">
        <f t="shared" si="0"/>
        <v>100</v>
      </c>
      <c r="T9" s="3573" t="s">
        <v>13</v>
      </c>
      <c r="U9" s="3574">
        <f t="shared" si="1"/>
        <v>100</v>
      </c>
      <c r="V9" s="3573" t="s">
        <v>13</v>
      </c>
      <c r="W9" s="3574">
        <f t="shared" si="2"/>
        <v>100</v>
      </c>
      <c r="X9" s="513"/>
      <c r="Y9" s="4381"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80"/>
      <c r="Q10" s="1792" t="str">
        <f t="shared" si="6"/>
        <v>土地使用年限（年）</v>
      </c>
      <c r="R10" s="3573" t="s">
        <v>13</v>
      </c>
      <c r="S10" s="3574">
        <f t="shared" si="0"/>
        <v>100</v>
      </c>
      <c r="T10" s="3573" t="s">
        <v>13</v>
      </c>
      <c r="U10" s="3574">
        <f t="shared" si="1"/>
        <v>100</v>
      </c>
      <c r="V10" s="3573" t="s">
        <v>13</v>
      </c>
      <c r="W10" s="3574">
        <f t="shared" si="2"/>
        <v>100</v>
      </c>
      <c r="X10" s="513"/>
      <c r="Y10" s="4381"/>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80"/>
      <c r="Q11" s="1792" t="str">
        <f t="shared" si="6"/>
        <v>容积率</v>
      </c>
      <c r="R11" s="3573" t="s">
        <v>13</v>
      </c>
      <c r="S11" s="3574" t="e">
        <f t="shared" si="0"/>
        <v>#N/A</v>
      </c>
      <c r="T11" s="3573" t="s">
        <v>13</v>
      </c>
      <c r="U11" s="3574" t="e">
        <f t="shared" si="1"/>
        <v>#N/A</v>
      </c>
      <c r="V11" s="3573" t="s">
        <v>13</v>
      </c>
      <c r="W11" s="3574" t="e">
        <f t="shared" si="2"/>
        <v>#N/A</v>
      </c>
      <c r="X11" s="513"/>
      <c r="Y11" s="4381"/>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80"/>
      <c r="Q12" s="1792">
        <f t="shared" si="6"/>
        <v>111</v>
      </c>
      <c r="R12" s="3573" t="s">
        <v>13</v>
      </c>
      <c r="S12" s="3574">
        <f t="shared" si="0"/>
        <v>100</v>
      </c>
      <c r="T12" s="3573" t="s">
        <v>13</v>
      </c>
      <c r="U12" s="3574">
        <f t="shared" si="1"/>
        <v>100</v>
      </c>
      <c r="V12" s="3573" t="s">
        <v>13</v>
      </c>
      <c r="W12" s="3574">
        <f t="shared" si="2"/>
        <v>100</v>
      </c>
      <c r="X12" s="513"/>
      <c r="Y12" s="4381"/>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80"/>
      <c r="Q13" s="1792">
        <f t="shared" si="6"/>
        <v>111</v>
      </c>
      <c r="R13" s="3573" t="s">
        <v>13</v>
      </c>
      <c r="S13" s="3574">
        <f t="shared" si="0"/>
        <v>100</v>
      </c>
      <c r="T13" s="3573" t="s">
        <v>13</v>
      </c>
      <c r="U13" s="3574">
        <f t="shared" si="1"/>
        <v>100</v>
      </c>
      <c r="V13" s="3573" t="s">
        <v>13</v>
      </c>
      <c r="W13" s="3574">
        <f t="shared" si="2"/>
        <v>100</v>
      </c>
      <c r="X13" s="513"/>
      <c r="Y13" s="4381"/>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80"/>
      <c r="Q14" s="1792">
        <f t="shared" si="6"/>
        <v>111</v>
      </c>
      <c r="R14" s="3573" t="s">
        <v>13</v>
      </c>
      <c r="S14" s="3574">
        <f t="shared" si="0"/>
        <v>100</v>
      </c>
      <c r="T14" s="3573" t="s">
        <v>13</v>
      </c>
      <c r="U14" s="3574">
        <f t="shared" si="1"/>
        <v>100</v>
      </c>
      <c r="V14" s="3573" t="s">
        <v>13</v>
      </c>
      <c r="W14" s="3574">
        <f t="shared" si="2"/>
        <v>100</v>
      </c>
      <c r="X14" s="513"/>
      <c r="Y14" s="4381"/>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416" t="s">
        <v>1618</v>
      </c>
      <c r="Q15" s="1592" t="str">
        <f t="shared" si="6"/>
        <v>商业繁华度</v>
      </c>
      <c r="R15" s="3575" t="s">
        <v>13</v>
      </c>
      <c r="S15" s="3576">
        <f t="shared" si="0"/>
        <v>100</v>
      </c>
      <c r="T15" s="3575" t="s">
        <v>13</v>
      </c>
      <c r="U15" s="3576">
        <f t="shared" si="1"/>
        <v>100</v>
      </c>
      <c r="V15" s="3575" t="s">
        <v>13</v>
      </c>
      <c r="W15" s="3576">
        <f t="shared" si="2"/>
        <v>100</v>
      </c>
      <c r="X15" s="984"/>
      <c r="Y15" s="4409"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417"/>
      <c r="Q16" s="1592"/>
      <c r="R16" s="3575"/>
      <c r="S16" s="3576"/>
      <c r="T16" s="3575"/>
      <c r="U16" s="3576"/>
      <c r="V16" s="3575"/>
      <c r="W16" s="3576"/>
      <c r="X16" s="984"/>
      <c r="Y16" s="4410"/>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417"/>
      <c r="Q17" s="1592" t="str">
        <f>B17</f>
        <v>交通便捷度</v>
      </c>
      <c r="R17" s="3575" t="s">
        <v>13</v>
      </c>
      <c r="S17" s="3576">
        <f>F17</f>
        <v>100</v>
      </c>
      <c r="T17" s="3575" t="s">
        <v>13</v>
      </c>
      <c r="U17" s="3576">
        <f>H17</f>
        <v>100</v>
      </c>
      <c r="V17" s="3575" t="s">
        <v>13</v>
      </c>
      <c r="W17" s="3576">
        <f>J17</f>
        <v>100</v>
      </c>
      <c r="X17" s="984"/>
      <c r="Y17" s="4410"/>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417"/>
      <c r="Q18" s="1592"/>
      <c r="R18" s="3575"/>
      <c r="S18" s="3576"/>
      <c r="T18" s="3575"/>
      <c r="U18" s="3576"/>
      <c r="V18" s="3575"/>
      <c r="W18" s="3576"/>
      <c r="X18" s="984"/>
      <c r="Y18" s="4410"/>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417"/>
      <c r="Q19" s="1592" t="str">
        <f>B19</f>
        <v>公共配套设施</v>
      </c>
      <c r="R19" s="3575" t="s">
        <v>13</v>
      </c>
      <c r="S19" s="3576">
        <f>F19</f>
        <v>100</v>
      </c>
      <c r="T19" s="3575" t="s">
        <v>13</v>
      </c>
      <c r="U19" s="3576">
        <f>H19</f>
        <v>100</v>
      </c>
      <c r="V19" s="3575" t="s">
        <v>13</v>
      </c>
      <c r="W19" s="3576">
        <f>J19</f>
        <v>100</v>
      </c>
      <c r="X19" s="984"/>
      <c r="Y19" s="4410"/>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417"/>
      <c r="Q20" s="1592"/>
      <c r="R20" s="3575"/>
      <c r="S20" s="3576"/>
      <c r="T20" s="3575"/>
      <c r="U20" s="3576"/>
      <c r="V20" s="3575"/>
      <c r="W20" s="3576"/>
      <c r="X20" s="984"/>
      <c r="Y20" s="4410"/>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417"/>
      <c r="Q21" s="1592" t="str">
        <f>B21</f>
        <v>基础设施水平</v>
      </c>
      <c r="R21" s="3575" t="s">
        <v>13</v>
      </c>
      <c r="S21" s="3576">
        <f>F21</f>
        <v>100</v>
      </c>
      <c r="T21" s="3575" t="s">
        <v>13</v>
      </c>
      <c r="U21" s="3576">
        <f>H21</f>
        <v>100</v>
      </c>
      <c r="V21" s="3575" t="s">
        <v>13</v>
      </c>
      <c r="W21" s="3576">
        <f>J21</f>
        <v>100</v>
      </c>
      <c r="X21" s="984"/>
      <c r="Y21" s="441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417"/>
      <c r="Q22" s="1592"/>
      <c r="R22" s="3575"/>
      <c r="S22" s="3576"/>
      <c r="T22" s="3575"/>
      <c r="U22" s="3576"/>
      <c r="V22" s="3575"/>
      <c r="W22" s="3576"/>
      <c r="X22" s="984"/>
      <c r="Y22" s="4410"/>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417"/>
      <c r="Q23" s="1592" t="str">
        <f>B23</f>
        <v>自然及人文环境</v>
      </c>
      <c r="R23" s="3575" t="s">
        <v>13</v>
      </c>
      <c r="S23" s="3576">
        <f>F23</f>
        <v>100</v>
      </c>
      <c r="T23" s="3575" t="s">
        <v>13</v>
      </c>
      <c r="U23" s="3576">
        <f>H23</f>
        <v>100</v>
      </c>
      <c r="V23" s="3575" t="s">
        <v>13</v>
      </c>
      <c r="W23" s="3576">
        <f>J23</f>
        <v>100</v>
      </c>
      <c r="X23" s="984"/>
      <c r="Y23" s="4410"/>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417"/>
      <c r="Q24" s="1592"/>
      <c r="R24" s="3575"/>
      <c r="S24" s="3576"/>
      <c r="T24" s="3575"/>
      <c r="U24" s="3576"/>
      <c r="V24" s="3575"/>
      <c r="W24" s="3576"/>
      <c r="X24" s="984"/>
      <c r="Y24" s="4410"/>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417"/>
      <c r="Q25" s="1592" t="str">
        <f t="shared" ref="Q25:Q46" si="11">B25</f>
        <v>临街状况</v>
      </c>
      <c r="R25" s="3575" t="s">
        <v>13</v>
      </c>
      <c r="S25" s="3576">
        <f>F25</f>
        <v>100</v>
      </c>
      <c r="T25" s="3575" t="s">
        <v>13</v>
      </c>
      <c r="U25" s="3576">
        <f>H25</f>
        <v>100</v>
      </c>
      <c r="V25" s="3575" t="s">
        <v>13</v>
      </c>
      <c r="W25" s="3576">
        <f>J25</f>
        <v>100</v>
      </c>
      <c r="X25" s="984"/>
      <c r="Y25" s="4410"/>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417"/>
      <c r="Q26" s="1592" t="str">
        <f t="shared" si="11"/>
        <v>平面位置/可视性</v>
      </c>
      <c r="R26" s="3575" t="s">
        <v>13</v>
      </c>
      <c r="S26" s="3576">
        <f>F26</f>
        <v>100</v>
      </c>
      <c r="T26" s="3575" t="s">
        <v>13</v>
      </c>
      <c r="U26" s="3576">
        <f>H26</f>
        <v>100</v>
      </c>
      <c r="V26" s="3575" t="s">
        <v>13</v>
      </c>
      <c r="W26" s="3576">
        <f>J26</f>
        <v>100</v>
      </c>
      <c r="X26" s="984"/>
      <c r="Y26" s="4410"/>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417"/>
      <c r="Q27" s="1792" t="str">
        <f t="shared" si="11"/>
        <v>人流量</v>
      </c>
      <c r="R27" s="3573" t="s">
        <v>13</v>
      </c>
      <c r="S27" s="3574">
        <f>F27</f>
        <v>100</v>
      </c>
      <c r="T27" s="3573" t="s">
        <v>13</v>
      </c>
      <c r="U27" s="3574">
        <f>H27</f>
        <v>100</v>
      </c>
      <c r="V27" s="3573" t="s">
        <v>13</v>
      </c>
      <c r="W27" s="3574">
        <f>J27</f>
        <v>100</v>
      </c>
      <c r="X27" s="513"/>
      <c r="Y27" s="4410"/>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417"/>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410"/>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417"/>
      <c r="Q29" s="1592">
        <f t="shared" si="11"/>
        <v>111</v>
      </c>
      <c r="R29" s="3575" t="s">
        <v>13</v>
      </c>
      <c r="S29" s="3576">
        <f t="shared" si="12"/>
        <v>100</v>
      </c>
      <c r="T29" s="3575" t="s">
        <v>13</v>
      </c>
      <c r="U29" s="3576">
        <f t="shared" si="13"/>
        <v>100</v>
      </c>
      <c r="V29" s="3575" t="s">
        <v>13</v>
      </c>
      <c r="W29" s="3576">
        <f t="shared" si="14"/>
        <v>100</v>
      </c>
      <c r="X29" s="984"/>
      <c r="Y29" s="4410"/>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417"/>
      <c r="Q30" s="1592">
        <f t="shared" si="11"/>
        <v>111</v>
      </c>
      <c r="R30" s="3575" t="s">
        <v>13</v>
      </c>
      <c r="S30" s="3576">
        <f t="shared" si="12"/>
        <v>100</v>
      </c>
      <c r="T30" s="3575" t="s">
        <v>13</v>
      </c>
      <c r="U30" s="3576">
        <f t="shared" si="13"/>
        <v>100</v>
      </c>
      <c r="V30" s="3575" t="s">
        <v>13</v>
      </c>
      <c r="W30" s="3576">
        <f t="shared" si="14"/>
        <v>100</v>
      </c>
      <c r="X30" s="984"/>
      <c r="Y30" s="4410"/>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417"/>
      <c r="Q31" s="1592">
        <f t="shared" si="11"/>
        <v>111</v>
      </c>
      <c r="R31" s="3575" t="s">
        <v>13</v>
      </c>
      <c r="S31" s="3576">
        <f t="shared" si="12"/>
        <v>100</v>
      </c>
      <c r="T31" s="3575" t="s">
        <v>13</v>
      </c>
      <c r="U31" s="3576">
        <f t="shared" si="13"/>
        <v>100</v>
      </c>
      <c r="V31" s="3575" t="s">
        <v>13</v>
      </c>
      <c r="W31" s="3576">
        <f t="shared" si="14"/>
        <v>100</v>
      </c>
      <c r="X31" s="984"/>
      <c r="Y31" s="4410"/>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411" t="s">
        <v>1623</v>
      </c>
      <c r="Q32" s="1592" t="str">
        <f t="shared" si="11"/>
        <v>商业类型</v>
      </c>
      <c r="R32" s="3575" t="s">
        <v>13</v>
      </c>
      <c r="S32" s="3576">
        <f t="shared" si="12"/>
        <v>100</v>
      </c>
      <c r="T32" s="3575" t="s">
        <v>13</v>
      </c>
      <c r="U32" s="3576">
        <f t="shared" si="13"/>
        <v>100</v>
      </c>
      <c r="V32" s="3575" t="s">
        <v>13</v>
      </c>
      <c r="W32" s="3576">
        <f t="shared" si="14"/>
        <v>100</v>
      </c>
      <c r="X32" s="984"/>
      <c r="Y32" s="4414"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412"/>
      <c r="Q33" s="410" t="str">
        <f t="shared" si="11"/>
        <v>项目建筑规模</v>
      </c>
      <c r="R33" s="3577" t="s">
        <v>13</v>
      </c>
      <c r="S33" s="3578" t="e">
        <f t="shared" si="12"/>
        <v>#N/A</v>
      </c>
      <c r="T33" s="3577" t="s">
        <v>13</v>
      </c>
      <c r="U33" s="3578" t="e">
        <f t="shared" si="13"/>
        <v>#N/A</v>
      </c>
      <c r="V33" s="3577" t="s">
        <v>13</v>
      </c>
      <c r="W33" s="3578" t="e">
        <f t="shared" si="14"/>
        <v>#N/A</v>
      </c>
      <c r="X33" s="518"/>
      <c r="Y33" s="4414"/>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412"/>
      <c r="Q34" s="1592" t="str">
        <f t="shared" si="11"/>
        <v>建筑结构</v>
      </c>
      <c r="R34" s="3575" t="s">
        <v>13</v>
      </c>
      <c r="S34" s="3576">
        <f t="shared" si="12"/>
        <v>100</v>
      </c>
      <c r="T34" s="3575" t="s">
        <v>13</v>
      </c>
      <c r="U34" s="3576">
        <f t="shared" si="13"/>
        <v>100</v>
      </c>
      <c r="V34" s="3575" t="s">
        <v>13</v>
      </c>
      <c r="W34" s="3576">
        <f t="shared" si="14"/>
        <v>100</v>
      </c>
      <c r="X34" s="984"/>
      <c r="Y34" s="4414"/>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412"/>
      <c r="Q35" s="1592" t="str">
        <f t="shared" si="11"/>
        <v>公共部分装修</v>
      </c>
      <c r="R35" s="3575" t="s">
        <v>13</v>
      </c>
      <c r="S35" s="3576">
        <f t="shared" si="12"/>
        <v>100</v>
      </c>
      <c r="T35" s="3575" t="s">
        <v>13</v>
      </c>
      <c r="U35" s="3576">
        <f t="shared" si="13"/>
        <v>100</v>
      </c>
      <c r="V35" s="3575" t="s">
        <v>13</v>
      </c>
      <c r="W35" s="3576">
        <f t="shared" si="14"/>
        <v>100</v>
      </c>
      <c r="X35" s="984"/>
      <c r="Y35" s="4414"/>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412"/>
      <c r="Q36" s="1592" t="str">
        <f t="shared" si="11"/>
        <v>成新度</v>
      </c>
      <c r="R36" s="3575" t="s">
        <v>13</v>
      </c>
      <c r="S36" s="3576" t="e">
        <f t="shared" si="12"/>
        <v>#N/A</v>
      </c>
      <c r="T36" s="3575" t="s">
        <v>13</v>
      </c>
      <c r="U36" s="3576" t="e">
        <f t="shared" si="13"/>
        <v>#N/A</v>
      </c>
      <c r="V36" s="3575" t="s">
        <v>13</v>
      </c>
      <c r="W36" s="3576" t="e">
        <f t="shared" si="14"/>
        <v>#N/A</v>
      </c>
      <c r="X36" s="984"/>
      <c r="Y36" s="4414"/>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412"/>
      <c r="Q37" s="1792" t="str">
        <f t="shared" si="11"/>
        <v>市政基础设施</v>
      </c>
      <c r="R37" s="3573" t="s">
        <v>13</v>
      </c>
      <c r="S37" s="3574">
        <f t="shared" si="12"/>
        <v>100</v>
      </c>
      <c r="T37" s="3573" t="s">
        <v>13</v>
      </c>
      <c r="U37" s="3574">
        <f t="shared" si="13"/>
        <v>100</v>
      </c>
      <c r="V37" s="3573" t="s">
        <v>13</v>
      </c>
      <c r="W37" s="3574">
        <f t="shared" si="14"/>
        <v>100</v>
      </c>
      <c r="X37" s="513"/>
      <c r="Y37" s="4414"/>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412" t="s">
        <v>1623</v>
      </c>
      <c r="Q38" s="1592" t="str">
        <f t="shared" si="11"/>
        <v>业态</v>
      </c>
      <c r="R38" s="3575" t="s">
        <v>13</v>
      </c>
      <c r="S38" s="3576">
        <f t="shared" si="12"/>
        <v>100</v>
      </c>
      <c r="T38" s="3575" t="s">
        <v>13</v>
      </c>
      <c r="U38" s="3576">
        <f t="shared" si="13"/>
        <v>100</v>
      </c>
      <c r="V38" s="3575" t="s">
        <v>13</v>
      </c>
      <c r="W38" s="3576">
        <f t="shared" si="14"/>
        <v>100</v>
      </c>
      <c r="X38" s="984"/>
      <c r="Y38" s="4414"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412"/>
      <c r="Q39" s="1592" t="str">
        <f t="shared" si="11"/>
        <v>层高</v>
      </c>
      <c r="R39" s="3575" t="s">
        <v>13</v>
      </c>
      <c r="S39" s="3576">
        <f t="shared" si="12"/>
        <v>100</v>
      </c>
      <c r="T39" s="3575" t="s">
        <v>13</v>
      </c>
      <c r="U39" s="3576">
        <f t="shared" si="13"/>
        <v>100</v>
      </c>
      <c r="V39" s="3575" t="s">
        <v>13</v>
      </c>
      <c r="W39" s="3576">
        <f t="shared" si="14"/>
        <v>100</v>
      </c>
      <c r="X39" s="984"/>
      <c r="Y39" s="4414"/>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412"/>
      <c r="Q40" s="1592" t="str">
        <f t="shared" si="11"/>
        <v>单套建筑面积</v>
      </c>
      <c r="R40" s="3575" t="s">
        <v>13</v>
      </c>
      <c r="S40" s="3576">
        <f t="shared" si="12"/>
        <v>100</v>
      </c>
      <c r="T40" s="3575" t="s">
        <v>13</v>
      </c>
      <c r="U40" s="3576">
        <f t="shared" si="13"/>
        <v>100</v>
      </c>
      <c r="V40" s="3575" t="s">
        <v>13</v>
      </c>
      <c r="W40" s="3576">
        <f t="shared" si="14"/>
        <v>100</v>
      </c>
      <c r="X40" s="984"/>
      <c r="Y40" s="4414"/>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412"/>
      <c r="Q41" s="410" t="str">
        <f t="shared" si="11"/>
        <v>进深比</v>
      </c>
      <c r="R41" s="3577" t="s">
        <v>13</v>
      </c>
      <c r="S41" s="3578">
        <f t="shared" si="12"/>
        <v>100</v>
      </c>
      <c r="T41" s="3577" t="s">
        <v>13</v>
      </c>
      <c r="U41" s="3578">
        <f t="shared" si="13"/>
        <v>100</v>
      </c>
      <c r="V41" s="3577" t="s">
        <v>13</v>
      </c>
      <c r="W41" s="3578">
        <f t="shared" si="14"/>
        <v>100</v>
      </c>
      <c r="X41" s="518"/>
      <c r="Y41" s="4414"/>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412"/>
      <c r="Q42" s="1592" t="str">
        <f t="shared" si="11"/>
        <v>内部装修</v>
      </c>
      <c r="R42" s="3575" t="s">
        <v>13</v>
      </c>
      <c r="S42" s="3576">
        <f t="shared" si="12"/>
        <v>100</v>
      </c>
      <c r="T42" s="3575" t="s">
        <v>13</v>
      </c>
      <c r="U42" s="3576">
        <f t="shared" si="13"/>
        <v>100</v>
      </c>
      <c r="V42" s="3575" t="s">
        <v>13</v>
      </c>
      <c r="W42" s="3576">
        <f t="shared" si="14"/>
        <v>100</v>
      </c>
      <c r="X42" s="984"/>
      <c r="Y42" s="4414"/>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412"/>
      <c r="Q43" s="1592" t="str">
        <f t="shared" si="11"/>
        <v>内部装修维护情况</v>
      </c>
      <c r="R43" s="3575" t="s">
        <v>13</v>
      </c>
      <c r="S43" s="3576">
        <f t="shared" si="12"/>
        <v>100</v>
      </c>
      <c r="T43" s="3575" t="s">
        <v>13</v>
      </c>
      <c r="U43" s="3576">
        <f t="shared" si="13"/>
        <v>100</v>
      </c>
      <c r="V43" s="3575" t="s">
        <v>13</v>
      </c>
      <c r="W43" s="3576">
        <f t="shared" si="14"/>
        <v>100</v>
      </c>
      <c r="X43" s="984"/>
      <c r="Y43" s="4414"/>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412"/>
      <c r="Q44" s="1792">
        <f t="shared" si="11"/>
        <v>111</v>
      </c>
      <c r="R44" s="3573" t="s">
        <v>13</v>
      </c>
      <c r="S44" s="3574">
        <f t="shared" si="12"/>
        <v>100</v>
      </c>
      <c r="T44" s="3573" t="s">
        <v>13</v>
      </c>
      <c r="U44" s="3574">
        <f t="shared" si="13"/>
        <v>100</v>
      </c>
      <c r="V44" s="3573" t="s">
        <v>13</v>
      </c>
      <c r="W44" s="3574">
        <f t="shared" si="14"/>
        <v>100</v>
      </c>
      <c r="X44" s="513"/>
      <c r="Y44" s="4414"/>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412"/>
      <c r="Q45" s="1592">
        <f t="shared" si="11"/>
        <v>111</v>
      </c>
      <c r="R45" s="3575" t="s">
        <v>13</v>
      </c>
      <c r="S45" s="3576">
        <f t="shared" si="12"/>
        <v>100</v>
      </c>
      <c r="T45" s="3575" t="s">
        <v>13</v>
      </c>
      <c r="U45" s="3576">
        <f t="shared" si="13"/>
        <v>100</v>
      </c>
      <c r="V45" s="3575" t="s">
        <v>13</v>
      </c>
      <c r="W45" s="3576">
        <f t="shared" si="14"/>
        <v>100</v>
      </c>
      <c r="X45" s="984"/>
      <c r="Y45" s="4414"/>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413"/>
      <c r="Q46" s="1592">
        <f t="shared" si="11"/>
        <v>111</v>
      </c>
      <c r="R46" s="3575" t="s">
        <v>13</v>
      </c>
      <c r="S46" s="3576">
        <f t="shared" si="12"/>
        <v>100</v>
      </c>
      <c r="T46" s="3575" t="s">
        <v>13</v>
      </c>
      <c r="U46" s="3576">
        <f t="shared" si="13"/>
        <v>100</v>
      </c>
      <c r="V46" s="3575" t="s">
        <v>13</v>
      </c>
      <c r="W46" s="3576">
        <f t="shared" si="14"/>
        <v>100</v>
      </c>
      <c r="X46" s="984"/>
      <c r="Y46" s="4415"/>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407" t="str">
        <f>A47</f>
        <v>成交单价（元/平方米）</v>
      </c>
      <c r="Q47" s="4407"/>
      <c r="R47" s="4408">
        <f>E47</f>
        <v>0</v>
      </c>
      <c r="S47" s="4408"/>
      <c r="T47" s="4408">
        <f>G47</f>
        <v>0</v>
      </c>
      <c r="U47" s="4408"/>
      <c r="V47" s="4408">
        <f>I47</f>
        <v>0</v>
      </c>
      <c r="W47" s="4408"/>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407" t="str">
        <f>A48</f>
        <v>比较价值（元/平方米）</v>
      </c>
      <c r="Q48" s="4407"/>
      <c r="R48" s="4408" t="e">
        <f>IF(F1="售价",ROUND(PRODUCT(R47,AA7:AA46),0),ROUND(PRODUCT(R47,AA7:AA46),1))</f>
        <v>#DIV/0!</v>
      </c>
      <c r="S48" s="4408"/>
      <c r="T48" s="4408" t="e">
        <f>IF(F1="售价",ROUND(PRODUCT(T47,AB7:AB46),0),ROUND(PRODUCT(T47,AB7:AB46),1))</f>
        <v>#DIV/0!</v>
      </c>
      <c r="U48" s="4408"/>
      <c r="V48" s="4408" t="e">
        <f>IF(F1="售价",ROUND(PRODUCT(V47,AC7:AC46),0),ROUND(PRODUCT(V47,AC7:AC46),1))</f>
        <v>#DIV/0!</v>
      </c>
      <c r="W48" s="4408"/>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404" t="str">
        <f>A49</f>
        <v>估价对象XX用房的比较价值（楼面单价，元/平方米）</v>
      </c>
      <c r="Q49" s="4405"/>
      <c r="R49" s="4406" t="e">
        <f>IF(F1="售价",ROUND(IF(D48="简单平均",AVERAGE(R48:V48),R48*F48+T48*H48+V48*J48),0),ROUND(IF(D48="简单平均",AVERAGE(R48:V48),R48*F48+T48*H48+V48*J48),1))</f>
        <v>#DIV/0!</v>
      </c>
      <c r="S49" s="4406"/>
      <c r="T49" s="4406"/>
      <c r="U49" s="4406"/>
      <c r="V49" s="4406"/>
      <c r="W49" s="440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127.64</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34" t="s">
        <v>1697</v>
      </c>
      <c r="D4" s="4435"/>
      <c r="E4" s="4436" t="s">
        <v>1698</v>
      </c>
      <c r="F4" s="4437"/>
      <c r="G4" s="4434" t="s">
        <v>1699</v>
      </c>
      <c r="H4" s="4435"/>
      <c r="I4" s="4434" t="s">
        <v>1700</v>
      </c>
      <c r="J4" s="4435"/>
      <c r="K4" s="415" t="s">
        <v>1701</v>
      </c>
      <c r="L4" s="645"/>
      <c r="M4" s="646"/>
      <c r="N4" s="646"/>
      <c r="O4" s="646"/>
      <c r="P4" s="4386" t="s">
        <v>1702</v>
      </c>
      <c r="Q4" s="4387"/>
      <c r="R4" s="4368" t="s">
        <v>1698</v>
      </c>
      <c r="S4" s="4369"/>
      <c r="T4" s="4368" t="s">
        <v>1699</v>
      </c>
      <c r="U4" s="4369"/>
      <c r="V4" s="4394" t="s">
        <v>1700</v>
      </c>
      <c r="W4" s="4394"/>
      <c r="X4" s="984"/>
      <c r="Y4" s="4397" t="s">
        <v>1702</v>
      </c>
      <c r="Z4" s="4398"/>
      <c r="AA4" s="4363" t="s">
        <v>1698</v>
      </c>
      <c r="AB4" s="4364" t="s">
        <v>1699</v>
      </c>
      <c r="AC4" s="4363" t="s">
        <v>1700</v>
      </c>
    </row>
    <row r="5" spans="1:29" ht="15">
      <c r="A5" s="257"/>
      <c r="B5" s="258"/>
      <c r="C5" s="4424" t="s">
        <v>1600</v>
      </c>
      <c r="D5" s="4425"/>
      <c r="E5" s="4480" t="s">
        <v>1601</v>
      </c>
      <c r="F5" s="4423"/>
      <c r="G5" s="4424" t="s">
        <v>1602</v>
      </c>
      <c r="H5" s="4425"/>
      <c r="I5" s="4424" t="s">
        <v>1603</v>
      </c>
      <c r="J5" s="4425"/>
      <c r="K5" s="415"/>
      <c r="L5" s="645"/>
      <c r="M5" s="646"/>
      <c r="N5" s="646"/>
      <c r="O5" s="646"/>
      <c r="P5" s="4388"/>
      <c r="Q5" s="4389"/>
      <c r="R5" s="4370"/>
      <c r="S5" s="4371"/>
      <c r="T5" s="4370"/>
      <c r="U5" s="4371"/>
      <c r="V5" s="4394"/>
      <c r="W5" s="4394"/>
      <c r="X5" s="984"/>
      <c r="Y5" s="4399"/>
      <c r="Z5" s="4400"/>
      <c r="AA5" s="4364"/>
      <c r="AB5" s="4364"/>
      <c r="AC5" s="4364"/>
    </row>
    <row r="6" spans="1:29" ht="15.75" thickBot="1">
      <c r="A6" s="259"/>
      <c r="B6" s="260"/>
      <c r="C6" s="4426" t="s">
        <v>1604</v>
      </c>
      <c r="D6" s="4427"/>
      <c r="E6" s="4429" t="s">
        <v>1604</v>
      </c>
      <c r="F6" s="4430"/>
      <c r="G6" s="4426" t="s">
        <v>1604</v>
      </c>
      <c r="H6" s="4427"/>
      <c r="I6" s="4426" t="s">
        <v>1604</v>
      </c>
      <c r="J6" s="4427"/>
      <c r="K6" s="415" t="s">
        <v>1605</v>
      </c>
      <c r="L6" s="645"/>
      <c r="M6" s="646"/>
      <c r="N6" s="646"/>
      <c r="O6" s="646"/>
      <c r="P6" s="4390"/>
      <c r="Q6" s="4391"/>
      <c r="R6" s="4370"/>
      <c r="S6" s="4371"/>
      <c r="T6" s="4392"/>
      <c r="U6" s="4393"/>
      <c r="V6" s="4394"/>
      <c r="W6" s="4394"/>
      <c r="X6" s="984"/>
      <c r="Y6" s="4401"/>
      <c r="Z6" s="4402"/>
      <c r="AA6" s="4365"/>
      <c r="AB6" s="4365"/>
      <c r="AC6" s="4365"/>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5" t="s">
        <v>1607</v>
      </c>
      <c r="Q7" s="4403"/>
      <c r="R7" s="3573" t="s">
        <v>13</v>
      </c>
      <c r="S7" s="3574">
        <f t="shared" ref="S7:S15" si="0">F7</f>
        <v>0</v>
      </c>
      <c r="T7" s="3573" t="s">
        <v>13</v>
      </c>
      <c r="U7" s="3574">
        <f t="shared" ref="U7:U15" si="1">H7</f>
        <v>0</v>
      </c>
      <c r="V7" s="3573" t="s">
        <v>13</v>
      </c>
      <c r="W7" s="3574">
        <f t="shared" ref="W7:W15" si="2">J7</f>
        <v>0</v>
      </c>
      <c r="X7" s="513"/>
      <c r="Y7" s="4366" t="s">
        <v>1607</v>
      </c>
      <c r="Z7" s="4367"/>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5" t="s">
        <v>1610</v>
      </c>
      <c r="Q8" s="4396"/>
      <c r="R8" s="3573" t="s">
        <v>13</v>
      </c>
      <c r="S8" s="3574">
        <f t="shared" si="0"/>
        <v>100</v>
      </c>
      <c r="T8" s="3573" t="s">
        <v>13</v>
      </c>
      <c r="U8" s="3574">
        <f t="shared" si="1"/>
        <v>100</v>
      </c>
      <c r="V8" s="3573" t="s">
        <v>13</v>
      </c>
      <c r="W8" s="3574">
        <f t="shared" si="2"/>
        <v>100</v>
      </c>
      <c r="X8" s="513"/>
      <c r="Y8" s="4366" t="s">
        <v>1610</v>
      </c>
      <c r="Z8" s="4367"/>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407" t="s">
        <v>1613</v>
      </c>
      <c r="Q9" s="1792" t="str">
        <f t="shared" ref="Q9:Q15" si="6">B9</f>
        <v>用途</v>
      </c>
      <c r="R9" s="3573" t="s">
        <v>13</v>
      </c>
      <c r="S9" s="3574">
        <f t="shared" si="0"/>
        <v>100</v>
      </c>
      <c r="T9" s="3573" t="s">
        <v>13</v>
      </c>
      <c r="U9" s="3574">
        <f t="shared" si="1"/>
        <v>100</v>
      </c>
      <c r="V9" s="3573" t="s">
        <v>13</v>
      </c>
      <c r="W9" s="3574">
        <f t="shared" si="2"/>
        <v>100</v>
      </c>
      <c r="X9" s="513"/>
      <c r="Y9" s="4381"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407"/>
      <c r="Q10" s="1792" t="str">
        <f t="shared" si="6"/>
        <v>土地使用年限（年）</v>
      </c>
      <c r="R10" s="3573" t="s">
        <v>13</v>
      </c>
      <c r="S10" s="3574">
        <f t="shared" si="0"/>
        <v>100</v>
      </c>
      <c r="T10" s="3573" t="s">
        <v>13</v>
      </c>
      <c r="U10" s="3574">
        <f t="shared" si="1"/>
        <v>100</v>
      </c>
      <c r="V10" s="3573" t="s">
        <v>13</v>
      </c>
      <c r="W10" s="3574">
        <f t="shared" si="2"/>
        <v>100</v>
      </c>
      <c r="X10" s="513"/>
      <c r="Y10" s="4381"/>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407"/>
      <c r="Q11" s="1792" t="str">
        <f t="shared" si="6"/>
        <v>容积率</v>
      </c>
      <c r="R11" s="3573" t="s">
        <v>13</v>
      </c>
      <c r="S11" s="3574">
        <f t="shared" si="0"/>
        <v>100</v>
      </c>
      <c r="T11" s="3573" t="s">
        <v>13</v>
      </c>
      <c r="U11" s="3574">
        <f t="shared" si="1"/>
        <v>100</v>
      </c>
      <c r="V11" s="3573" t="s">
        <v>13</v>
      </c>
      <c r="W11" s="3574">
        <f t="shared" si="2"/>
        <v>100</v>
      </c>
      <c r="X11" s="513"/>
      <c r="Y11" s="4381"/>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407"/>
      <c r="Q12" s="1792">
        <f t="shared" si="6"/>
        <v>111</v>
      </c>
      <c r="R12" s="3573" t="s">
        <v>13</v>
      </c>
      <c r="S12" s="3574">
        <f t="shared" si="0"/>
        <v>100</v>
      </c>
      <c r="T12" s="3573" t="s">
        <v>13</v>
      </c>
      <c r="U12" s="3574">
        <f t="shared" si="1"/>
        <v>100</v>
      </c>
      <c r="V12" s="3573" t="s">
        <v>13</v>
      </c>
      <c r="W12" s="3574">
        <f t="shared" si="2"/>
        <v>100</v>
      </c>
      <c r="X12" s="513"/>
      <c r="Y12" s="4381"/>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407"/>
      <c r="Q13" s="1792">
        <f t="shared" si="6"/>
        <v>111</v>
      </c>
      <c r="R13" s="3573" t="s">
        <v>13</v>
      </c>
      <c r="S13" s="3574">
        <f t="shared" si="0"/>
        <v>100</v>
      </c>
      <c r="T13" s="3573" t="s">
        <v>13</v>
      </c>
      <c r="U13" s="3574">
        <f t="shared" si="1"/>
        <v>100</v>
      </c>
      <c r="V13" s="3573" t="s">
        <v>13</v>
      </c>
      <c r="W13" s="3574">
        <f t="shared" si="2"/>
        <v>100</v>
      </c>
      <c r="X13" s="513"/>
      <c r="Y13" s="4381"/>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407"/>
      <c r="Q14" s="1792">
        <f t="shared" si="6"/>
        <v>111</v>
      </c>
      <c r="R14" s="3573" t="s">
        <v>13</v>
      </c>
      <c r="S14" s="3574">
        <f t="shared" si="0"/>
        <v>100</v>
      </c>
      <c r="T14" s="3573" t="s">
        <v>13</v>
      </c>
      <c r="U14" s="3574">
        <f t="shared" si="1"/>
        <v>100</v>
      </c>
      <c r="V14" s="3573" t="s">
        <v>13</v>
      </c>
      <c r="W14" s="3574">
        <f t="shared" si="2"/>
        <v>100</v>
      </c>
      <c r="X14" s="513"/>
      <c r="Y14" s="4381"/>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81" t="s">
        <v>1618</v>
      </c>
      <c r="Q15" s="1592" t="str">
        <f t="shared" si="6"/>
        <v>产业集聚程度</v>
      </c>
      <c r="R15" s="3575" t="s">
        <v>13</v>
      </c>
      <c r="S15" s="3576">
        <f t="shared" si="0"/>
        <v>100</v>
      </c>
      <c r="T15" s="3575" t="s">
        <v>13</v>
      </c>
      <c r="U15" s="3576">
        <f t="shared" si="1"/>
        <v>100</v>
      </c>
      <c r="V15" s="3575" t="s">
        <v>13</v>
      </c>
      <c r="W15" s="3576">
        <f t="shared" si="2"/>
        <v>100</v>
      </c>
      <c r="X15" s="984"/>
      <c r="Y15" s="4409"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82"/>
      <c r="Q16" s="1592"/>
      <c r="R16" s="3575"/>
      <c r="S16" s="3576"/>
      <c r="T16" s="3575"/>
      <c r="U16" s="3576"/>
      <c r="V16" s="3575"/>
      <c r="W16" s="3576"/>
      <c r="X16" s="984"/>
      <c r="Y16" s="4410"/>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82"/>
      <c r="Q17" s="1592" t="str">
        <f>B17</f>
        <v>交通便捷度</v>
      </c>
      <c r="R17" s="3575" t="s">
        <v>13</v>
      </c>
      <c r="S17" s="3576">
        <f>F17</f>
        <v>100</v>
      </c>
      <c r="T17" s="3575" t="s">
        <v>13</v>
      </c>
      <c r="U17" s="3576">
        <f>H17</f>
        <v>100</v>
      </c>
      <c r="V17" s="3575" t="s">
        <v>13</v>
      </c>
      <c r="W17" s="3576">
        <f>J17</f>
        <v>100</v>
      </c>
      <c r="X17" s="984"/>
      <c r="Y17" s="4410"/>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82"/>
      <c r="Q18" s="1592"/>
      <c r="R18" s="3575"/>
      <c r="S18" s="3576"/>
      <c r="T18" s="3575"/>
      <c r="U18" s="3576"/>
      <c r="V18" s="3575"/>
      <c r="W18" s="3576"/>
      <c r="X18" s="984"/>
      <c r="Y18" s="4410"/>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82"/>
      <c r="Q19" s="1592" t="str">
        <f>B19</f>
        <v>公共配套设施</v>
      </c>
      <c r="R19" s="3575" t="s">
        <v>13</v>
      </c>
      <c r="S19" s="3576">
        <f>F19</f>
        <v>100</v>
      </c>
      <c r="T19" s="3575" t="s">
        <v>13</v>
      </c>
      <c r="U19" s="3576">
        <f>H19</f>
        <v>100</v>
      </c>
      <c r="V19" s="3575" t="s">
        <v>13</v>
      </c>
      <c r="W19" s="3576">
        <f>J19</f>
        <v>100</v>
      </c>
      <c r="X19" s="984"/>
      <c r="Y19" s="4410"/>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82"/>
      <c r="Q20" s="1592"/>
      <c r="R20" s="3575"/>
      <c r="S20" s="3576"/>
      <c r="T20" s="3575"/>
      <c r="U20" s="3576"/>
      <c r="V20" s="3575"/>
      <c r="W20" s="3576"/>
      <c r="X20" s="984"/>
      <c r="Y20" s="4410"/>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82"/>
      <c r="Q21" s="1592" t="str">
        <f>B21</f>
        <v>基础设施水平</v>
      </c>
      <c r="R21" s="3575" t="s">
        <v>13</v>
      </c>
      <c r="S21" s="3576">
        <f>F21</f>
        <v>100</v>
      </c>
      <c r="T21" s="3575" t="s">
        <v>13</v>
      </c>
      <c r="U21" s="3576">
        <f>H21</f>
        <v>100</v>
      </c>
      <c r="V21" s="3575" t="s">
        <v>13</v>
      </c>
      <c r="W21" s="3576">
        <f>J21</f>
        <v>100</v>
      </c>
      <c r="X21" s="984"/>
      <c r="Y21" s="4410"/>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82"/>
      <c r="Q22" s="1592"/>
      <c r="R22" s="3575"/>
      <c r="S22" s="3576"/>
      <c r="T22" s="3575"/>
      <c r="U22" s="3576"/>
      <c r="V22" s="3575"/>
      <c r="W22" s="3576"/>
      <c r="X22" s="984"/>
      <c r="Y22" s="4410"/>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82"/>
      <c r="Q23" s="1592" t="str">
        <f>B23</f>
        <v>环境质量</v>
      </c>
      <c r="R23" s="3575" t="s">
        <v>13</v>
      </c>
      <c r="S23" s="3576">
        <f>F23</f>
        <v>100</v>
      </c>
      <c r="T23" s="3575" t="s">
        <v>13</v>
      </c>
      <c r="U23" s="3576">
        <f>H23</f>
        <v>100</v>
      </c>
      <c r="V23" s="3575" t="s">
        <v>13</v>
      </c>
      <c r="W23" s="3576">
        <f>J23</f>
        <v>100</v>
      </c>
      <c r="X23" s="984"/>
      <c r="Y23" s="4410"/>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82"/>
      <c r="Q24" s="1592"/>
      <c r="R24" s="3575"/>
      <c r="S24" s="3576"/>
      <c r="T24" s="3575"/>
      <c r="U24" s="3576"/>
      <c r="V24" s="3575"/>
      <c r="W24" s="3576"/>
      <c r="X24" s="984"/>
      <c r="Y24" s="4410"/>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82"/>
      <c r="Q25" s="1592">
        <f>B25</f>
        <v>111</v>
      </c>
      <c r="R25" s="3575" t="s">
        <v>13</v>
      </c>
      <c r="S25" s="3576">
        <f>F25</f>
        <v>100</v>
      </c>
      <c r="T25" s="3575" t="s">
        <v>13</v>
      </c>
      <c r="U25" s="3576">
        <f>H25</f>
        <v>100</v>
      </c>
      <c r="V25" s="3575" t="s">
        <v>13</v>
      </c>
      <c r="W25" s="3576">
        <f>J25</f>
        <v>100</v>
      </c>
      <c r="X25" s="984"/>
      <c r="Y25" s="4410"/>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82"/>
      <c r="Q26" s="1592">
        <f t="shared" ref="Q26:Q40" si="11">B26</f>
        <v>111</v>
      </c>
      <c r="R26" s="3575" t="s">
        <v>13</v>
      </c>
      <c r="S26" s="3576">
        <f>F26</f>
        <v>100</v>
      </c>
      <c r="T26" s="3575" t="s">
        <v>13</v>
      </c>
      <c r="U26" s="3576">
        <f>H26</f>
        <v>100</v>
      </c>
      <c r="V26" s="3575" t="s">
        <v>13</v>
      </c>
      <c r="W26" s="3576">
        <f>J26</f>
        <v>100</v>
      </c>
      <c r="X26" s="984"/>
      <c r="Y26" s="4410"/>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82"/>
      <c r="Q27" s="1792">
        <f t="shared" si="11"/>
        <v>111</v>
      </c>
      <c r="R27" s="3573" t="s">
        <v>13</v>
      </c>
      <c r="S27" s="3574">
        <f>F27</f>
        <v>100</v>
      </c>
      <c r="T27" s="3573" t="s">
        <v>13</v>
      </c>
      <c r="U27" s="3574">
        <f>H27</f>
        <v>100</v>
      </c>
      <c r="V27" s="3573" t="s">
        <v>13</v>
      </c>
      <c r="W27" s="3574">
        <f>J27</f>
        <v>100</v>
      </c>
      <c r="X27" s="513"/>
      <c r="Y27" s="4410"/>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82"/>
      <c r="Q28" s="1592">
        <f t="shared" si="11"/>
        <v>111</v>
      </c>
      <c r="R28" s="3575" t="s">
        <v>13</v>
      </c>
      <c r="S28" s="3576">
        <f t="shared" ref="S28:S40" si="12">F28</f>
        <v>100</v>
      </c>
      <c r="T28" s="3575" t="s">
        <v>13</v>
      </c>
      <c r="U28" s="3576">
        <f t="shared" ref="U28:U40" si="13">H28</f>
        <v>100</v>
      </c>
      <c r="V28" s="3575" t="s">
        <v>13</v>
      </c>
      <c r="W28" s="3576">
        <f t="shared" ref="W28:W40" si="14">J28</f>
        <v>100</v>
      </c>
      <c r="X28" s="984"/>
      <c r="Y28" s="4410"/>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83" t="s">
        <v>1623</v>
      </c>
      <c r="Q29" s="1592" t="str">
        <f t="shared" si="11"/>
        <v>建筑类型</v>
      </c>
      <c r="R29" s="3575" t="s">
        <v>13</v>
      </c>
      <c r="S29" s="3576">
        <f t="shared" si="12"/>
        <v>100</v>
      </c>
      <c r="T29" s="3575" t="s">
        <v>13</v>
      </c>
      <c r="U29" s="3576">
        <f t="shared" si="13"/>
        <v>100</v>
      </c>
      <c r="V29" s="3575" t="s">
        <v>13</v>
      </c>
      <c r="W29" s="3576">
        <f t="shared" si="14"/>
        <v>100</v>
      </c>
      <c r="X29" s="984"/>
      <c r="Y29" s="4414"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84"/>
      <c r="Q30" s="410" t="str">
        <f t="shared" si="11"/>
        <v>项目建筑规模</v>
      </c>
      <c r="R30" s="3577" t="s">
        <v>13</v>
      </c>
      <c r="S30" s="3578" t="e">
        <f t="shared" si="12"/>
        <v>#N/A</v>
      </c>
      <c r="T30" s="3577" t="s">
        <v>13</v>
      </c>
      <c r="U30" s="3578" t="e">
        <f t="shared" si="13"/>
        <v>#N/A</v>
      </c>
      <c r="V30" s="3577" t="s">
        <v>13</v>
      </c>
      <c r="W30" s="3578" t="e">
        <f t="shared" si="14"/>
        <v>#N/A</v>
      </c>
      <c r="X30" s="518"/>
      <c r="Y30" s="4414"/>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84"/>
      <c r="Q31" s="1592" t="str">
        <f t="shared" si="11"/>
        <v>建筑结构</v>
      </c>
      <c r="R31" s="3575" t="s">
        <v>13</v>
      </c>
      <c r="S31" s="3576">
        <f t="shared" si="12"/>
        <v>100</v>
      </c>
      <c r="T31" s="3575" t="s">
        <v>13</v>
      </c>
      <c r="U31" s="3576">
        <f t="shared" si="13"/>
        <v>100</v>
      </c>
      <c r="V31" s="3575" t="s">
        <v>13</v>
      </c>
      <c r="W31" s="3576">
        <f t="shared" si="14"/>
        <v>100</v>
      </c>
      <c r="X31" s="984"/>
      <c r="Y31" s="4414"/>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84"/>
      <c r="Q32" s="1592" t="str">
        <f t="shared" si="11"/>
        <v>公共部分装修</v>
      </c>
      <c r="R32" s="3575" t="s">
        <v>13</v>
      </c>
      <c r="S32" s="3576">
        <f t="shared" si="12"/>
        <v>100</v>
      </c>
      <c r="T32" s="3575" t="s">
        <v>13</v>
      </c>
      <c r="U32" s="3576">
        <f t="shared" si="13"/>
        <v>100</v>
      </c>
      <c r="V32" s="3575" t="s">
        <v>13</v>
      </c>
      <c r="W32" s="3576">
        <f t="shared" si="14"/>
        <v>100</v>
      </c>
      <c r="X32" s="984"/>
      <c r="Y32" s="4414"/>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84"/>
      <c r="Q33" s="1592" t="str">
        <f t="shared" si="11"/>
        <v>成新度</v>
      </c>
      <c r="R33" s="3575" t="s">
        <v>13</v>
      </c>
      <c r="S33" s="3576" t="e">
        <f t="shared" si="12"/>
        <v>#N/A</v>
      </c>
      <c r="T33" s="3575" t="s">
        <v>13</v>
      </c>
      <c r="U33" s="3576" t="e">
        <f t="shared" si="13"/>
        <v>#N/A</v>
      </c>
      <c r="V33" s="3575" t="s">
        <v>13</v>
      </c>
      <c r="W33" s="3576" t="e">
        <f t="shared" si="14"/>
        <v>#N/A</v>
      </c>
      <c r="X33" s="984"/>
      <c r="Y33" s="4414"/>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84"/>
      <c r="Q34" s="1792" t="str">
        <f t="shared" si="11"/>
        <v>物业管理</v>
      </c>
      <c r="R34" s="3573" t="s">
        <v>13</v>
      </c>
      <c r="S34" s="3574">
        <f t="shared" si="12"/>
        <v>100</v>
      </c>
      <c r="T34" s="3573" t="s">
        <v>13</v>
      </c>
      <c r="U34" s="3574">
        <f t="shared" si="13"/>
        <v>100</v>
      </c>
      <c r="V34" s="3573" t="s">
        <v>13</v>
      </c>
      <c r="W34" s="3574">
        <f t="shared" si="14"/>
        <v>100</v>
      </c>
      <c r="X34" s="513"/>
      <c r="Y34" s="4414"/>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84" t="s">
        <v>1623</v>
      </c>
      <c r="Q35" s="1592" t="str">
        <f t="shared" si="11"/>
        <v>市政基础设施</v>
      </c>
      <c r="R35" s="3575" t="s">
        <v>13</v>
      </c>
      <c r="S35" s="3576">
        <f t="shared" si="12"/>
        <v>100</v>
      </c>
      <c r="T35" s="3575" t="s">
        <v>13</v>
      </c>
      <c r="U35" s="3576">
        <f t="shared" si="13"/>
        <v>100</v>
      </c>
      <c r="V35" s="3575" t="s">
        <v>13</v>
      </c>
      <c r="W35" s="3576">
        <f t="shared" si="14"/>
        <v>100</v>
      </c>
      <c r="X35" s="984"/>
      <c r="Y35" s="4414"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84"/>
      <c r="Q36" s="1592" t="str">
        <f t="shared" si="11"/>
        <v>内部装修</v>
      </c>
      <c r="R36" s="3575" t="s">
        <v>13</v>
      </c>
      <c r="S36" s="3576">
        <f t="shared" si="12"/>
        <v>100</v>
      </c>
      <c r="T36" s="3575" t="s">
        <v>13</v>
      </c>
      <c r="U36" s="3576">
        <f t="shared" si="13"/>
        <v>100</v>
      </c>
      <c r="V36" s="3575" t="s">
        <v>13</v>
      </c>
      <c r="W36" s="3576">
        <f t="shared" si="14"/>
        <v>100</v>
      </c>
      <c r="X36" s="984"/>
      <c r="Y36" s="4414"/>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84"/>
      <c r="Q37" s="1592" t="str">
        <f t="shared" si="11"/>
        <v>内部装修状况</v>
      </c>
      <c r="R37" s="3575" t="s">
        <v>13</v>
      </c>
      <c r="S37" s="3576">
        <f t="shared" si="12"/>
        <v>100</v>
      </c>
      <c r="T37" s="3575" t="s">
        <v>13</v>
      </c>
      <c r="U37" s="3576">
        <f t="shared" si="13"/>
        <v>100</v>
      </c>
      <c r="V37" s="3575" t="s">
        <v>13</v>
      </c>
      <c r="W37" s="3576">
        <f t="shared" si="14"/>
        <v>100</v>
      </c>
      <c r="X37" s="984"/>
      <c r="Y37" s="4414"/>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84"/>
      <c r="Q38" s="410">
        <f t="shared" si="11"/>
        <v>111</v>
      </c>
      <c r="R38" s="3577" t="s">
        <v>13</v>
      </c>
      <c r="S38" s="3578">
        <f t="shared" si="12"/>
        <v>100</v>
      </c>
      <c r="T38" s="3577" t="s">
        <v>13</v>
      </c>
      <c r="U38" s="3578">
        <f t="shared" si="13"/>
        <v>100</v>
      </c>
      <c r="V38" s="3577" t="s">
        <v>13</v>
      </c>
      <c r="W38" s="3578">
        <f t="shared" si="14"/>
        <v>100</v>
      </c>
      <c r="X38" s="518"/>
      <c r="Y38" s="4414"/>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84"/>
      <c r="Q39" s="1592">
        <f t="shared" si="11"/>
        <v>111</v>
      </c>
      <c r="R39" s="3575" t="s">
        <v>13</v>
      </c>
      <c r="S39" s="3576">
        <f t="shared" si="12"/>
        <v>100</v>
      </c>
      <c r="T39" s="3575" t="s">
        <v>13</v>
      </c>
      <c r="U39" s="3576">
        <f t="shared" si="13"/>
        <v>100</v>
      </c>
      <c r="V39" s="3575" t="s">
        <v>13</v>
      </c>
      <c r="W39" s="3576">
        <f t="shared" si="14"/>
        <v>100</v>
      </c>
      <c r="X39" s="984"/>
      <c r="Y39" s="4414"/>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85"/>
      <c r="Q40" s="1592">
        <f t="shared" si="11"/>
        <v>111</v>
      </c>
      <c r="R40" s="3575" t="s">
        <v>13</v>
      </c>
      <c r="S40" s="3576">
        <f t="shared" si="12"/>
        <v>100</v>
      </c>
      <c r="T40" s="3575" t="s">
        <v>13</v>
      </c>
      <c r="U40" s="3576">
        <f t="shared" si="13"/>
        <v>100</v>
      </c>
      <c r="V40" s="3575" t="s">
        <v>13</v>
      </c>
      <c r="W40" s="3576">
        <f t="shared" si="14"/>
        <v>100</v>
      </c>
      <c r="X40" s="984"/>
      <c r="Y40" s="4415"/>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407" t="str">
        <f>A41</f>
        <v>成交单价（元/平方米）</v>
      </c>
      <c r="Q41" s="4407"/>
      <c r="R41" s="4408">
        <f>E41</f>
        <v>0</v>
      </c>
      <c r="S41" s="4408"/>
      <c r="T41" s="4408">
        <f>G41</f>
        <v>0</v>
      </c>
      <c r="U41" s="4408"/>
      <c r="V41" s="4408">
        <f>I41</f>
        <v>0</v>
      </c>
      <c r="W41" s="4408"/>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407" t="str">
        <f>A42</f>
        <v>比较价值（元/平方米）</v>
      </c>
      <c r="Q42" s="4407"/>
      <c r="R42" s="4408" t="e">
        <f>IF(F1="售价",ROUND(PRODUCT(R41,AA7:AA40),0),ROUND(PRODUCT(R41,AA7:AA40),1))</f>
        <v>#DIV/0!</v>
      </c>
      <c r="S42" s="4408"/>
      <c r="T42" s="4408" t="e">
        <f>IF(F1="售价",ROUND(PRODUCT(T41,AB7:AB40),0),ROUND(PRODUCT(T41,AB7:AB40),1))</f>
        <v>#DIV/0!</v>
      </c>
      <c r="U42" s="4408"/>
      <c r="V42" s="4408" t="e">
        <f>IF(F1="售价",ROUND(PRODUCT(V41,AC7:AC40),0),ROUND(PRODUCT(V41,AC7:AC40),1))</f>
        <v>#DIV/0!</v>
      </c>
      <c r="W42" s="4408"/>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404" t="str">
        <f>A43</f>
        <v>估价对象XX用房的比较价值（楼面单价，元/平方米）</v>
      </c>
      <c r="Q43" s="4405"/>
      <c r="R43" s="4406" t="e">
        <f>IF(F1="售价",ROUND(IF(D42="简单平均",AVERAGE(R42:V42),R42*F42+T42*H42+V42*J42),0),ROUND(IF(D42="简单平均",AVERAGE(R42:V42),R42*F42+T42*H42+V42*J42),1))</f>
        <v>#DIV/0!</v>
      </c>
      <c r="S43" s="4406"/>
      <c r="T43" s="4406"/>
      <c r="U43" s="4406"/>
      <c r="V43" s="4406"/>
      <c r="W43" s="4406"/>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34" t="s">
        <v>1697</v>
      </c>
      <c r="D4" s="4435"/>
      <c r="E4" s="4436" t="s">
        <v>1698</v>
      </c>
      <c r="F4" s="4437"/>
      <c r="G4" s="4434" t="s">
        <v>1699</v>
      </c>
      <c r="H4" s="4435"/>
      <c r="I4" s="4434" t="s">
        <v>1700</v>
      </c>
      <c r="J4" s="4435"/>
      <c r="K4" s="415" t="s">
        <v>1701</v>
      </c>
      <c r="L4" s="2083"/>
      <c r="M4" s="2084"/>
      <c r="N4" s="2084"/>
      <c r="O4" s="2084"/>
      <c r="P4" s="4487" t="s">
        <v>1702</v>
      </c>
      <c r="Q4" s="4488"/>
      <c r="R4" s="4397" t="s">
        <v>1698</v>
      </c>
      <c r="S4" s="4398"/>
      <c r="T4" s="4397" t="s">
        <v>1699</v>
      </c>
      <c r="U4" s="4398"/>
      <c r="V4" s="4479" t="s">
        <v>1700</v>
      </c>
      <c r="W4" s="4479"/>
      <c r="X4" s="984"/>
      <c r="Y4" s="4397" t="s">
        <v>1702</v>
      </c>
      <c r="Z4" s="4398"/>
      <c r="AA4" s="4363" t="s">
        <v>1698</v>
      </c>
      <c r="AB4" s="4364" t="s">
        <v>1699</v>
      </c>
      <c r="AC4" s="4363" t="s">
        <v>1700</v>
      </c>
    </row>
    <row r="5" spans="1:29" ht="15">
      <c r="A5" s="257"/>
      <c r="B5" s="258"/>
      <c r="C5" s="4424" t="s">
        <v>1600</v>
      </c>
      <c r="D5" s="4425"/>
      <c r="E5" s="4480" t="s">
        <v>1601</v>
      </c>
      <c r="F5" s="4423"/>
      <c r="G5" s="4424" t="s">
        <v>1602</v>
      </c>
      <c r="H5" s="4425"/>
      <c r="I5" s="4424" t="s">
        <v>1603</v>
      </c>
      <c r="J5" s="4425"/>
      <c r="K5" s="415"/>
      <c r="L5" s="2083"/>
      <c r="M5" s="2084"/>
      <c r="N5" s="2084"/>
      <c r="O5" s="2084"/>
      <c r="P5" s="4489"/>
      <c r="Q5" s="4490"/>
      <c r="R5" s="4399"/>
      <c r="S5" s="4400"/>
      <c r="T5" s="4399"/>
      <c r="U5" s="4400"/>
      <c r="V5" s="4479"/>
      <c r="W5" s="4479"/>
      <c r="X5" s="984"/>
      <c r="Y5" s="4399"/>
      <c r="Z5" s="4400"/>
      <c r="AA5" s="4364"/>
      <c r="AB5" s="4364"/>
      <c r="AC5" s="4364"/>
    </row>
    <row r="6" spans="1:29" ht="15.75" thickBot="1">
      <c r="A6" s="259"/>
      <c r="B6" s="260"/>
      <c r="C6" s="4426" t="s">
        <v>1604</v>
      </c>
      <c r="D6" s="4427"/>
      <c r="E6" s="4429" t="s">
        <v>1604</v>
      </c>
      <c r="F6" s="4430"/>
      <c r="G6" s="4426" t="s">
        <v>1604</v>
      </c>
      <c r="H6" s="4427"/>
      <c r="I6" s="4426" t="s">
        <v>1604</v>
      </c>
      <c r="J6" s="4427"/>
      <c r="K6" s="415" t="s">
        <v>1605</v>
      </c>
      <c r="L6" s="2083"/>
      <c r="M6" s="2084"/>
      <c r="N6" s="2084"/>
      <c r="O6" s="2084"/>
      <c r="P6" s="4491"/>
      <c r="Q6" s="4492"/>
      <c r="R6" s="4399"/>
      <c r="S6" s="4400"/>
      <c r="T6" s="4401"/>
      <c r="U6" s="4402"/>
      <c r="V6" s="4479"/>
      <c r="W6" s="4479"/>
      <c r="X6" s="984"/>
      <c r="Y6" s="4401"/>
      <c r="Z6" s="4402"/>
      <c r="AA6" s="4365"/>
      <c r="AB6" s="4365"/>
      <c r="AC6" s="4365"/>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66" t="s">
        <v>1607</v>
      </c>
      <c r="Q7" s="4493"/>
      <c r="R7" s="511" t="s">
        <v>13</v>
      </c>
      <c r="S7" s="512">
        <f t="shared" ref="S7:S14" si="0">F7</f>
        <v>0</v>
      </c>
      <c r="T7" s="511" t="s">
        <v>13</v>
      </c>
      <c r="U7" s="512">
        <f t="shared" ref="U7:U14" si="1">H7</f>
        <v>0</v>
      </c>
      <c r="V7" s="511" t="s">
        <v>13</v>
      </c>
      <c r="W7" s="512">
        <f t="shared" ref="W7:W14" si="2">J7</f>
        <v>0</v>
      </c>
      <c r="X7" s="513"/>
      <c r="Y7" s="4366" t="s">
        <v>1607</v>
      </c>
      <c r="Z7" s="4367"/>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66" t="s">
        <v>1610</v>
      </c>
      <c r="Q8" s="4367"/>
      <c r="R8" s="511" t="s">
        <v>13</v>
      </c>
      <c r="S8" s="512">
        <f t="shared" si="0"/>
        <v>100</v>
      </c>
      <c r="T8" s="511" t="s">
        <v>13</v>
      </c>
      <c r="U8" s="512">
        <f t="shared" si="1"/>
        <v>100</v>
      </c>
      <c r="V8" s="511" t="s">
        <v>13</v>
      </c>
      <c r="W8" s="512">
        <f t="shared" si="2"/>
        <v>100</v>
      </c>
      <c r="X8" s="513"/>
      <c r="Y8" s="4366" t="s">
        <v>1610</v>
      </c>
      <c r="Z8" s="4367"/>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86" t="s">
        <v>1613</v>
      </c>
      <c r="Q9" s="408" t="str">
        <f t="shared" ref="Q9:Q14" si="6">B9</f>
        <v>用途</v>
      </c>
      <c r="R9" s="511" t="s">
        <v>13</v>
      </c>
      <c r="S9" s="512">
        <f t="shared" si="0"/>
        <v>100</v>
      </c>
      <c r="T9" s="511" t="s">
        <v>13</v>
      </c>
      <c r="U9" s="512">
        <f t="shared" si="1"/>
        <v>100</v>
      </c>
      <c r="V9" s="511" t="s">
        <v>13</v>
      </c>
      <c r="W9" s="512">
        <f t="shared" si="2"/>
        <v>100</v>
      </c>
      <c r="X9" s="513"/>
      <c r="Y9" s="4381"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86"/>
      <c r="Q10" s="408" t="str">
        <f t="shared" si="6"/>
        <v>土地使用年限（年）</v>
      </c>
      <c r="R10" s="511" t="s">
        <v>13</v>
      </c>
      <c r="S10" s="512">
        <f t="shared" si="0"/>
        <v>100</v>
      </c>
      <c r="T10" s="511" t="s">
        <v>13</v>
      </c>
      <c r="U10" s="512">
        <f t="shared" si="1"/>
        <v>100</v>
      </c>
      <c r="V10" s="511" t="s">
        <v>13</v>
      </c>
      <c r="W10" s="512">
        <f t="shared" si="2"/>
        <v>100</v>
      </c>
      <c r="X10" s="513"/>
      <c r="Y10" s="4381"/>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86"/>
      <c r="Q11" s="408">
        <f t="shared" si="6"/>
        <v>111</v>
      </c>
      <c r="R11" s="511" t="s">
        <v>13</v>
      </c>
      <c r="S11" s="512">
        <f t="shared" si="0"/>
        <v>100</v>
      </c>
      <c r="T11" s="511" t="s">
        <v>13</v>
      </c>
      <c r="U11" s="512">
        <f t="shared" si="1"/>
        <v>100</v>
      </c>
      <c r="V11" s="511" t="s">
        <v>13</v>
      </c>
      <c r="W11" s="512">
        <f t="shared" si="2"/>
        <v>100</v>
      </c>
      <c r="X11" s="513"/>
      <c r="Y11" s="4381"/>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86"/>
      <c r="Q12" s="408">
        <f t="shared" si="6"/>
        <v>111</v>
      </c>
      <c r="R12" s="511" t="s">
        <v>13</v>
      </c>
      <c r="S12" s="512">
        <f t="shared" si="0"/>
        <v>100</v>
      </c>
      <c r="T12" s="511" t="s">
        <v>13</v>
      </c>
      <c r="U12" s="512">
        <f t="shared" si="1"/>
        <v>100</v>
      </c>
      <c r="V12" s="511" t="s">
        <v>13</v>
      </c>
      <c r="W12" s="512">
        <f t="shared" si="2"/>
        <v>100</v>
      </c>
      <c r="X12" s="513"/>
      <c r="Y12" s="4381"/>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86"/>
      <c r="Q13" s="408">
        <f t="shared" si="6"/>
        <v>111</v>
      </c>
      <c r="R13" s="511" t="s">
        <v>13</v>
      </c>
      <c r="S13" s="512">
        <f t="shared" si="0"/>
        <v>100</v>
      </c>
      <c r="T13" s="511" t="s">
        <v>13</v>
      </c>
      <c r="U13" s="512">
        <f t="shared" si="1"/>
        <v>100</v>
      </c>
      <c r="V13" s="511" t="s">
        <v>13</v>
      </c>
      <c r="W13" s="512">
        <f t="shared" si="2"/>
        <v>100</v>
      </c>
      <c r="X13" s="513"/>
      <c r="Y13" s="4381"/>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409" t="s">
        <v>1618</v>
      </c>
      <c r="Q14" s="981" t="str">
        <f t="shared" si="6"/>
        <v>交通便捷度</v>
      </c>
      <c r="R14" s="514" t="s">
        <v>13</v>
      </c>
      <c r="S14" s="515">
        <f t="shared" si="0"/>
        <v>100</v>
      </c>
      <c r="T14" s="514" t="s">
        <v>13</v>
      </c>
      <c r="U14" s="515">
        <f t="shared" si="1"/>
        <v>100</v>
      </c>
      <c r="V14" s="514" t="s">
        <v>13</v>
      </c>
      <c r="W14" s="515">
        <f t="shared" si="2"/>
        <v>100</v>
      </c>
      <c r="X14" s="984"/>
      <c r="Y14" s="4409"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410"/>
      <c r="Q15" s="981"/>
      <c r="R15" s="514"/>
      <c r="S15" s="515"/>
      <c r="T15" s="514"/>
      <c r="U15" s="515"/>
      <c r="V15" s="514"/>
      <c r="W15" s="515"/>
      <c r="X15" s="984"/>
      <c r="Y15" s="4410"/>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410"/>
      <c r="Q16" s="981" t="str">
        <f>B16</f>
        <v>公共配套设施</v>
      </c>
      <c r="R16" s="514" t="s">
        <v>13</v>
      </c>
      <c r="S16" s="515">
        <f>F16</f>
        <v>100</v>
      </c>
      <c r="T16" s="514" t="s">
        <v>13</v>
      </c>
      <c r="U16" s="515">
        <f>H16</f>
        <v>100</v>
      </c>
      <c r="V16" s="514" t="s">
        <v>13</v>
      </c>
      <c r="W16" s="515">
        <f>J16</f>
        <v>100</v>
      </c>
      <c r="X16" s="984"/>
      <c r="Y16" s="4410"/>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410"/>
      <c r="Q17" s="981"/>
      <c r="R17" s="514"/>
      <c r="S17" s="515"/>
      <c r="T17" s="514"/>
      <c r="U17" s="515"/>
      <c r="V17" s="514"/>
      <c r="W17" s="515"/>
      <c r="X17" s="984"/>
      <c r="Y17" s="4410"/>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410"/>
      <c r="Q18" s="981" t="str">
        <f>B18</f>
        <v>基础设施水平</v>
      </c>
      <c r="R18" s="514" t="s">
        <v>13</v>
      </c>
      <c r="S18" s="515">
        <f>F18</f>
        <v>100</v>
      </c>
      <c r="T18" s="514" t="s">
        <v>13</v>
      </c>
      <c r="U18" s="515">
        <f>H18</f>
        <v>100</v>
      </c>
      <c r="V18" s="514" t="s">
        <v>13</v>
      </c>
      <c r="W18" s="515">
        <f>J18</f>
        <v>100</v>
      </c>
      <c r="X18" s="984"/>
      <c r="Y18" s="4410"/>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410"/>
      <c r="Q19" s="981"/>
      <c r="R19" s="514"/>
      <c r="S19" s="515"/>
      <c r="T19" s="514"/>
      <c r="U19" s="515"/>
      <c r="V19" s="514"/>
      <c r="W19" s="515"/>
      <c r="X19" s="984"/>
      <c r="Y19" s="4410"/>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410"/>
      <c r="Q20" s="981" t="str">
        <f>B20</f>
        <v>自然及人文环境</v>
      </c>
      <c r="R20" s="514" t="s">
        <v>13</v>
      </c>
      <c r="S20" s="515">
        <f>F20</f>
        <v>100</v>
      </c>
      <c r="T20" s="514" t="s">
        <v>13</v>
      </c>
      <c r="U20" s="515">
        <f>H20</f>
        <v>100</v>
      </c>
      <c r="V20" s="514" t="s">
        <v>13</v>
      </c>
      <c r="W20" s="515">
        <f>J20</f>
        <v>100</v>
      </c>
      <c r="X20" s="984"/>
      <c r="Y20" s="4410"/>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410"/>
      <c r="Q21" s="981"/>
      <c r="R21" s="514"/>
      <c r="S21" s="515"/>
      <c r="T21" s="514"/>
      <c r="U21" s="515"/>
      <c r="V21" s="514"/>
      <c r="W21" s="515"/>
      <c r="X21" s="984"/>
      <c r="Y21" s="4410"/>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410"/>
      <c r="Q22" s="981" t="str">
        <f>B22</f>
        <v>楼层</v>
      </c>
      <c r="R22" s="514" t="s">
        <v>13</v>
      </c>
      <c r="S22" s="515">
        <f>F22</f>
        <v>100</v>
      </c>
      <c r="T22" s="514" t="s">
        <v>13</v>
      </c>
      <c r="U22" s="515">
        <f>H22</f>
        <v>100</v>
      </c>
      <c r="V22" s="514" t="s">
        <v>13</v>
      </c>
      <c r="W22" s="515">
        <f>J22</f>
        <v>100</v>
      </c>
      <c r="X22" s="984"/>
      <c r="Y22" s="4410"/>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410"/>
      <c r="Q23" s="981">
        <f>B23</f>
        <v>111</v>
      </c>
      <c r="R23" s="514" t="s">
        <v>13</v>
      </c>
      <c r="S23" s="515">
        <f>F23</f>
        <v>100</v>
      </c>
      <c r="T23" s="514" t="s">
        <v>13</v>
      </c>
      <c r="U23" s="515">
        <f>H23</f>
        <v>100</v>
      </c>
      <c r="V23" s="514" t="s">
        <v>13</v>
      </c>
      <c r="W23" s="515">
        <f>J23</f>
        <v>100</v>
      </c>
      <c r="X23" s="984"/>
      <c r="Y23" s="4410"/>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410"/>
      <c r="Q24" s="981">
        <f t="shared" ref="Q24:Q36" si="11">B24</f>
        <v>111</v>
      </c>
      <c r="R24" s="514" t="s">
        <v>13</v>
      </c>
      <c r="S24" s="515">
        <f>F24</f>
        <v>100</v>
      </c>
      <c r="T24" s="514" t="s">
        <v>13</v>
      </c>
      <c r="U24" s="515">
        <f>H24</f>
        <v>100</v>
      </c>
      <c r="V24" s="514" t="s">
        <v>13</v>
      </c>
      <c r="W24" s="515">
        <f>J24</f>
        <v>100</v>
      </c>
      <c r="X24" s="984"/>
      <c r="Y24" s="4410"/>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410"/>
      <c r="Q25" s="408">
        <f t="shared" si="11"/>
        <v>111</v>
      </c>
      <c r="R25" s="511" t="s">
        <v>13</v>
      </c>
      <c r="S25" s="512">
        <f>F25</f>
        <v>100</v>
      </c>
      <c r="T25" s="511" t="s">
        <v>13</v>
      </c>
      <c r="U25" s="512">
        <f>H25</f>
        <v>100</v>
      </c>
      <c r="V25" s="511" t="s">
        <v>13</v>
      </c>
      <c r="W25" s="512">
        <f>J25</f>
        <v>100</v>
      </c>
      <c r="X25" s="513"/>
      <c r="Y25" s="4410"/>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94"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414"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414"/>
      <c r="Q27" s="409" t="str">
        <f t="shared" si="11"/>
        <v>项目停车位配比</v>
      </c>
      <c r="R27" s="516" t="s">
        <v>13</v>
      </c>
      <c r="S27" s="517">
        <f t="shared" si="12"/>
        <v>100</v>
      </c>
      <c r="T27" s="516" t="s">
        <v>13</v>
      </c>
      <c r="U27" s="517">
        <f t="shared" si="13"/>
        <v>100</v>
      </c>
      <c r="V27" s="516" t="s">
        <v>13</v>
      </c>
      <c r="W27" s="517">
        <f t="shared" si="14"/>
        <v>100</v>
      </c>
      <c r="X27" s="518"/>
      <c r="Y27" s="4414"/>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414"/>
      <c r="Q28" s="981" t="str">
        <f t="shared" si="11"/>
        <v>公共部分装修</v>
      </c>
      <c r="R28" s="514" t="s">
        <v>13</v>
      </c>
      <c r="S28" s="515">
        <f t="shared" si="12"/>
        <v>100</v>
      </c>
      <c r="T28" s="514" t="s">
        <v>13</v>
      </c>
      <c r="U28" s="515">
        <f t="shared" si="13"/>
        <v>100</v>
      </c>
      <c r="V28" s="514" t="s">
        <v>13</v>
      </c>
      <c r="W28" s="515">
        <f t="shared" si="14"/>
        <v>100</v>
      </c>
      <c r="X28" s="984"/>
      <c r="Y28" s="4414"/>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414"/>
      <c r="Q29" s="981" t="str">
        <f t="shared" si="11"/>
        <v>成新率</v>
      </c>
      <c r="R29" s="514" t="s">
        <v>13</v>
      </c>
      <c r="S29" s="515" t="e">
        <f t="shared" si="12"/>
        <v>#N/A</v>
      </c>
      <c r="T29" s="514" t="s">
        <v>13</v>
      </c>
      <c r="U29" s="515" t="e">
        <f t="shared" si="13"/>
        <v>#N/A</v>
      </c>
      <c r="V29" s="514" t="s">
        <v>13</v>
      </c>
      <c r="W29" s="515" t="e">
        <f t="shared" si="14"/>
        <v>#N/A</v>
      </c>
      <c r="X29" s="984"/>
      <c r="Y29" s="4414"/>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414"/>
      <c r="Q30" s="981" t="str">
        <f t="shared" si="11"/>
        <v>物业等级</v>
      </c>
      <c r="R30" s="514" t="s">
        <v>13</v>
      </c>
      <c r="S30" s="515">
        <f t="shared" si="12"/>
        <v>100</v>
      </c>
      <c r="T30" s="514" t="s">
        <v>13</v>
      </c>
      <c r="U30" s="515">
        <f t="shared" si="13"/>
        <v>100</v>
      </c>
      <c r="V30" s="514" t="s">
        <v>13</v>
      </c>
      <c r="W30" s="515">
        <f t="shared" si="14"/>
        <v>100</v>
      </c>
      <c r="X30" s="984"/>
      <c r="Y30" s="4414"/>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414"/>
      <c r="Q31" s="408" t="str">
        <f t="shared" si="11"/>
        <v>停车位面积</v>
      </c>
      <c r="R31" s="511" t="s">
        <v>13</v>
      </c>
      <c r="S31" s="512" t="e">
        <f t="shared" si="12"/>
        <v>#N/A</v>
      </c>
      <c r="T31" s="511" t="s">
        <v>13</v>
      </c>
      <c r="U31" s="512" t="e">
        <f t="shared" si="13"/>
        <v>#N/A</v>
      </c>
      <c r="V31" s="511" t="s">
        <v>13</v>
      </c>
      <c r="W31" s="512" t="e">
        <f t="shared" si="14"/>
        <v>#N/A</v>
      </c>
      <c r="X31" s="513"/>
      <c r="Y31" s="4414"/>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414" t="s">
        <v>1623</v>
      </c>
      <c r="Q32" s="981" t="str">
        <f t="shared" si="11"/>
        <v>车位类型</v>
      </c>
      <c r="R32" s="514" t="s">
        <v>13</v>
      </c>
      <c r="S32" s="515">
        <f t="shared" si="12"/>
        <v>100</v>
      </c>
      <c r="T32" s="514" t="s">
        <v>13</v>
      </c>
      <c r="U32" s="515">
        <f t="shared" si="13"/>
        <v>100</v>
      </c>
      <c r="V32" s="514" t="s">
        <v>13</v>
      </c>
      <c r="W32" s="515">
        <f t="shared" si="14"/>
        <v>100</v>
      </c>
      <c r="X32" s="984"/>
      <c r="Y32" s="4414"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414"/>
      <c r="Q33" s="981" t="str">
        <f t="shared" si="11"/>
        <v>是否直接入户</v>
      </c>
      <c r="R33" s="514" t="s">
        <v>13</v>
      </c>
      <c r="S33" s="515">
        <f t="shared" si="12"/>
        <v>100</v>
      </c>
      <c r="T33" s="514" t="s">
        <v>13</v>
      </c>
      <c r="U33" s="515">
        <f t="shared" si="13"/>
        <v>100</v>
      </c>
      <c r="V33" s="514" t="s">
        <v>13</v>
      </c>
      <c r="W33" s="515">
        <f t="shared" si="14"/>
        <v>100</v>
      </c>
      <c r="X33" s="984"/>
      <c r="Y33" s="4414"/>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414"/>
      <c r="Q34" s="981">
        <f t="shared" si="11"/>
        <v>111</v>
      </c>
      <c r="R34" s="514" t="s">
        <v>13</v>
      </c>
      <c r="S34" s="515">
        <f t="shared" si="12"/>
        <v>100</v>
      </c>
      <c r="T34" s="514" t="s">
        <v>13</v>
      </c>
      <c r="U34" s="515">
        <f t="shared" si="13"/>
        <v>100</v>
      </c>
      <c r="V34" s="514" t="s">
        <v>13</v>
      </c>
      <c r="W34" s="515">
        <f t="shared" si="14"/>
        <v>100</v>
      </c>
      <c r="X34" s="984"/>
      <c r="Y34" s="4414"/>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414"/>
      <c r="Q35" s="409">
        <f t="shared" si="11"/>
        <v>111</v>
      </c>
      <c r="R35" s="516" t="s">
        <v>13</v>
      </c>
      <c r="S35" s="517">
        <f t="shared" si="12"/>
        <v>100</v>
      </c>
      <c r="T35" s="516" t="s">
        <v>13</v>
      </c>
      <c r="U35" s="517">
        <f t="shared" si="13"/>
        <v>100</v>
      </c>
      <c r="V35" s="516" t="s">
        <v>13</v>
      </c>
      <c r="W35" s="517">
        <f t="shared" si="14"/>
        <v>100</v>
      </c>
      <c r="X35" s="518"/>
      <c r="Y35" s="4414"/>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414"/>
      <c r="Q36" s="981">
        <f t="shared" si="11"/>
        <v>111</v>
      </c>
      <c r="R36" s="514" t="s">
        <v>13</v>
      </c>
      <c r="S36" s="515">
        <f t="shared" si="12"/>
        <v>100</v>
      </c>
      <c r="T36" s="514" t="s">
        <v>13</v>
      </c>
      <c r="U36" s="515">
        <f t="shared" si="13"/>
        <v>100</v>
      </c>
      <c r="V36" s="514" t="s">
        <v>13</v>
      </c>
      <c r="W36" s="515">
        <f t="shared" si="14"/>
        <v>100</v>
      </c>
      <c r="X36" s="984"/>
      <c r="Y36" s="4414"/>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86" t="str">
        <f>A37</f>
        <v>成交单价</v>
      </c>
      <c r="Q37" s="4486"/>
      <c r="R37" s="4479">
        <f>E37</f>
        <v>0</v>
      </c>
      <c r="S37" s="4479"/>
      <c r="T37" s="4479">
        <f>G37</f>
        <v>0</v>
      </c>
      <c r="U37" s="4479"/>
      <c r="V37" s="4479">
        <f>I37</f>
        <v>0</v>
      </c>
      <c r="W37" s="4479"/>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86" t="str">
        <f>A38</f>
        <v>比较价值（元/平方米）</v>
      </c>
      <c r="Q38" s="4486"/>
      <c r="R38" s="4479" t="e">
        <f>IF(F1="售价",ROUND(PRODUCT(R37,AA7:AA36),0),ROUND(PRODUCT(R37,AA7:AA36),1))</f>
        <v>#DIV/0!</v>
      </c>
      <c r="S38" s="4479"/>
      <c r="T38" s="4479" t="e">
        <f>IF(F1="售价",ROUND(PRODUCT(T37,AB7:AB36),0),ROUND(PRODUCT(T37,AB7:AB36),1))</f>
        <v>#DIV/0!</v>
      </c>
      <c r="U38" s="4479"/>
      <c r="V38" s="4479" t="e">
        <f>IF(F1="售价",ROUND(PRODUCT(V37,AC7:AC36),0),ROUND(PRODUCT(V37,AC7:AC36),1))</f>
        <v>#DIV/0!</v>
      </c>
      <c r="W38" s="4479"/>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95" t="str">
        <f>A39</f>
        <v>估价对象XX用房的比较价值（楼面单价，元/平方米）</v>
      </c>
      <c r="Q39" s="4496"/>
      <c r="R39" s="4497" t="e">
        <f>IF(F1="售价",ROUND(IF(D38="简单平均",AVERAGE(R38:W38),R38*F38+T38*H38+V38*J38),0),ROUND(IF(D38="简单平均",AVERAGE(R38:V38),R38*F38+T38*H38+V38*J38),1))</f>
        <v>#DIV/0!</v>
      </c>
      <c r="S39" s="4497"/>
      <c r="T39" s="4497"/>
      <c r="U39" s="4497"/>
      <c r="V39" s="4497"/>
      <c r="W39" s="4497"/>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34" t="s">
        <v>1697</v>
      </c>
      <c r="D4" s="4435"/>
      <c r="E4" s="4436" t="s">
        <v>1698</v>
      </c>
      <c r="F4" s="4437"/>
      <c r="G4" s="4434" t="s">
        <v>1699</v>
      </c>
      <c r="H4" s="4435"/>
      <c r="I4" s="4434" t="s">
        <v>1700</v>
      </c>
      <c r="J4" s="4435"/>
      <c r="K4" s="415" t="s">
        <v>1701</v>
      </c>
      <c r="L4" s="2083"/>
      <c r="M4" s="2084"/>
      <c r="N4" s="2084"/>
      <c r="O4" s="2084"/>
      <c r="P4" s="4487" t="s">
        <v>1702</v>
      </c>
      <c r="Q4" s="4488"/>
      <c r="R4" s="4397" t="s">
        <v>1698</v>
      </c>
      <c r="S4" s="4398"/>
      <c r="T4" s="4397" t="s">
        <v>1699</v>
      </c>
      <c r="U4" s="4398"/>
      <c r="V4" s="4479" t="s">
        <v>1700</v>
      </c>
      <c r="W4" s="4479"/>
      <c r="X4" s="984"/>
      <c r="Y4" s="4397" t="s">
        <v>1702</v>
      </c>
      <c r="Z4" s="4398"/>
      <c r="AA4" s="4363" t="s">
        <v>1698</v>
      </c>
      <c r="AB4" s="4364" t="s">
        <v>1699</v>
      </c>
      <c r="AC4" s="4363" t="s">
        <v>1700</v>
      </c>
    </row>
    <row r="5" spans="1:29" ht="15">
      <c r="A5" s="257"/>
      <c r="B5" s="258"/>
      <c r="C5" s="4424" t="s">
        <v>1600</v>
      </c>
      <c r="D5" s="4425"/>
      <c r="E5" s="4480" t="s">
        <v>1601</v>
      </c>
      <c r="F5" s="4423"/>
      <c r="G5" s="4424" t="s">
        <v>1602</v>
      </c>
      <c r="H5" s="4425"/>
      <c r="I5" s="4424" t="s">
        <v>1603</v>
      </c>
      <c r="J5" s="4425"/>
      <c r="K5" s="415"/>
      <c r="L5" s="2083"/>
      <c r="M5" s="2084"/>
      <c r="N5" s="2084"/>
      <c r="O5" s="2084"/>
      <c r="P5" s="4489"/>
      <c r="Q5" s="4490"/>
      <c r="R5" s="4399"/>
      <c r="S5" s="4400"/>
      <c r="T5" s="4399"/>
      <c r="U5" s="4400"/>
      <c r="V5" s="4479"/>
      <c r="W5" s="4479"/>
      <c r="X5" s="984"/>
      <c r="Y5" s="4399"/>
      <c r="Z5" s="4400"/>
      <c r="AA5" s="4364"/>
      <c r="AB5" s="4364"/>
      <c r="AC5" s="4364"/>
    </row>
    <row r="6" spans="1:29" ht="15.75" thickBot="1">
      <c r="A6" s="259"/>
      <c r="B6" s="260"/>
      <c r="C6" s="4426" t="s">
        <v>1604</v>
      </c>
      <c r="D6" s="4427"/>
      <c r="E6" s="4429" t="s">
        <v>1604</v>
      </c>
      <c r="F6" s="4430"/>
      <c r="G6" s="4426" t="s">
        <v>1604</v>
      </c>
      <c r="H6" s="4427"/>
      <c r="I6" s="4426" t="s">
        <v>1604</v>
      </c>
      <c r="J6" s="4427"/>
      <c r="K6" s="415" t="s">
        <v>1605</v>
      </c>
      <c r="L6" s="2083"/>
      <c r="M6" s="2084"/>
      <c r="N6" s="2084"/>
      <c r="O6" s="2084"/>
      <c r="P6" s="4491"/>
      <c r="Q6" s="4492"/>
      <c r="R6" s="4399"/>
      <c r="S6" s="4400"/>
      <c r="T6" s="4401"/>
      <c r="U6" s="4402"/>
      <c r="V6" s="4479"/>
      <c r="W6" s="4479"/>
      <c r="X6" s="984"/>
      <c r="Y6" s="4401"/>
      <c r="Z6" s="4402"/>
      <c r="AA6" s="4365"/>
      <c r="AB6" s="4365"/>
      <c r="AC6" s="4365"/>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66" t="s">
        <v>1607</v>
      </c>
      <c r="Q7" s="4493"/>
      <c r="R7" s="511" t="s">
        <v>13</v>
      </c>
      <c r="S7" s="512">
        <f t="shared" ref="S7:S14" si="0">F7</f>
        <v>0</v>
      </c>
      <c r="T7" s="511" t="s">
        <v>13</v>
      </c>
      <c r="U7" s="512">
        <f t="shared" ref="U7:U14" si="1">H7</f>
        <v>0</v>
      </c>
      <c r="V7" s="511" t="s">
        <v>13</v>
      </c>
      <c r="W7" s="512">
        <f t="shared" ref="W7:W14" si="2">J7</f>
        <v>0</v>
      </c>
      <c r="X7" s="513"/>
      <c r="Y7" s="4366" t="s">
        <v>1607</v>
      </c>
      <c r="Z7" s="4367"/>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66" t="s">
        <v>1610</v>
      </c>
      <c r="Q8" s="4367"/>
      <c r="R8" s="511" t="s">
        <v>13</v>
      </c>
      <c r="S8" s="512">
        <f t="shared" si="0"/>
        <v>100</v>
      </c>
      <c r="T8" s="511" t="s">
        <v>13</v>
      </c>
      <c r="U8" s="512">
        <f t="shared" si="1"/>
        <v>100</v>
      </c>
      <c r="V8" s="511" t="s">
        <v>13</v>
      </c>
      <c r="W8" s="512">
        <f t="shared" si="2"/>
        <v>100</v>
      </c>
      <c r="X8" s="513"/>
      <c r="Y8" s="4366" t="s">
        <v>1610</v>
      </c>
      <c r="Z8" s="4367"/>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86" t="s">
        <v>1613</v>
      </c>
      <c r="Q9" s="408" t="str">
        <f t="shared" ref="Q9:Q14" si="6">B9</f>
        <v>用途</v>
      </c>
      <c r="R9" s="511" t="s">
        <v>13</v>
      </c>
      <c r="S9" s="512">
        <f t="shared" si="0"/>
        <v>100</v>
      </c>
      <c r="T9" s="511" t="s">
        <v>13</v>
      </c>
      <c r="U9" s="512">
        <f t="shared" si="1"/>
        <v>100</v>
      </c>
      <c r="V9" s="511" t="s">
        <v>13</v>
      </c>
      <c r="W9" s="512">
        <f t="shared" si="2"/>
        <v>100</v>
      </c>
      <c r="X9" s="513"/>
      <c r="Y9" s="4381"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86"/>
      <c r="Q10" s="408" t="str">
        <f t="shared" si="6"/>
        <v>土地使用年限（年）</v>
      </c>
      <c r="R10" s="511" t="s">
        <v>13</v>
      </c>
      <c r="S10" s="512">
        <f t="shared" si="0"/>
        <v>100</v>
      </c>
      <c r="T10" s="511" t="s">
        <v>13</v>
      </c>
      <c r="U10" s="512">
        <f t="shared" si="1"/>
        <v>100</v>
      </c>
      <c r="V10" s="511" t="s">
        <v>13</v>
      </c>
      <c r="W10" s="512">
        <f t="shared" si="2"/>
        <v>100</v>
      </c>
      <c r="X10" s="513"/>
      <c r="Y10" s="4381"/>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86"/>
      <c r="Q11" s="408">
        <f t="shared" si="6"/>
        <v>111</v>
      </c>
      <c r="R11" s="511" t="s">
        <v>13</v>
      </c>
      <c r="S11" s="512">
        <f t="shared" si="0"/>
        <v>100</v>
      </c>
      <c r="T11" s="511" t="s">
        <v>13</v>
      </c>
      <c r="U11" s="512">
        <f t="shared" si="1"/>
        <v>100</v>
      </c>
      <c r="V11" s="511" t="s">
        <v>13</v>
      </c>
      <c r="W11" s="512">
        <f t="shared" si="2"/>
        <v>100</v>
      </c>
      <c r="X11" s="513"/>
      <c r="Y11" s="4381"/>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86"/>
      <c r="Q12" s="408">
        <f t="shared" si="6"/>
        <v>111</v>
      </c>
      <c r="R12" s="511" t="s">
        <v>13</v>
      </c>
      <c r="S12" s="512">
        <f t="shared" si="0"/>
        <v>100</v>
      </c>
      <c r="T12" s="511" t="s">
        <v>13</v>
      </c>
      <c r="U12" s="512">
        <f t="shared" si="1"/>
        <v>100</v>
      </c>
      <c r="V12" s="511" t="s">
        <v>13</v>
      </c>
      <c r="W12" s="512">
        <f t="shared" si="2"/>
        <v>100</v>
      </c>
      <c r="X12" s="513"/>
      <c r="Y12" s="4381"/>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86"/>
      <c r="Q13" s="408">
        <f t="shared" si="6"/>
        <v>111</v>
      </c>
      <c r="R13" s="511" t="s">
        <v>13</v>
      </c>
      <c r="S13" s="512">
        <f t="shared" si="0"/>
        <v>100</v>
      </c>
      <c r="T13" s="511" t="s">
        <v>13</v>
      </c>
      <c r="U13" s="512">
        <f t="shared" si="1"/>
        <v>100</v>
      </c>
      <c r="V13" s="511" t="s">
        <v>13</v>
      </c>
      <c r="W13" s="512">
        <f t="shared" si="2"/>
        <v>100</v>
      </c>
      <c r="X13" s="513"/>
      <c r="Y13" s="4381"/>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409" t="s">
        <v>1618</v>
      </c>
      <c r="Q14" s="981" t="str">
        <f t="shared" si="6"/>
        <v>交通便捷度</v>
      </c>
      <c r="R14" s="514" t="s">
        <v>13</v>
      </c>
      <c r="S14" s="515">
        <f t="shared" si="0"/>
        <v>100</v>
      </c>
      <c r="T14" s="514" t="s">
        <v>13</v>
      </c>
      <c r="U14" s="515">
        <f t="shared" si="1"/>
        <v>100</v>
      </c>
      <c r="V14" s="514" t="s">
        <v>13</v>
      </c>
      <c r="W14" s="515">
        <f t="shared" si="2"/>
        <v>100</v>
      </c>
      <c r="X14" s="984"/>
      <c r="Y14" s="4409"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410"/>
      <c r="Q15" s="981"/>
      <c r="R15" s="514"/>
      <c r="S15" s="515"/>
      <c r="T15" s="514"/>
      <c r="U15" s="515"/>
      <c r="V15" s="514"/>
      <c r="W15" s="515"/>
      <c r="X15" s="984"/>
      <c r="Y15" s="4410"/>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410"/>
      <c r="Q16" s="981" t="str">
        <f>B16</f>
        <v>公共配套设施</v>
      </c>
      <c r="R16" s="514" t="s">
        <v>13</v>
      </c>
      <c r="S16" s="515">
        <f>F16</f>
        <v>100</v>
      </c>
      <c r="T16" s="514" t="s">
        <v>13</v>
      </c>
      <c r="U16" s="515">
        <f>H16</f>
        <v>100</v>
      </c>
      <c r="V16" s="514" t="s">
        <v>13</v>
      </c>
      <c r="W16" s="515">
        <f>J16</f>
        <v>100</v>
      </c>
      <c r="X16" s="984"/>
      <c r="Y16" s="4410"/>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410"/>
      <c r="Q17" s="981"/>
      <c r="R17" s="514"/>
      <c r="S17" s="515"/>
      <c r="T17" s="514"/>
      <c r="U17" s="515"/>
      <c r="V17" s="514"/>
      <c r="W17" s="515"/>
      <c r="X17" s="984"/>
      <c r="Y17" s="4410"/>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410"/>
      <c r="Q18" s="981" t="str">
        <f>B18</f>
        <v>基础设施水平</v>
      </c>
      <c r="R18" s="514" t="s">
        <v>13</v>
      </c>
      <c r="S18" s="515">
        <f>F18</f>
        <v>100</v>
      </c>
      <c r="T18" s="514" t="s">
        <v>13</v>
      </c>
      <c r="U18" s="515">
        <f>H18</f>
        <v>100</v>
      </c>
      <c r="V18" s="514" t="s">
        <v>13</v>
      </c>
      <c r="W18" s="515">
        <f>J18</f>
        <v>100</v>
      </c>
      <c r="X18" s="984"/>
      <c r="Y18" s="4410"/>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410"/>
      <c r="Q19" s="981"/>
      <c r="R19" s="514"/>
      <c r="S19" s="515"/>
      <c r="T19" s="514"/>
      <c r="U19" s="515"/>
      <c r="V19" s="514"/>
      <c r="W19" s="515"/>
      <c r="X19" s="984"/>
      <c r="Y19" s="4410"/>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410"/>
      <c r="Q20" s="981" t="str">
        <f>B20</f>
        <v>自然及人文环境</v>
      </c>
      <c r="R20" s="514" t="s">
        <v>13</v>
      </c>
      <c r="S20" s="515">
        <f>F20</f>
        <v>100</v>
      </c>
      <c r="T20" s="514" t="s">
        <v>13</v>
      </c>
      <c r="U20" s="515">
        <f>H20</f>
        <v>100</v>
      </c>
      <c r="V20" s="514" t="s">
        <v>13</v>
      </c>
      <c r="W20" s="515">
        <f>J20</f>
        <v>100</v>
      </c>
      <c r="X20" s="984"/>
      <c r="Y20" s="4410"/>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410"/>
      <c r="Q21" s="981"/>
      <c r="R21" s="514"/>
      <c r="S21" s="515"/>
      <c r="T21" s="514"/>
      <c r="U21" s="515"/>
      <c r="V21" s="514"/>
      <c r="W21" s="515"/>
      <c r="X21" s="984"/>
      <c r="Y21" s="4410"/>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410"/>
      <c r="Q22" s="981" t="str">
        <f>B22</f>
        <v>楼层</v>
      </c>
      <c r="R22" s="514" t="s">
        <v>13</v>
      </c>
      <c r="S22" s="515">
        <f>F22</f>
        <v>100</v>
      </c>
      <c r="T22" s="514" t="s">
        <v>13</v>
      </c>
      <c r="U22" s="515">
        <f>H22</f>
        <v>100</v>
      </c>
      <c r="V22" s="514" t="s">
        <v>13</v>
      </c>
      <c r="W22" s="515">
        <f>J22</f>
        <v>100</v>
      </c>
      <c r="X22" s="984"/>
      <c r="Y22" s="4410"/>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410"/>
      <c r="Q23" s="981">
        <f>B23</f>
        <v>111</v>
      </c>
      <c r="R23" s="514" t="s">
        <v>13</v>
      </c>
      <c r="S23" s="515">
        <f>F23</f>
        <v>100</v>
      </c>
      <c r="T23" s="514" t="s">
        <v>13</v>
      </c>
      <c r="U23" s="515">
        <f>H23</f>
        <v>100</v>
      </c>
      <c r="V23" s="514" t="s">
        <v>13</v>
      </c>
      <c r="W23" s="515">
        <f>J23</f>
        <v>100</v>
      </c>
      <c r="X23" s="984"/>
      <c r="Y23" s="4410"/>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410"/>
      <c r="Q24" s="981">
        <f t="shared" ref="Q24:Q34" si="11">B24</f>
        <v>111</v>
      </c>
      <c r="R24" s="514" t="s">
        <v>13</v>
      </c>
      <c r="S24" s="515">
        <f>F24</f>
        <v>100</v>
      </c>
      <c r="T24" s="514" t="s">
        <v>13</v>
      </c>
      <c r="U24" s="515">
        <f>H24</f>
        <v>100</v>
      </c>
      <c r="V24" s="514" t="s">
        <v>13</v>
      </c>
      <c r="W24" s="515">
        <f>J24</f>
        <v>100</v>
      </c>
      <c r="X24" s="984"/>
      <c r="Y24" s="4410"/>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410"/>
      <c r="Q25" s="408">
        <f t="shared" si="11"/>
        <v>111</v>
      </c>
      <c r="R25" s="511" t="s">
        <v>13</v>
      </c>
      <c r="S25" s="512">
        <f>F25</f>
        <v>100</v>
      </c>
      <c r="T25" s="511" t="s">
        <v>13</v>
      </c>
      <c r="U25" s="512">
        <f>H25</f>
        <v>100</v>
      </c>
      <c r="V25" s="511" t="s">
        <v>13</v>
      </c>
      <c r="W25" s="512">
        <f>J25</f>
        <v>100</v>
      </c>
      <c r="X25" s="513"/>
      <c r="Y25" s="4410"/>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94"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414"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414"/>
      <c r="Q27" s="409" t="str">
        <f t="shared" si="11"/>
        <v>成新率</v>
      </c>
      <c r="R27" s="516" t="s">
        <v>13</v>
      </c>
      <c r="S27" s="517" t="e">
        <f t="shared" si="12"/>
        <v>#N/A</v>
      </c>
      <c r="T27" s="516" t="s">
        <v>13</v>
      </c>
      <c r="U27" s="517" t="e">
        <f t="shared" si="13"/>
        <v>#N/A</v>
      </c>
      <c r="V27" s="516" t="s">
        <v>13</v>
      </c>
      <c r="W27" s="517" t="e">
        <f t="shared" si="14"/>
        <v>#N/A</v>
      </c>
      <c r="X27" s="518"/>
      <c r="Y27" s="4414"/>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414"/>
      <c r="Q28" s="981" t="str">
        <f t="shared" si="11"/>
        <v>物业等级</v>
      </c>
      <c r="R28" s="514" t="s">
        <v>13</v>
      </c>
      <c r="S28" s="515">
        <f t="shared" si="12"/>
        <v>100</v>
      </c>
      <c r="T28" s="514" t="s">
        <v>13</v>
      </c>
      <c r="U28" s="515">
        <f t="shared" si="13"/>
        <v>100</v>
      </c>
      <c r="V28" s="514" t="s">
        <v>13</v>
      </c>
      <c r="W28" s="515">
        <f t="shared" si="14"/>
        <v>100</v>
      </c>
      <c r="X28" s="984"/>
      <c r="Y28" s="4414"/>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414"/>
      <c r="Q29" s="981" t="str">
        <f t="shared" si="11"/>
        <v>有无电梯</v>
      </c>
      <c r="R29" s="514" t="s">
        <v>13</v>
      </c>
      <c r="S29" s="515">
        <f t="shared" si="12"/>
        <v>100</v>
      </c>
      <c r="T29" s="514" t="s">
        <v>13</v>
      </c>
      <c r="U29" s="515">
        <f t="shared" si="13"/>
        <v>100</v>
      </c>
      <c r="V29" s="514" t="s">
        <v>13</v>
      </c>
      <c r="W29" s="515">
        <f t="shared" si="14"/>
        <v>100</v>
      </c>
      <c r="X29" s="984"/>
      <c r="Y29" s="4414"/>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414"/>
      <c r="Q30" s="981" t="str">
        <f t="shared" si="11"/>
        <v>建筑面积</v>
      </c>
      <c r="R30" s="514" t="s">
        <v>13</v>
      </c>
      <c r="S30" s="515" t="e">
        <f t="shared" si="12"/>
        <v>#N/A</v>
      </c>
      <c r="T30" s="514" t="s">
        <v>13</v>
      </c>
      <c r="U30" s="515" t="e">
        <f t="shared" si="13"/>
        <v>#N/A</v>
      </c>
      <c r="V30" s="514" t="s">
        <v>13</v>
      </c>
      <c r="W30" s="515" t="e">
        <f t="shared" si="14"/>
        <v>#N/A</v>
      </c>
      <c r="X30" s="984"/>
      <c r="Y30" s="4414"/>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414"/>
      <c r="Q31" s="408" t="str">
        <f t="shared" si="11"/>
        <v>是否封闭</v>
      </c>
      <c r="R31" s="511" t="s">
        <v>13</v>
      </c>
      <c r="S31" s="512">
        <f t="shared" si="12"/>
        <v>100</v>
      </c>
      <c r="T31" s="511" t="s">
        <v>13</v>
      </c>
      <c r="U31" s="512">
        <f t="shared" si="13"/>
        <v>100</v>
      </c>
      <c r="V31" s="511" t="s">
        <v>13</v>
      </c>
      <c r="W31" s="512">
        <f t="shared" si="14"/>
        <v>100</v>
      </c>
      <c r="X31" s="513"/>
      <c r="Y31" s="4414"/>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414" t="s">
        <v>1623</v>
      </c>
      <c r="Q32" s="981">
        <f t="shared" si="11"/>
        <v>111</v>
      </c>
      <c r="R32" s="514" t="s">
        <v>13</v>
      </c>
      <c r="S32" s="515">
        <f t="shared" si="12"/>
        <v>100</v>
      </c>
      <c r="T32" s="514" t="s">
        <v>13</v>
      </c>
      <c r="U32" s="515">
        <f t="shared" si="13"/>
        <v>100</v>
      </c>
      <c r="V32" s="514" t="s">
        <v>13</v>
      </c>
      <c r="W32" s="515">
        <f t="shared" si="14"/>
        <v>100</v>
      </c>
      <c r="X32" s="984"/>
      <c r="Y32" s="4414"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414"/>
      <c r="Q33" s="981">
        <f t="shared" si="11"/>
        <v>111</v>
      </c>
      <c r="R33" s="514" t="s">
        <v>13</v>
      </c>
      <c r="S33" s="515">
        <f t="shared" si="12"/>
        <v>100</v>
      </c>
      <c r="T33" s="514" t="s">
        <v>13</v>
      </c>
      <c r="U33" s="515">
        <f t="shared" si="13"/>
        <v>100</v>
      </c>
      <c r="V33" s="514" t="s">
        <v>13</v>
      </c>
      <c r="W33" s="515">
        <f t="shared" si="14"/>
        <v>100</v>
      </c>
      <c r="X33" s="984"/>
      <c r="Y33" s="4414"/>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414"/>
      <c r="Q34" s="981">
        <f t="shared" si="11"/>
        <v>111</v>
      </c>
      <c r="R34" s="514" t="s">
        <v>13</v>
      </c>
      <c r="S34" s="515">
        <f t="shared" si="12"/>
        <v>100</v>
      </c>
      <c r="T34" s="514" t="s">
        <v>13</v>
      </c>
      <c r="U34" s="515">
        <f t="shared" si="13"/>
        <v>100</v>
      </c>
      <c r="V34" s="514" t="s">
        <v>13</v>
      </c>
      <c r="W34" s="515">
        <f t="shared" si="14"/>
        <v>100</v>
      </c>
      <c r="X34" s="984"/>
      <c r="Y34" s="4414"/>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86" t="str">
        <f>A35</f>
        <v>成交单价（元/平方米）</v>
      </c>
      <c r="Q35" s="4486"/>
      <c r="R35" s="4479">
        <f>E35</f>
        <v>0</v>
      </c>
      <c r="S35" s="4479"/>
      <c r="T35" s="4479">
        <f>G35</f>
        <v>0</v>
      </c>
      <c r="U35" s="4479"/>
      <c r="V35" s="4479">
        <f>I35</f>
        <v>0</v>
      </c>
      <c r="W35" s="4479"/>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86" t="str">
        <f>A36</f>
        <v>比较价值（元/平方米）</v>
      </c>
      <c r="Q36" s="4486"/>
      <c r="R36" s="4479" t="e">
        <f>IF(F1="售价",ROUND(PRODUCT(R35,AA7:AA34),0),ROUND(PRODUCT(R35,AA7:AA34),1))</f>
        <v>#DIV/0!</v>
      </c>
      <c r="S36" s="4479"/>
      <c r="T36" s="4479" t="e">
        <f>IF(F1="售价",ROUND(PRODUCT(T35,AB7:AB34),0),ROUND(PRODUCT(T35,AB7:AB34),1))</f>
        <v>#DIV/0!</v>
      </c>
      <c r="U36" s="4479"/>
      <c r="V36" s="4479" t="e">
        <f>IF(F1="售价",ROUND(PRODUCT(V35,AC7:AC34),0),ROUND(PRODUCT(V35,AC7:AC34),1))</f>
        <v>#DIV/0!</v>
      </c>
      <c r="W36" s="4479"/>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95" t="str">
        <f>A37</f>
        <v>估价对象XX用房的比较价值（楼面单价，元/平方米）</v>
      </c>
      <c r="Q37" s="4496"/>
      <c r="R37" s="4497" t="e">
        <f>IF(F1="售价",ROUND(IF(D36="简单平均",AVERAGE(R36:W36),R36*F36+T36*H36+V36*J36),0),ROUND(IF(D36="简单平均",AVERAGE(R36:V36),R36*F36+T36*H36+V36*J36),1))</f>
        <v>#DIV/0!</v>
      </c>
      <c r="S37" s="4497"/>
      <c r="T37" s="4497"/>
      <c r="U37" s="4497"/>
      <c r="V37" s="4497"/>
      <c r="W37" s="4497"/>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150</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11752</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82" t="s">
        <v>1697</v>
      </c>
      <c r="D6" s="4383"/>
      <c r="E6" s="4384" t="s">
        <v>1698</v>
      </c>
      <c r="F6" s="4385"/>
      <c r="G6" s="4382" t="s">
        <v>1699</v>
      </c>
      <c r="H6" s="4383"/>
      <c r="I6" s="4382" t="s">
        <v>1700</v>
      </c>
      <c r="J6" s="4383"/>
      <c r="K6" s="3157" t="s">
        <v>1701</v>
      </c>
      <c r="L6" s="2083"/>
      <c r="M6" s="2084"/>
      <c r="N6" s="2084"/>
      <c r="O6" s="2084"/>
      <c r="P6" s="4386" t="s">
        <v>1702</v>
      </c>
      <c r="Q6" s="4387"/>
      <c r="R6" s="4368" t="s">
        <v>1698</v>
      </c>
      <c r="S6" s="4369"/>
      <c r="T6" s="4368" t="s">
        <v>1699</v>
      </c>
      <c r="U6" s="4369"/>
      <c r="V6" s="4394" t="s">
        <v>1700</v>
      </c>
      <c r="W6" s="4394"/>
      <c r="X6" s="984"/>
      <c r="Y6" s="4397" t="s">
        <v>1702</v>
      </c>
      <c r="Z6" s="4398"/>
      <c r="AA6" s="4363" t="s">
        <v>1698</v>
      </c>
      <c r="AB6" s="4364" t="s">
        <v>1699</v>
      </c>
      <c r="AC6" s="4363" t="s">
        <v>1700</v>
      </c>
    </row>
    <row r="7" spans="1:29" ht="15">
      <c r="A7" s="257"/>
      <c r="B7" s="258"/>
      <c r="C7" s="4374" t="s">
        <v>1600</v>
      </c>
      <c r="D7" s="4375"/>
      <c r="E7" s="4372" t="s">
        <v>1601</v>
      </c>
      <c r="F7" s="4373"/>
      <c r="G7" s="4374" t="s">
        <v>1602</v>
      </c>
      <c r="H7" s="4375"/>
      <c r="I7" s="4374" t="s">
        <v>1603</v>
      </c>
      <c r="J7" s="4375"/>
      <c r="K7" s="3157"/>
      <c r="L7" s="2083"/>
      <c r="M7" s="2084"/>
      <c r="N7" s="2084"/>
      <c r="O7" s="2084"/>
      <c r="P7" s="4388"/>
      <c r="Q7" s="4389"/>
      <c r="R7" s="4370"/>
      <c r="S7" s="4371"/>
      <c r="T7" s="4370"/>
      <c r="U7" s="4371"/>
      <c r="V7" s="4394"/>
      <c r="W7" s="4394"/>
      <c r="X7" s="984"/>
      <c r="Y7" s="4399"/>
      <c r="Z7" s="4400"/>
      <c r="AA7" s="4364"/>
      <c r="AB7" s="4364"/>
      <c r="AC7" s="4364"/>
    </row>
    <row r="8" spans="1:29" ht="15.75" thickBot="1">
      <c r="A8" s="259"/>
      <c r="B8" s="260"/>
      <c r="C8" s="4376" t="s">
        <v>1604</v>
      </c>
      <c r="D8" s="4377"/>
      <c r="E8" s="4378" t="s">
        <v>1604</v>
      </c>
      <c r="F8" s="4379"/>
      <c r="G8" s="4376" t="s">
        <v>1604</v>
      </c>
      <c r="H8" s="4377"/>
      <c r="I8" s="4376" t="s">
        <v>1604</v>
      </c>
      <c r="J8" s="4377"/>
      <c r="K8" s="3157" t="s">
        <v>1605</v>
      </c>
      <c r="L8" s="2083"/>
      <c r="M8" s="2084"/>
      <c r="N8" s="2084"/>
      <c r="O8" s="2084"/>
      <c r="P8" s="4390"/>
      <c r="Q8" s="4391"/>
      <c r="R8" s="4370"/>
      <c r="S8" s="4371"/>
      <c r="T8" s="4392"/>
      <c r="U8" s="4393"/>
      <c r="V8" s="4394"/>
      <c r="W8" s="4394"/>
      <c r="X8" s="984"/>
      <c r="Y8" s="4401"/>
      <c r="Z8" s="4402"/>
      <c r="AA8" s="4365"/>
      <c r="AB8" s="4365"/>
      <c r="AC8" s="4365"/>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5" t="s">
        <v>1607</v>
      </c>
      <c r="Q9" s="4403"/>
      <c r="R9" s="3573" t="s">
        <v>13</v>
      </c>
      <c r="S9" s="3574">
        <f t="shared" ref="S9:S17" si="0">F9</f>
        <v>100.62</v>
      </c>
      <c r="T9" s="3573" t="s">
        <v>13</v>
      </c>
      <c r="U9" s="3574">
        <f t="shared" ref="U9:U17" si="1">H9</f>
        <v>102.01</v>
      </c>
      <c r="V9" s="3573" t="s">
        <v>13</v>
      </c>
      <c r="W9" s="3574">
        <f t="shared" ref="W9:W17" si="2">J9</f>
        <v>103.83</v>
      </c>
      <c r="X9" s="513"/>
      <c r="Y9" s="4366" t="s">
        <v>1607</v>
      </c>
      <c r="Z9" s="4367"/>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5" t="s">
        <v>1610</v>
      </c>
      <c r="Q10" s="4396"/>
      <c r="R10" s="3573" t="s">
        <v>13</v>
      </c>
      <c r="S10" s="3574">
        <f t="shared" si="0"/>
        <v>100</v>
      </c>
      <c r="T10" s="3573" t="s">
        <v>13</v>
      </c>
      <c r="U10" s="3574">
        <f t="shared" si="1"/>
        <v>100</v>
      </c>
      <c r="V10" s="3573" t="s">
        <v>13</v>
      </c>
      <c r="W10" s="3574">
        <f t="shared" si="2"/>
        <v>100</v>
      </c>
      <c r="X10" s="513"/>
      <c r="Y10" s="4366" t="s">
        <v>1610</v>
      </c>
      <c r="Z10" s="4367"/>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407" t="s">
        <v>1613</v>
      </c>
      <c r="Q11" s="1792" t="str">
        <f t="shared" ref="Q11:Q17" si="6">B11</f>
        <v>用途</v>
      </c>
      <c r="R11" s="3573" t="s">
        <v>13</v>
      </c>
      <c r="S11" s="3574">
        <f t="shared" si="0"/>
        <v>100</v>
      </c>
      <c r="T11" s="3573" t="s">
        <v>13</v>
      </c>
      <c r="U11" s="3574">
        <f t="shared" si="1"/>
        <v>100</v>
      </c>
      <c r="V11" s="3573" t="s">
        <v>13</v>
      </c>
      <c r="W11" s="3574">
        <f t="shared" si="2"/>
        <v>100</v>
      </c>
      <c r="X11" s="513"/>
      <c r="Y11" s="4381"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407"/>
      <c r="Q12" s="1792" t="str">
        <f t="shared" si="6"/>
        <v>土地使用年限（年）</v>
      </c>
      <c r="R12" s="3573" t="s">
        <v>13</v>
      </c>
      <c r="S12" s="3574">
        <f t="shared" si="0"/>
        <v>109</v>
      </c>
      <c r="T12" s="3573" t="s">
        <v>13</v>
      </c>
      <c r="U12" s="3574">
        <f t="shared" si="1"/>
        <v>109</v>
      </c>
      <c r="V12" s="3573" t="s">
        <v>13</v>
      </c>
      <c r="W12" s="3574">
        <f t="shared" si="2"/>
        <v>109</v>
      </c>
      <c r="X12" s="513"/>
      <c r="Y12" s="4381"/>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407"/>
      <c r="Q13" s="1792" t="str">
        <f t="shared" si="6"/>
        <v>容积率</v>
      </c>
      <c r="R13" s="3573" t="s">
        <v>13</v>
      </c>
      <c r="S13" s="3574">
        <f t="shared" si="0"/>
        <v>100</v>
      </c>
      <c r="T13" s="3573" t="s">
        <v>13</v>
      </c>
      <c r="U13" s="3574">
        <f t="shared" si="1"/>
        <v>100</v>
      </c>
      <c r="V13" s="3573" t="s">
        <v>13</v>
      </c>
      <c r="W13" s="3574">
        <f t="shared" si="2"/>
        <v>100</v>
      </c>
      <c r="X13" s="513"/>
      <c r="Y13" s="4381"/>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407"/>
      <c r="Q14" s="1792" t="str">
        <f t="shared" si="6"/>
        <v>配建</v>
      </c>
      <c r="R14" s="3573" t="s">
        <v>13</v>
      </c>
      <c r="S14" s="3574">
        <f t="shared" si="0"/>
        <v>100</v>
      </c>
      <c r="T14" s="3573" t="s">
        <v>13</v>
      </c>
      <c r="U14" s="3574">
        <f t="shared" si="1"/>
        <v>100</v>
      </c>
      <c r="V14" s="3573" t="s">
        <v>13</v>
      </c>
      <c r="W14" s="3574">
        <f t="shared" si="2"/>
        <v>100</v>
      </c>
      <c r="X14" s="513"/>
      <c r="Y14" s="4381"/>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407"/>
      <c r="Q15" s="1792">
        <f t="shared" si="6"/>
        <v>111</v>
      </c>
      <c r="R15" s="3573" t="s">
        <v>13</v>
      </c>
      <c r="S15" s="3574">
        <f t="shared" si="0"/>
        <v>100</v>
      </c>
      <c r="T15" s="3573" t="s">
        <v>13</v>
      </c>
      <c r="U15" s="3574">
        <f t="shared" si="1"/>
        <v>100</v>
      </c>
      <c r="V15" s="3573" t="s">
        <v>13</v>
      </c>
      <c r="W15" s="3574">
        <f t="shared" si="2"/>
        <v>100</v>
      </c>
      <c r="X15" s="513"/>
      <c r="Y15" s="4381"/>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407"/>
      <c r="Q16" s="1792">
        <f t="shared" si="6"/>
        <v>111</v>
      </c>
      <c r="R16" s="3573" t="s">
        <v>13</v>
      </c>
      <c r="S16" s="3574">
        <f t="shared" si="0"/>
        <v>100</v>
      </c>
      <c r="T16" s="3573" t="s">
        <v>13</v>
      </c>
      <c r="U16" s="3574">
        <f t="shared" si="1"/>
        <v>100</v>
      </c>
      <c r="V16" s="3573" t="s">
        <v>13</v>
      </c>
      <c r="W16" s="3574">
        <f t="shared" si="2"/>
        <v>100</v>
      </c>
      <c r="X16" s="513"/>
      <c r="Y16" s="4381"/>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81" t="s">
        <v>1618</v>
      </c>
      <c r="Q17" s="1592" t="str">
        <f t="shared" si="6"/>
        <v>居住社区成熟度</v>
      </c>
      <c r="R17" s="3575" t="s">
        <v>13</v>
      </c>
      <c r="S17" s="3576">
        <f t="shared" si="0"/>
        <v>105</v>
      </c>
      <c r="T17" s="3575" t="s">
        <v>13</v>
      </c>
      <c r="U17" s="3576">
        <f t="shared" si="1"/>
        <v>100</v>
      </c>
      <c r="V17" s="3575" t="s">
        <v>13</v>
      </c>
      <c r="W17" s="3576">
        <f t="shared" si="2"/>
        <v>100</v>
      </c>
      <c r="X17" s="984"/>
      <c r="Y17" s="4409"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82"/>
      <c r="Q18" s="1592"/>
      <c r="R18" s="3575"/>
      <c r="S18" s="3576"/>
      <c r="T18" s="3575"/>
      <c r="U18" s="3576"/>
      <c r="V18" s="3575"/>
      <c r="W18" s="3576"/>
      <c r="X18" s="984"/>
      <c r="Y18" s="4410"/>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82"/>
      <c r="Q19" s="1592" t="str">
        <f>B19</f>
        <v>商业繁华度</v>
      </c>
      <c r="R19" s="3575" t="s">
        <v>13</v>
      </c>
      <c r="S19" s="3576">
        <f>F19</f>
        <v>100</v>
      </c>
      <c r="T19" s="3575" t="s">
        <v>13</v>
      </c>
      <c r="U19" s="3576">
        <f>H19</f>
        <v>100</v>
      </c>
      <c r="V19" s="3575" t="s">
        <v>13</v>
      </c>
      <c r="W19" s="3576">
        <f>J19</f>
        <v>100</v>
      </c>
      <c r="X19" s="984"/>
      <c r="Y19" s="4410"/>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82"/>
      <c r="Q20" s="1592"/>
      <c r="R20" s="3575"/>
      <c r="S20" s="3576"/>
      <c r="T20" s="3575"/>
      <c r="U20" s="3576"/>
      <c r="V20" s="3575"/>
      <c r="W20" s="3576"/>
      <c r="X20" s="984"/>
      <c r="Y20" s="4410"/>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82"/>
      <c r="Q21" s="1592" t="str">
        <f>B21</f>
        <v>办公集聚程度</v>
      </c>
      <c r="R21" s="3575" t="s">
        <v>13</v>
      </c>
      <c r="S21" s="3576">
        <f>F21</f>
        <v>100</v>
      </c>
      <c r="T21" s="3575" t="s">
        <v>13</v>
      </c>
      <c r="U21" s="3576">
        <f>H21</f>
        <v>100</v>
      </c>
      <c r="V21" s="3575" t="s">
        <v>13</v>
      </c>
      <c r="W21" s="3576">
        <f>J21</f>
        <v>100</v>
      </c>
      <c r="X21" s="984"/>
      <c r="Y21" s="4410"/>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82"/>
      <c r="Q22" s="1592"/>
      <c r="R22" s="3575"/>
      <c r="S22" s="3576"/>
      <c r="T22" s="3575"/>
      <c r="U22" s="3576"/>
      <c r="V22" s="3575"/>
      <c r="W22" s="3576"/>
      <c r="X22" s="984"/>
      <c r="Y22" s="4410"/>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82"/>
      <c r="Q23" s="1592" t="str">
        <f>B23</f>
        <v>交通便捷度</v>
      </c>
      <c r="R23" s="3575" t="s">
        <v>13</v>
      </c>
      <c r="S23" s="3576">
        <f>F23</f>
        <v>105</v>
      </c>
      <c r="T23" s="3575" t="s">
        <v>13</v>
      </c>
      <c r="U23" s="3576">
        <f>H23</f>
        <v>100</v>
      </c>
      <c r="V23" s="3575" t="s">
        <v>13</v>
      </c>
      <c r="W23" s="3576">
        <f>J23</f>
        <v>100</v>
      </c>
      <c r="X23" s="984"/>
      <c r="Y23" s="4410"/>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82"/>
      <c r="Q24" s="1592"/>
      <c r="R24" s="3575"/>
      <c r="S24" s="3576"/>
      <c r="T24" s="3575"/>
      <c r="U24" s="3576"/>
      <c r="V24" s="3575"/>
      <c r="W24" s="3576"/>
      <c r="X24" s="984"/>
      <c r="Y24" s="4410"/>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82"/>
      <c r="Q25" s="1592" t="str">
        <f t="shared" ref="Q25:Q39" si="8">B25</f>
        <v>区域土地利用方向</v>
      </c>
      <c r="R25" s="3575" t="s">
        <v>13</v>
      </c>
      <c r="S25" s="3576">
        <f>F25</f>
        <v>100</v>
      </c>
      <c r="T25" s="3575" t="s">
        <v>13</v>
      </c>
      <c r="U25" s="3576">
        <f>H25</f>
        <v>100</v>
      </c>
      <c r="V25" s="3575" t="s">
        <v>13</v>
      </c>
      <c r="W25" s="3576">
        <f>J25</f>
        <v>100</v>
      </c>
      <c r="X25" s="984"/>
      <c r="Y25" s="4410"/>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82"/>
      <c r="Q26" s="1592"/>
      <c r="R26" s="3575"/>
      <c r="S26" s="3576"/>
      <c r="T26" s="3575"/>
      <c r="U26" s="3576"/>
      <c r="V26" s="3575"/>
      <c r="W26" s="3576"/>
      <c r="X26" s="984"/>
      <c r="Y26" s="4410"/>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82"/>
      <c r="Q27" s="1592" t="str">
        <f t="shared" si="8"/>
        <v>自然及人文环境状况</v>
      </c>
      <c r="R27" s="3575" t="s">
        <v>13</v>
      </c>
      <c r="S27" s="3576">
        <f>F27</f>
        <v>100</v>
      </c>
      <c r="T27" s="3575" t="s">
        <v>13</v>
      </c>
      <c r="U27" s="3576">
        <f>H27</f>
        <v>100</v>
      </c>
      <c r="V27" s="3575" t="s">
        <v>13</v>
      </c>
      <c r="W27" s="3576">
        <f>J27</f>
        <v>100</v>
      </c>
      <c r="X27" s="984"/>
      <c r="Y27" s="4410"/>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82"/>
      <c r="Q28" s="1592"/>
      <c r="R28" s="3575"/>
      <c r="S28" s="3576"/>
      <c r="T28" s="3575"/>
      <c r="U28" s="3576"/>
      <c r="V28" s="3575"/>
      <c r="W28" s="3576"/>
      <c r="X28" s="984"/>
      <c r="Y28" s="4410"/>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82"/>
      <c r="Q29" s="1792" t="str">
        <f t="shared" si="8"/>
        <v>公共配套设施</v>
      </c>
      <c r="R29" s="3573" t="s">
        <v>13</v>
      </c>
      <c r="S29" s="3574">
        <f>F29</f>
        <v>105</v>
      </c>
      <c r="T29" s="3573" t="s">
        <v>13</v>
      </c>
      <c r="U29" s="3574">
        <f>H29</f>
        <v>100</v>
      </c>
      <c r="V29" s="3573" t="s">
        <v>13</v>
      </c>
      <c r="W29" s="3574">
        <f>J29</f>
        <v>100</v>
      </c>
      <c r="X29" s="513"/>
      <c r="Y29" s="4410"/>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82"/>
      <c r="Q30" s="1792"/>
      <c r="R30" s="3573"/>
      <c r="S30" s="3574"/>
      <c r="T30" s="3573"/>
      <c r="U30" s="3574"/>
      <c r="V30" s="3573"/>
      <c r="W30" s="3574"/>
      <c r="X30" s="513"/>
      <c r="Y30" s="4410"/>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82"/>
      <c r="Q31" s="1792" t="str">
        <f t="shared" ref="Q31" si="9">B31</f>
        <v>基础设施水平</v>
      </c>
      <c r="R31" s="3573" t="s">
        <v>13</v>
      </c>
      <c r="S31" s="3574">
        <f>F31</f>
        <v>100</v>
      </c>
      <c r="T31" s="3573" t="s">
        <v>13</v>
      </c>
      <c r="U31" s="3574">
        <f>H31</f>
        <v>100</v>
      </c>
      <c r="V31" s="3573" t="s">
        <v>13</v>
      </c>
      <c r="W31" s="3574">
        <f>J31</f>
        <v>100</v>
      </c>
      <c r="X31" s="513"/>
      <c r="Y31" s="4410"/>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82"/>
      <c r="Q32" s="1792"/>
      <c r="R32" s="3573"/>
      <c r="S32" s="3574"/>
      <c r="T32" s="3573"/>
      <c r="U32" s="3574"/>
      <c r="V32" s="3573"/>
      <c r="W32" s="3574"/>
      <c r="X32" s="513"/>
      <c r="Y32" s="4410"/>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82"/>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410"/>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82"/>
      <c r="Q34" s="1592" t="str">
        <f t="shared" si="8"/>
        <v>毗邻道路的类型与等级</v>
      </c>
      <c r="R34" s="3575" t="s">
        <v>13</v>
      </c>
      <c r="S34" s="3576">
        <f t="shared" si="10"/>
        <v>100</v>
      </c>
      <c r="T34" s="3575" t="s">
        <v>13</v>
      </c>
      <c r="U34" s="3576">
        <f t="shared" si="11"/>
        <v>100</v>
      </c>
      <c r="V34" s="3575" t="s">
        <v>13</v>
      </c>
      <c r="W34" s="3576">
        <f t="shared" si="12"/>
        <v>100</v>
      </c>
      <c r="X34" s="984"/>
      <c r="Y34" s="4410"/>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82"/>
      <c r="Q35" s="1592"/>
      <c r="R35" s="3575"/>
      <c r="S35" s="3576"/>
      <c r="T35" s="3575"/>
      <c r="U35" s="3576"/>
      <c r="V35" s="3575"/>
      <c r="W35" s="3576"/>
      <c r="X35" s="984"/>
      <c r="Y35" s="4410"/>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82"/>
      <c r="Q36" s="1592" t="str">
        <f t="shared" si="8"/>
        <v>土地级别</v>
      </c>
      <c r="R36" s="3575" t="s">
        <v>13</v>
      </c>
      <c r="S36" s="3576">
        <f t="shared" si="10"/>
        <v>100</v>
      </c>
      <c r="T36" s="3575" t="s">
        <v>13</v>
      </c>
      <c r="U36" s="3576">
        <f t="shared" si="11"/>
        <v>100</v>
      </c>
      <c r="V36" s="3575" t="s">
        <v>13</v>
      </c>
      <c r="W36" s="3576">
        <f t="shared" si="12"/>
        <v>100</v>
      </c>
      <c r="X36" s="984"/>
      <c r="Y36" s="4410"/>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82"/>
      <c r="Q37" s="1592">
        <f t="shared" si="8"/>
        <v>111</v>
      </c>
      <c r="R37" s="3575" t="s">
        <v>13</v>
      </c>
      <c r="S37" s="3576">
        <f t="shared" si="10"/>
        <v>100</v>
      </c>
      <c r="T37" s="3575" t="s">
        <v>13</v>
      </c>
      <c r="U37" s="3576">
        <f t="shared" si="11"/>
        <v>100</v>
      </c>
      <c r="V37" s="3575" t="s">
        <v>13</v>
      </c>
      <c r="W37" s="3576">
        <f t="shared" si="12"/>
        <v>100</v>
      </c>
      <c r="X37" s="984"/>
      <c r="Y37" s="4410"/>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83" t="s">
        <v>1623</v>
      </c>
      <c r="Q38" s="1592">
        <f t="shared" si="8"/>
        <v>111</v>
      </c>
      <c r="R38" s="3575" t="s">
        <v>13</v>
      </c>
      <c r="S38" s="3576">
        <f t="shared" si="10"/>
        <v>100</v>
      </c>
      <c r="T38" s="3575" t="s">
        <v>13</v>
      </c>
      <c r="U38" s="3576">
        <f t="shared" si="11"/>
        <v>100</v>
      </c>
      <c r="V38" s="3575" t="s">
        <v>13</v>
      </c>
      <c r="W38" s="3576">
        <f t="shared" si="12"/>
        <v>100</v>
      </c>
      <c r="X38" s="984"/>
      <c r="Y38" s="4414"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84"/>
      <c r="Q39" s="1592">
        <f t="shared" si="8"/>
        <v>111</v>
      </c>
      <c r="R39" s="3577" t="s">
        <v>13</v>
      </c>
      <c r="S39" s="3578">
        <f t="shared" si="10"/>
        <v>100</v>
      </c>
      <c r="T39" s="3577" t="s">
        <v>13</v>
      </c>
      <c r="U39" s="3578">
        <f t="shared" si="11"/>
        <v>100</v>
      </c>
      <c r="V39" s="3577" t="s">
        <v>13</v>
      </c>
      <c r="W39" s="3578">
        <f t="shared" si="12"/>
        <v>100</v>
      </c>
      <c r="X39" s="518"/>
      <c r="Y39" s="4414"/>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84"/>
      <c r="Q40" s="1592" t="str">
        <f>B40</f>
        <v>宗地面积</v>
      </c>
      <c r="R40" s="3575" t="s">
        <v>13</v>
      </c>
      <c r="S40" s="3576">
        <f t="shared" si="10"/>
        <v>100</v>
      </c>
      <c r="T40" s="3575" t="s">
        <v>13</v>
      </c>
      <c r="U40" s="3576">
        <f t="shared" si="11"/>
        <v>99</v>
      </c>
      <c r="V40" s="3575" t="s">
        <v>13</v>
      </c>
      <c r="W40" s="3576">
        <f t="shared" si="12"/>
        <v>100</v>
      </c>
      <c r="X40" s="984"/>
      <c r="Y40" s="4414"/>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84"/>
      <c r="Q41" s="1592" t="str">
        <f t="shared" ref="Q41:Q47" si="14">B41</f>
        <v>宗地形状</v>
      </c>
      <c r="R41" s="3575" t="s">
        <v>13</v>
      </c>
      <c r="S41" s="3576">
        <f t="shared" si="10"/>
        <v>100</v>
      </c>
      <c r="T41" s="3575" t="s">
        <v>13</v>
      </c>
      <c r="U41" s="3576">
        <f t="shared" si="11"/>
        <v>98</v>
      </c>
      <c r="V41" s="3575" t="s">
        <v>13</v>
      </c>
      <c r="W41" s="3576">
        <f t="shared" si="12"/>
        <v>100</v>
      </c>
      <c r="X41" s="984"/>
      <c r="Y41" s="4414"/>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84"/>
      <c r="Q42" s="1592" t="str">
        <f t="shared" si="14"/>
        <v>临街宽度及深度</v>
      </c>
      <c r="R42" s="3575" t="s">
        <v>13</v>
      </c>
      <c r="S42" s="3576">
        <f t="shared" si="10"/>
        <v>100</v>
      </c>
      <c r="T42" s="3575" t="s">
        <v>13</v>
      </c>
      <c r="U42" s="3576">
        <f t="shared" si="11"/>
        <v>100</v>
      </c>
      <c r="V42" s="3575" t="s">
        <v>13</v>
      </c>
      <c r="W42" s="3576">
        <f t="shared" si="12"/>
        <v>100</v>
      </c>
      <c r="X42" s="984"/>
      <c r="Y42" s="4414"/>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84"/>
      <c r="Q43" s="1592" t="str">
        <f t="shared" si="14"/>
        <v>宗地开发程度</v>
      </c>
      <c r="R43" s="3573" t="s">
        <v>13</v>
      </c>
      <c r="S43" s="3574">
        <f t="shared" si="10"/>
        <v>100</v>
      </c>
      <c r="T43" s="3573" t="s">
        <v>13</v>
      </c>
      <c r="U43" s="3574">
        <f t="shared" si="11"/>
        <v>98</v>
      </c>
      <c r="V43" s="3573" t="s">
        <v>13</v>
      </c>
      <c r="W43" s="3574">
        <f t="shared" si="12"/>
        <v>98</v>
      </c>
      <c r="X43" s="513"/>
      <c r="Y43" s="4414"/>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84" t="s">
        <v>1623</v>
      </c>
      <c r="Q44" s="1592" t="str">
        <f t="shared" si="14"/>
        <v>工程地质条件</v>
      </c>
      <c r="R44" s="3575" t="s">
        <v>13</v>
      </c>
      <c r="S44" s="3576">
        <f t="shared" si="10"/>
        <v>100</v>
      </c>
      <c r="T44" s="3575" t="s">
        <v>13</v>
      </c>
      <c r="U44" s="3576">
        <f t="shared" si="11"/>
        <v>100</v>
      </c>
      <c r="V44" s="3575" t="s">
        <v>13</v>
      </c>
      <c r="W44" s="3576">
        <f t="shared" si="12"/>
        <v>100</v>
      </c>
      <c r="X44" s="984"/>
      <c r="Y44" s="4414"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84"/>
      <c r="Q45" s="1592">
        <f t="shared" si="14"/>
        <v>111</v>
      </c>
      <c r="R45" s="3575" t="s">
        <v>13</v>
      </c>
      <c r="S45" s="3576">
        <f t="shared" si="10"/>
        <v>100</v>
      </c>
      <c r="T45" s="3575" t="s">
        <v>13</v>
      </c>
      <c r="U45" s="3576">
        <f t="shared" si="11"/>
        <v>100</v>
      </c>
      <c r="V45" s="3575" t="s">
        <v>13</v>
      </c>
      <c r="W45" s="3576">
        <f t="shared" si="12"/>
        <v>100</v>
      </c>
      <c r="X45" s="984"/>
      <c r="Y45" s="4414"/>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84"/>
      <c r="Q46" s="1592">
        <f t="shared" si="14"/>
        <v>111</v>
      </c>
      <c r="R46" s="3575" t="s">
        <v>13</v>
      </c>
      <c r="S46" s="3576">
        <f t="shared" si="10"/>
        <v>100</v>
      </c>
      <c r="T46" s="3575" t="s">
        <v>13</v>
      </c>
      <c r="U46" s="3576">
        <f t="shared" si="11"/>
        <v>100</v>
      </c>
      <c r="V46" s="3575" t="s">
        <v>13</v>
      </c>
      <c r="W46" s="3576">
        <f t="shared" si="12"/>
        <v>100</v>
      </c>
      <c r="X46" s="984"/>
      <c r="Y46" s="4414"/>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84"/>
      <c r="Q47" s="1592">
        <f t="shared" si="14"/>
        <v>111</v>
      </c>
      <c r="R47" s="3577" t="s">
        <v>13</v>
      </c>
      <c r="S47" s="3578">
        <f t="shared" si="10"/>
        <v>100</v>
      </c>
      <c r="T47" s="3577" t="s">
        <v>13</v>
      </c>
      <c r="U47" s="3578">
        <f t="shared" si="11"/>
        <v>100</v>
      </c>
      <c r="V47" s="3577" t="s">
        <v>13</v>
      </c>
      <c r="W47" s="3578">
        <f t="shared" si="12"/>
        <v>100</v>
      </c>
      <c r="X47" s="518"/>
      <c r="Y47" s="4414"/>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407" t="str">
        <f>A48</f>
        <v>成交单价</v>
      </c>
      <c r="Q48" s="4407"/>
      <c r="R48" s="4408">
        <f>E48</f>
        <v>15648</v>
      </c>
      <c r="S48" s="4408"/>
      <c r="T48" s="4408">
        <f>G48</f>
        <v>12002</v>
      </c>
      <c r="U48" s="4408"/>
      <c r="V48" s="4408">
        <f>I48</f>
        <v>12711</v>
      </c>
      <c r="W48" s="4408"/>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407" t="str">
        <f>A49</f>
        <v>比较价值（元/平方米）</v>
      </c>
      <c r="Q49" s="4407"/>
      <c r="R49" s="4498">
        <f>ROUND(PRODUCT(R48,AA9:AA47),0)</f>
        <v>12325</v>
      </c>
      <c r="S49" s="4498"/>
      <c r="T49" s="4498">
        <f>ROUND(PRODUCT(T48,AB9:AB47),0)</f>
        <v>11353</v>
      </c>
      <c r="U49" s="4498"/>
      <c r="V49" s="4498">
        <f>ROUND(PRODUCT(V48,AC9:AC47),0)</f>
        <v>11461</v>
      </c>
      <c r="W49" s="4498"/>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404" t="str">
        <f>A50</f>
        <v>估价对象XX用房的比较价值（楼面单价，元/平方米）</v>
      </c>
      <c r="Q50" s="4405"/>
      <c r="R50" s="4499">
        <f>ROUND(IF(D49="简单平均",AVERAGE(R49:W49),R49*F49+T49*H49+V49*J49),0)</f>
        <v>11713</v>
      </c>
      <c r="S50" s="4499"/>
      <c r="T50" s="4499"/>
      <c r="U50" s="4499"/>
      <c r="V50" s="4499"/>
      <c r="W50" s="4499"/>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34" t="s">
        <v>1814</v>
      </c>
      <c r="H57" s="4500"/>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127.64</v>
      </c>
      <c r="F58" s="3498">
        <f t="shared" ref="F58:F66" si="15">ROUND(B58*E58/10000,0)</f>
        <v>150</v>
      </c>
      <c r="G58" s="4501"/>
      <c r="H58" s="4486"/>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721.65</v>
      </c>
      <c r="F67" s="3483">
        <f>IF(B48="楼面地价",SUM(F58:F66),ROUND(C50*E67/10000,0))</f>
        <v>150</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82" t="s">
        <v>1697</v>
      </c>
      <c r="D6" s="4383"/>
      <c r="E6" s="4384" t="s">
        <v>1698</v>
      </c>
      <c r="F6" s="4385"/>
      <c r="G6" s="4382" t="s">
        <v>1699</v>
      </c>
      <c r="H6" s="4383"/>
      <c r="I6" s="4382" t="s">
        <v>1700</v>
      </c>
      <c r="J6" s="4383"/>
      <c r="K6" s="415" t="s">
        <v>1701</v>
      </c>
      <c r="L6" s="2083"/>
      <c r="M6" s="2084"/>
      <c r="N6" s="2084"/>
      <c r="O6" s="2084"/>
      <c r="P6" s="4386" t="s">
        <v>1702</v>
      </c>
      <c r="Q6" s="4387"/>
      <c r="R6" s="4368" t="s">
        <v>1698</v>
      </c>
      <c r="S6" s="4369"/>
      <c r="T6" s="4368" t="s">
        <v>1699</v>
      </c>
      <c r="U6" s="4369"/>
      <c r="V6" s="4394" t="s">
        <v>1700</v>
      </c>
      <c r="W6" s="4394"/>
      <c r="X6" s="984"/>
      <c r="Y6" s="4397" t="s">
        <v>1702</v>
      </c>
      <c r="Z6" s="4398"/>
      <c r="AA6" s="4363" t="s">
        <v>1698</v>
      </c>
      <c r="AB6" s="4364" t="s">
        <v>1699</v>
      </c>
      <c r="AC6" s="4363" t="s">
        <v>1700</v>
      </c>
    </row>
    <row r="7" spans="1:29" ht="15">
      <c r="A7" s="3509"/>
      <c r="B7" s="3582"/>
      <c r="C7" s="4374" t="s">
        <v>1600</v>
      </c>
      <c r="D7" s="4375"/>
      <c r="E7" s="4372" t="s">
        <v>1601</v>
      </c>
      <c r="F7" s="4373"/>
      <c r="G7" s="4374" t="s">
        <v>1602</v>
      </c>
      <c r="H7" s="4375"/>
      <c r="I7" s="4374" t="s">
        <v>1603</v>
      </c>
      <c r="J7" s="4375"/>
      <c r="K7" s="415"/>
      <c r="L7" s="2083"/>
      <c r="M7" s="2084"/>
      <c r="N7" s="2084"/>
      <c r="O7" s="2084"/>
      <c r="P7" s="4388"/>
      <c r="Q7" s="4389"/>
      <c r="R7" s="4370"/>
      <c r="S7" s="4371"/>
      <c r="T7" s="4370"/>
      <c r="U7" s="4371"/>
      <c r="V7" s="4394"/>
      <c r="W7" s="4394"/>
      <c r="X7" s="984"/>
      <c r="Y7" s="4399"/>
      <c r="Z7" s="4400"/>
      <c r="AA7" s="4364"/>
      <c r="AB7" s="4364"/>
      <c r="AC7" s="4364"/>
    </row>
    <row r="8" spans="1:29" ht="15.75" thickBot="1">
      <c r="A8" s="3583"/>
      <c r="B8" s="3584"/>
      <c r="C8" s="4502" t="s">
        <v>1846</v>
      </c>
      <c r="D8" s="4503"/>
      <c r="E8" s="4504" t="s">
        <v>1846</v>
      </c>
      <c r="F8" s="4505"/>
      <c r="G8" s="4502" t="s">
        <v>1846</v>
      </c>
      <c r="H8" s="4503"/>
      <c r="I8" s="4502" t="s">
        <v>1846</v>
      </c>
      <c r="J8" s="4503"/>
      <c r="K8" s="415" t="s">
        <v>1605</v>
      </c>
      <c r="L8" s="2083"/>
      <c r="M8" s="2084"/>
      <c r="N8" s="2084"/>
      <c r="O8" s="2084"/>
      <c r="P8" s="4390"/>
      <c r="Q8" s="4391"/>
      <c r="R8" s="4370"/>
      <c r="S8" s="4371"/>
      <c r="T8" s="4392"/>
      <c r="U8" s="4393"/>
      <c r="V8" s="4394"/>
      <c r="W8" s="4394"/>
      <c r="X8" s="984"/>
      <c r="Y8" s="4401"/>
      <c r="Z8" s="4402"/>
      <c r="AA8" s="4365"/>
      <c r="AB8" s="4365"/>
      <c r="AC8" s="4365"/>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5" t="s">
        <v>1607</v>
      </c>
      <c r="Q9" s="4403"/>
      <c r="R9" s="3573" t="s">
        <v>13</v>
      </c>
      <c r="S9" s="3574">
        <f t="shared" ref="S9:S17" si="0">F9</f>
        <v>0</v>
      </c>
      <c r="T9" s="3573" t="s">
        <v>13</v>
      </c>
      <c r="U9" s="3574">
        <f t="shared" ref="U9:U17" si="1">H9</f>
        <v>0</v>
      </c>
      <c r="V9" s="3573" t="s">
        <v>13</v>
      </c>
      <c r="W9" s="3574">
        <f t="shared" ref="W9:W17" si="2">J9</f>
        <v>0</v>
      </c>
      <c r="X9" s="513"/>
      <c r="Y9" s="4366" t="s">
        <v>1607</v>
      </c>
      <c r="Z9" s="4367"/>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5" t="s">
        <v>1610</v>
      </c>
      <c r="Q10" s="4396"/>
      <c r="R10" s="3573" t="s">
        <v>13</v>
      </c>
      <c r="S10" s="3574">
        <f t="shared" si="0"/>
        <v>0</v>
      </c>
      <c r="T10" s="3573" t="s">
        <v>13</v>
      </c>
      <c r="U10" s="3574">
        <f t="shared" si="1"/>
        <v>0</v>
      </c>
      <c r="V10" s="3573" t="s">
        <v>13</v>
      </c>
      <c r="W10" s="3574">
        <f t="shared" si="2"/>
        <v>0</v>
      </c>
      <c r="X10" s="513"/>
      <c r="Y10" s="4366" t="s">
        <v>1610</v>
      </c>
      <c r="Z10" s="4367"/>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407" t="s">
        <v>1613</v>
      </c>
      <c r="Q11" s="1792" t="str">
        <f t="shared" ref="Q11:Q17" si="6">B11</f>
        <v>用途</v>
      </c>
      <c r="R11" s="3573" t="s">
        <v>13</v>
      </c>
      <c r="S11" s="3574">
        <f t="shared" si="0"/>
        <v>100</v>
      </c>
      <c r="T11" s="3573" t="s">
        <v>13</v>
      </c>
      <c r="U11" s="3574">
        <f t="shared" si="1"/>
        <v>100</v>
      </c>
      <c r="V11" s="3573" t="s">
        <v>13</v>
      </c>
      <c r="W11" s="3574">
        <f t="shared" si="2"/>
        <v>100</v>
      </c>
      <c r="X11" s="513"/>
      <c r="Y11" s="4381"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407"/>
      <c r="Q12" s="1792" t="str">
        <f t="shared" si="6"/>
        <v>土地使用年限（年）</v>
      </c>
      <c r="R12" s="3573" t="s">
        <v>13</v>
      </c>
      <c r="S12" s="3574">
        <f t="shared" si="0"/>
        <v>109</v>
      </c>
      <c r="T12" s="3573" t="s">
        <v>13</v>
      </c>
      <c r="U12" s="3574">
        <f t="shared" si="1"/>
        <v>109</v>
      </c>
      <c r="V12" s="3573" t="s">
        <v>13</v>
      </c>
      <c r="W12" s="3574">
        <f t="shared" si="2"/>
        <v>109</v>
      </c>
      <c r="X12" s="513"/>
      <c r="Y12" s="4381"/>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407"/>
      <c r="Q13" s="1792" t="str">
        <f t="shared" si="6"/>
        <v>容积率</v>
      </c>
      <c r="R13" s="3573" t="s">
        <v>13</v>
      </c>
      <c r="S13" s="3574" t="e">
        <f t="shared" si="0"/>
        <v>#N/A</v>
      </c>
      <c r="T13" s="3573" t="s">
        <v>13</v>
      </c>
      <c r="U13" s="3574" t="e">
        <f t="shared" si="1"/>
        <v>#N/A</v>
      </c>
      <c r="V13" s="3573" t="s">
        <v>13</v>
      </c>
      <c r="W13" s="3574" t="e">
        <f t="shared" si="2"/>
        <v>#N/A</v>
      </c>
      <c r="X13" s="513"/>
      <c r="Y13" s="4381"/>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407"/>
      <c r="Q14" s="1792">
        <f t="shared" si="6"/>
        <v>111</v>
      </c>
      <c r="R14" s="3573" t="s">
        <v>13</v>
      </c>
      <c r="S14" s="3574">
        <f t="shared" si="0"/>
        <v>100</v>
      </c>
      <c r="T14" s="3573" t="s">
        <v>13</v>
      </c>
      <c r="U14" s="3574">
        <f t="shared" si="1"/>
        <v>100</v>
      </c>
      <c r="V14" s="3573" t="s">
        <v>13</v>
      </c>
      <c r="W14" s="3574">
        <f t="shared" si="2"/>
        <v>100</v>
      </c>
      <c r="X14" s="513"/>
      <c r="Y14" s="4381"/>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407"/>
      <c r="Q15" s="1792">
        <f t="shared" si="6"/>
        <v>111</v>
      </c>
      <c r="R15" s="3573" t="s">
        <v>13</v>
      </c>
      <c r="S15" s="3574">
        <f t="shared" si="0"/>
        <v>100</v>
      </c>
      <c r="T15" s="3573" t="s">
        <v>13</v>
      </c>
      <c r="U15" s="3574">
        <f t="shared" si="1"/>
        <v>100</v>
      </c>
      <c r="V15" s="3573" t="s">
        <v>13</v>
      </c>
      <c r="W15" s="3574">
        <f t="shared" si="2"/>
        <v>100</v>
      </c>
      <c r="X15" s="513"/>
      <c r="Y15" s="4381"/>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407"/>
      <c r="Q16" s="1792">
        <f t="shared" si="6"/>
        <v>111</v>
      </c>
      <c r="R16" s="3573" t="s">
        <v>13</v>
      </c>
      <c r="S16" s="3574">
        <f t="shared" si="0"/>
        <v>100</v>
      </c>
      <c r="T16" s="3573" t="s">
        <v>13</v>
      </c>
      <c r="U16" s="3574">
        <f t="shared" si="1"/>
        <v>100</v>
      </c>
      <c r="V16" s="3573" t="s">
        <v>13</v>
      </c>
      <c r="W16" s="3574">
        <f t="shared" si="2"/>
        <v>100</v>
      </c>
      <c r="X16" s="513"/>
      <c r="Y16" s="4381"/>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81" t="s">
        <v>1618</v>
      </c>
      <c r="Q17" s="1592" t="str">
        <f t="shared" si="6"/>
        <v>产业集聚程度</v>
      </c>
      <c r="R17" s="3575" t="s">
        <v>13</v>
      </c>
      <c r="S17" s="3576">
        <f t="shared" si="0"/>
        <v>100</v>
      </c>
      <c r="T17" s="3575" t="s">
        <v>13</v>
      </c>
      <c r="U17" s="3576">
        <f t="shared" si="1"/>
        <v>100</v>
      </c>
      <c r="V17" s="3575" t="s">
        <v>13</v>
      </c>
      <c r="W17" s="3576">
        <f t="shared" si="2"/>
        <v>100</v>
      </c>
      <c r="X17" s="984"/>
      <c r="Y17" s="4409"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82"/>
      <c r="Q18" s="1592"/>
      <c r="R18" s="3575"/>
      <c r="S18" s="3576"/>
      <c r="T18" s="3575"/>
      <c r="U18" s="3576"/>
      <c r="V18" s="3575"/>
      <c r="W18" s="3576"/>
      <c r="X18" s="984"/>
      <c r="Y18" s="4410"/>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82"/>
      <c r="Q19" s="1592" t="str">
        <f>B19</f>
        <v>交通便捷度</v>
      </c>
      <c r="R19" s="3575" t="s">
        <v>13</v>
      </c>
      <c r="S19" s="3576">
        <f>F19</f>
        <v>100</v>
      </c>
      <c r="T19" s="3575" t="s">
        <v>13</v>
      </c>
      <c r="U19" s="3576">
        <f>H19</f>
        <v>100</v>
      </c>
      <c r="V19" s="3575" t="s">
        <v>13</v>
      </c>
      <c r="W19" s="3576">
        <f>J19</f>
        <v>100</v>
      </c>
      <c r="X19" s="984"/>
      <c r="Y19" s="4410"/>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82"/>
      <c r="Q20" s="1592"/>
      <c r="R20" s="3575"/>
      <c r="S20" s="3576"/>
      <c r="T20" s="3575"/>
      <c r="U20" s="3576"/>
      <c r="V20" s="3575"/>
      <c r="W20" s="3576"/>
      <c r="X20" s="984"/>
      <c r="Y20" s="4410"/>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82"/>
      <c r="Q21" s="1592" t="str">
        <f t="shared" ref="Q21:Q35" si="8">B21</f>
        <v>区域土地利用方向</v>
      </c>
      <c r="R21" s="3575" t="s">
        <v>13</v>
      </c>
      <c r="S21" s="3576">
        <f>F21</f>
        <v>100</v>
      </c>
      <c r="T21" s="3575" t="s">
        <v>13</v>
      </c>
      <c r="U21" s="3576">
        <f>H21</f>
        <v>100</v>
      </c>
      <c r="V21" s="3575" t="s">
        <v>13</v>
      </c>
      <c r="W21" s="3576">
        <f>J21</f>
        <v>100</v>
      </c>
      <c r="X21" s="984"/>
      <c r="Y21" s="4410"/>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82"/>
      <c r="Q22" s="1592"/>
      <c r="R22" s="3575"/>
      <c r="S22" s="3576"/>
      <c r="T22" s="3575"/>
      <c r="U22" s="3576"/>
      <c r="V22" s="3575"/>
      <c r="W22" s="3576"/>
      <c r="X22" s="984"/>
      <c r="Y22" s="4410"/>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82"/>
      <c r="Q23" s="1592" t="str">
        <f t="shared" si="8"/>
        <v>环境状况</v>
      </c>
      <c r="R23" s="3575" t="s">
        <v>13</v>
      </c>
      <c r="S23" s="3576">
        <f>F23</f>
        <v>100</v>
      </c>
      <c r="T23" s="3575" t="s">
        <v>13</v>
      </c>
      <c r="U23" s="3576">
        <f>H23</f>
        <v>100</v>
      </c>
      <c r="V23" s="3575" t="s">
        <v>13</v>
      </c>
      <c r="W23" s="3576">
        <f>J23</f>
        <v>100</v>
      </c>
      <c r="X23" s="984"/>
      <c r="Y23" s="4410"/>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82"/>
      <c r="Q24" s="1592"/>
      <c r="R24" s="3575"/>
      <c r="S24" s="3576"/>
      <c r="T24" s="3575"/>
      <c r="U24" s="3576"/>
      <c r="V24" s="3575"/>
      <c r="W24" s="3576"/>
      <c r="X24" s="984"/>
      <c r="Y24" s="4410"/>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82"/>
      <c r="Q25" s="1792" t="str">
        <f t="shared" si="8"/>
        <v>公共配套设施</v>
      </c>
      <c r="R25" s="3573" t="s">
        <v>13</v>
      </c>
      <c r="S25" s="3574">
        <f>F25</f>
        <v>100</v>
      </c>
      <c r="T25" s="3573" t="s">
        <v>13</v>
      </c>
      <c r="U25" s="3574">
        <f>H25</f>
        <v>100</v>
      </c>
      <c r="V25" s="3573" t="s">
        <v>13</v>
      </c>
      <c r="W25" s="3574">
        <f>J25</f>
        <v>100</v>
      </c>
      <c r="X25" s="513"/>
      <c r="Y25" s="4410"/>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82"/>
      <c r="Q26" s="1792"/>
      <c r="R26" s="3573"/>
      <c r="S26" s="3574"/>
      <c r="T26" s="3573"/>
      <c r="U26" s="3574"/>
      <c r="V26" s="3573"/>
      <c r="W26" s="3574"/>
      <c r="X26" s="513"/>
      <c r="Y26" s="4410"/>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82"/>
      <c r="Q27" s="1792" t="str">
        <f t="shared" ref="Q27" si="9">B27</f>
        <v>基础设施水平</v>
      </c>
      <c r="R27" s="3573" t="s">
        <v>13</v>
      </c>
      <c r="S27" s="3574">
        <f>F27</f>
        <v>100</v>
      </c>
      <c r="T27" s="3573" t="s">
        <v>13</v>
      </c>
      <c r="U27" s="3574">
        <f>H27</f>
        <v>100</v>
      </c>
      <c r="V27" s="3573" t="s">
        <v>13</v>
      </c>
      <c r="W27" s="3574">
        <f>J27</f>
        <v>100</v>
      </c>
      <c r="X27" s="513"/>
      <c r="Y27" s="4410"/>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82"/>
      <c r="Q28" s="1792"/>
      <c r="R28" s="3573"/>
      <c r="S28" s="3574"/>
      <c r="T28" s="3573"/>
      <c r="U28" s="3574"/>
      <c r="V28" s="3573"/>
      <c r="W28" s="3574"/>
      <c r="X28" s="513"/>
      <c r="Y28" s="4410"/>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82"/>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410"/>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82"/>
      <c r="Q30" s="1592" t="str">
        <f t="shared" si="8"/>
        <v>毗邻道路的类型与等级</v>
      </c>
      <c r="R30" s="3575" t="s">
        <v>13</v>
      </c>
      <c r="S30" s="3576">
        <f t="shared" si="10"/>
        <v>100</v>
      </c>
      <c r="T30" s="3575" t="s">
        <v>13</v>
      </c>
      <c r="U30" s="3576">
        <f t="shared" si="11"/>
        <v>100</v>
      </c>
      <c r="V30" s="3575" t="s">
        <v>13</v>
      </c>
      <c r="W30" s="3576">
        <f t="shared" si="12"/>
        <v>100</v>
      </c>
      <c r="X30" s="984"/>
      <c r="Y30" s="4410"/>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82"/>
      <c r="Q31" s="1592"/>
      <c r="R31" s="3575"/>
      <c r="S31" s="3576"/>
      <c r="T31" s="3575"/>
      <c r="U31" s="3576"/>
      <c r="V31" s="3575"/>
      <c r="W31" s="3576"/>
      <c r="X31" s="984"/>
      <c r="Y31" s="4410"/>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82"/>
      <c r="Q32" s="1592" t="str">
        <f t="shared" si="8"/>
        <v>土地级别</v>
      </c>
      <c r="R32" s="3575" t="s">
        <v>13</v>
      </c>
      <c r="S32" s="3576">
        <f t="shared" si="10"/>
        <v>100</v>
      </c>
      <c r="T32" s="3575" t="s">
        <v>13</v>
      </c>
      <c r="U32" s="3576">
        <f t="shared" si="11"/>
        <v>100</v>
      </c>
      <c r="V32" s="3575" t="s">
        <v>13</v>
      </c>
      <c r="W32" s="3576">
        <f t="shared" si="12"/>
        <v>100</v>
      </c>
      <c r="X32" s="984"/>
      <c r="Y32" s="4410"/>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82"/>
      <c r="Q33" s="1592">
        <f t="shared" si="8"/>
        <v>111</v>
      </c>
      <c r="R33" s="3575" t="s">
        <v>13</v>
      </c>
      <c r="S33" s="3576">
        <f t="shared" si="10"/>
        <v>100</v>
      </c>
      <c r="T33" s="3575" t="s">
        <v>13</v>
      </c>
      <c r="U33" s="3576">
        <f t="shared" si="11"/>
        <v>100</v>
      </c>
      <c r="V33" s="3575" t="s">
        <v>13</v>
      </c>
      <c r="W33" s="3576">
        <f t="shared" si="12"/>
        <v>100</v>
      </c>
      <c r="X33" s="984"/>
      <c r="Y33" s="4410"/>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83" t="s">
        <v>1623</v>
      </c>
      <c r="Q34" s="1592">
        <f t="shared" si="8"/>
        <v>111</v>
      </c>
      <c r="R34" s="3575" t="s">
        <v>13</v>
      </c>
      <c r="S34" s="3576">
        <f t="shared" si="10"/>
        <v>100</v>
      </c>
      <c r="T34" s="3575" t="s">
        <v>13</v>
      </c>
      <c r="U34" s="3576">
        <f t="shared" si="11"/>
        <v>100</v>
      </c>
      <c r="V34" s="3575" t="s">
        <v>13</v>
      </c>
      <c r="W34" s="3576">
        <f t="shared" si="12"/>
        <v>100</v>
      </c>
      <c r="X34" s="984"/>
      <c r="Y34" s="4414"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84"/>
      <c r="Q35" s="1592">
        <f t="shared" si="8"/>
        <v>111</v>
      </c>
      <c r="R35" s="3577" t="s">
        <v>13</v>
      </c>
      <c r="S35" s="3578">
        <f t="shared" si="10"/>
        <v>100</v>
      </c>
      <c r="T35" s="3577" t="s">
        <v>13</v>
      </c>
      <c r="U35" s="3578">
        <f t="shared" si="11"/>
        <v>100</v>
      </c>
      <c r="V35" s="3577" t="s">
        <v>13</v>
      </c>
      <c r="W35" s="3578">
        <f t="shared" si="12"/>
        <v>100</v>
      </c>
      <c r="X35" s="518"/>
      <c r="Y35" s="4414"/>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84"/>
      <c r="Q36" s="1592" t="str">
        <f>B36</f>
        <v>宗地面积</v>
      </c>
      <c r="R36" s="3575" t="s">
        <v>13</v>
      </c>
      <c r="S36" s="3576" t="e">
        <f t="shared" si="10"/>
        <v>#N/A</v>
      </c>
      <c r="T36" s="3575" t="s">
        <v>13</v>
      </c>
      <c r="U36" s="3576" t="e">
        <f t="shared" si="11"/>
        <v>#N/A</v>
      </c>
      <c r="V36" s="3575" t="s">
        <v>13</v>
      </c>
      <c r="W36" s="3576" t="e">
        <f t="shared" si="12"/>
        <v>#N/A</v>
      </c>
      <c r="X36" s="984"/>
      <c r="Y36" s="4414"/>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84"/>
      <c r="Q37" s="1592" t="str">
        <f t="shared" ref="Q37:Q42" si="14">B37</f>
        <v>宗地形状</v>
      </c>
      <c r="R37" s="3575" t="s">
        <v>13</v>
      </c>
      <c r="S37" s="3576">
        <f t="shared" si="10"/>
        <v>100</v>
      </c>
      <c r="T37" s="3575" t="s">
        <v>13</v>
      </c>
      <c r="U37" s="3576">
        <f t="shared" si="11"/>
        <v>100</v>
      </c>
      <c r="V37" s="3575" t="s">
        <v>13</v>
      </c>
      <c r="W37" s="3576">
        <f t="shared" si="12"/>
        <v>100</v>
      </c>
      <c r="X37" s="984"/>
      <c r="Y37" s="4414"/>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84"/>
      <c r="Q38" s="1592" t="str">
        <f t="shared" si="14"/>
        <v>宗地开发程度</v>
      </c>
      <c r="R38" s="3573" t="s">
        <v>13</v>
      </c>
      <c r="S38" s="3574">
        <f t="shared" si="10"/>
        <v>100</v>
      </c>
      <c r="T38" s="3573" t="s">
        <v>13</v>
      </c>
      <c r="U38" s="3574">
        <f t="shared" si="11"/>
        <v>100</v>
      </c>
      <c r="V38" s="3573" t="s">
        <v>13</v>
      </c>
      <c r="W38" s="3574">
        <f t="shared" si="12"/>
        <v>100</v>
      </c>
      <c r="X38" s="513"/>
      <c r="Y38" s="4414"/>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84" t="s">
        <v>1623</v>
      </c>
      <c r="Q39" s="1592" t="str">
        <f t="shared" si="14"/>
        <v>工程地质条件</v>
      </c>
      <c r="R39" s="3575" t="s">
        <v>13</v>
      </c>
      <c r="S39" s="3576">
        <f t="shared" si="10"/>
        <v>100</v>
      </c>
      <c r="T39" s="3575" t="s">
        <v>13</v>
      </c>
      <c r="U39" s="3576">
        <f t="shared" si="11"/>
        <v>100</v>
      </c>
      <c r="V39" s="3575" t="s">
        <v>13</v>
      </c>
      <c r="W39" s="3576">
        <f t="shared" si="12"/>
        <v>100</v>
      </c>
      <c r="X39" s="984"/>
      <c r="Y39" s="4414"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84"/>
      <c r="Q40" s="1592">
        <f t="shared" si="14"/>
        <v>111</v>
      </c>
      <c r="R40" s="3575" t="s">
        <v>13</v>
      </c>
      <c r="S40" s="3576">
        <f t="shared" si="10"/>
        <v>100</v>
      </c>
      <c r="T40" s="3575" t="s">
        <v>13</v>
      </c>
      <c r="U40" s="3576">
        <f t="shared" si="11"/>
        <v>100</v>
      </c>
      <c r="V40" s="3575" t="s">
        <v>13</v>
      </c>
      <c r="W40" s="3576">
        <f t="shared" si="12"/>
        <v>100</v>
      </c>
      <c r="X40" s="984"/>
      <c r="Y40" s="4414"/>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84"/>
      <c r="Q41" s="1592">
        <f t="shared" si="14"/>
        <v>111</v>
      </c>
      <c r="R41" s="3575" t="s">
        <v>13</v>
      </c>
      <c r="S41" s="3576">
        <f t="shared" si="10"/>
        <v>100</v>
      </c>
      <c r="T41" s="3575" t="s">
        <v>13</v>
      </c>
      <c r="U41" s="3576">
        <f t="shared" si="11"/>
        <v>100</v>
      </c>
      <c r="V41" s="3575" t="s">
        <v>13</v>
      </c>
      <c r="W41" s="3576">
        <f t="shared" si="12"/>
        <v>100</v>
      </c>
      <c r="X41" s="984"/>
      <c r="Y41" s="4414"/>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84"/>
      <c r="Q42" s="1592">
        <f t="shared" si="14"/>
        <v>111</v>
      </c>
      <c r="R42" s="3577" t="s">
        <v>13</v>
      </c>
      <c r="S42" s="3578">
        <f t="shared" si="10"/>
        <v>100</v>
      </c>
      <c r="T42" s="3577" t="s">
        <v>13</v>
      </c>
      <c r="U42" s="3578">
        <f t="shared" si="11"/>
        <v>100</v>
      </c>
      <c r="V42" s="3577" t="s">
        <v>13</v>
      </c>
      <c r="W42" s="3578">
        <f t="shared" si="12"/>
        <v>100</v>
      </c>
      <c r="X42" s="518"/>
      <c r="Y42" s="4414"/>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407" t="str">
        <f>A43</f>
        <v>成交单价</v>
      </c>
      <c r="Q43" s="4407"/>
      <c r="R43" s="4408">
        <f>E43</f>
        <v>0</v>
      </c>
      <c r="S43" s="4408"/>
      <c r="T43" s="4408">
        <f>G43</f>
        <v>0</v>
      </c>
      <c r="U43" s="4408"/>
      <c r="V43" s="4408">
        <f>I43</f>
        <v>0</v>
      </c>
      <c r="W43" s="4408"/>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407" t="str">
        <f>A44</f>
        <v>比较价值（元/平方米）</v>
      </c>
      <c r="Q44" s="4407"/>
      <c r="R44" s="4498" t="e">
        <f>ROUND(PRODUCT(R43,AA9:AA42),0)</f>
        <v>#DIV/0!</v>
      </c>
      <c r="S44" s="4498"/>
      <c r="T44" s="4498" t="e">
        <f>ROUND(PRODUCT(T43,AB9:AB42),0)</f>
        <v>#DIV/0!</v>
      </c>
      <c r="U44" s="4498"/>
      <c r="V44" s="4498" t="e">
        <f>ROUND(PRODUCT(V43,AC9:AC42),0)</f>
        <v>#DIV/0!</v>
      </c>
      <c r="W44" s="4498"/>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404" t="str">
        <f>A45</f>
        <v>估价对象XX用房的比较价值（楼面单价，元/平方米）</v>
      </c>
      <c r="Q45" s="4405"/>
      <c r="R45" s="4499" t="e">
        <f>ROUND(IF(D44="简单平均",AVERAGE(R44:W44),R44*F44+T44*H44+V44*J44),0)</f>
        <v>#DIV/0!</v>
      </c>
      <c r="S45" s="4499"/>
      <c r="T45" s="4499"/>
      <c r="U45" s="4499"/>
      <c r="V45" s="4499"/>
      <c r="W45" s="4499"/>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34" t="s">
        <v>1814</v>
      </c>
      <c r="H52" s="4500"/>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127.64</v>
      </c>
      <c r="F53" s="3479" t="e">
        <f t="shared" ref="F53:F62" si="15">ROUND(B53*E53/10000,0)</f>
        <v>#DIV/0!</v>
      </c>
      <c r="G53" s="4501"/>
      <c r="H53" s="4486"/>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06" t="s">
        <v>3413</v>
      </c>
      <c r="D6" s="4506"/>
      <c r="E6" s="4506"/>
      <c r="F6" s="4506"/>
      <c r="G6" s="4506"/>
      <c r="H6" s="4506"/>
      <c r="I6" s="4506"/>
      <c r="J6" s="4506"/>
      <c r="K6" s="4507"/>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10" t="s">
        <v>3426</v>
      </c>
      <c r="B11" s="4511"/>
      <c r="C11" s="4511"/>
      <c r="D11" s="4511"/>
      <c r="E11" s="4511"/>
      <c r="F11" s="4511"/>
      <c r="G11" s="4511"/>
      <c r="H11" s="4511"/>
      <c r="I11" s="4511"/>
      <c r="J11" s="4511"/>
      <c r="K11" s="4512"/>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0.44720000000000004</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0.44720000000000004</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0.44720000000000004</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127.64</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127.64</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127.64</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08" t="s">
        <v>3425</v>
      </c>
      <c r="H32" s="4508"/>
      <c r="I32" s="4508"/>
      <c r="J32" s="4508"/>
      <c r="K32" s="4509"/>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0.44720000000000004</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0.44720000000000004</v>
      </c>
      <c r="D53" s="679"/>
      <c r="E53" s="679"/>
      <c r="F53" s="679"/>
      <c r="G53" s="679"/>
    </row>
    <row r="54" spans="1:7" s="3656" customFormat="1">
      <c r="A54" s="3955" t="s">
        <v>3422</v>
      </c>
      <c r="B54" s="3956" t="s">
        <v>3561</v>
      </c>
      <c r="C54" s="3957">
        <f ca="1">C20</f>
        <v>0.44720000000000004</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110</v>
      </c>
      <c r="C2" s="1662" t="s">
        <v>2001</v>
      </c>
      <c r="D2" s="1662" t="s">
        <v>2002</v>
      </c>
      <c r="E2" s="3273">
        <f ca="1">SUMIF(E6:E13,"&lt;&gt;#ref!",E6:E13)</f>
        <v>127.64</v>
      </c>
      <c r="F2" s="2141"/>
      <c r="G2" s="2141"/>
      <c r="H2" s="2141"/>
      <c r="I2" s="2141"/>
      <c r="J2" s="2141"/>
      <c r="K2" s="2141"/>
      <c r="L2" s="2141"/>
      <c r="M2" s="2141"/>
      <c r="N2" s="2141"/>
      <c r="O2" s="2141"/>
      <c r="P2" s="2141"/>
    </row>
    <row r="3" spans="1:16" ht="15.75">
      <c r="A3" s="1662" t="s">
        <v>2003</v>
      </c>
      <c r="B3" s="3272">
        <f ca="1">ROUND(B2*10000/E2,0)</f>
        <v>8618</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110</v>
      </c>
      <c r="C6" s="1662" t="s">
        <v>2001</v>
      </c>
      <c r="D6" s="2141"/>
      <c r="E6" s="3273">
        <f ca="1">SUMIF(INDIRECT("'"&amp;A6&amp;"'"&amp;"!C:C"),"建筑面积",INDIRECT("'"&amp;A6&amp;"'"&amp;"!D:D"))</f>
        <v>127.64</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221.8699</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17382</v>
      </c>
      <c r="C3" s="113" t="s">
        <v>1449</v>
      </c>
      <c r="D3" s="113">
        <f ca="1">IF(C1="含税",E2+C33,E2+C32)</f>
        <v>2218699</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2166406</v>
      </c>
      <c r="D5" s="2708"/>
      <c r="E5" s="2708"/>
      <c r="F5" s="2708"/>
      <c r="G5" s="2957" t="s">
        <v>3524</v>
      </c>
      <c r="J5" s="114"/>
    </row>
    <row r="6" spans="1:10" s="2693" customFormat="1" ht="15">
      <c r="A6" s="2671" t="s">
        <v>3368</v>
      </c>
      <c r="B6" s="2734" t="s">
        <v>3369</v>
      </c>
      <c r="C6" s="2709">
        <f>C7+C8</f>
        <v>1135787.3999999999</v>
      </c>
      <c r="D6" s="2670"/>
      <c r="E6" s="2670"/>
      <c r="F6" s="2670"/>
      <c r="G6" s="2710"/>
      <c r="J6" s="114"/>
    </row>
    <row r="7" spans="1:10" s="128" customFormat="1" ht="15">
      <c r="A7" s="2711" t="s">
        <v>344</v>
      </c>
      <c r="B7" s="2735" t="s">
        <v>1457</v>
      </c>
      <c r="C7" s="3396">
        <f>基准地价修正!C33*基准地价修正!D33</f>
        <v>1102171.3999999999</v>
      </c>
      <c r="D7" s="2712"/>
      <c r="E7" s="2713"/>
      <c r="F7" s="2713"/>
      <c r="G7" s="175"/>
      <c r="J7" s="114"/>
    </row>
    <row r="8" spans="1:10" s="128" customFormat="1" ht="15">
      <c r="A8" s="2711" t="s">
        <v>345</v>
      </c>
      <c r="B8" s="2735" t="s">
        <v>1459</v>
      </c>
      <c r="C8" s="2681">
        <f>ROUND(C7*F8,0)</f>
        <v>33616</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589311.55279999995</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526898</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26345</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25530.552800000001</v>
      </c>
      <c r="D13" s="163"/>
      <c r="E13" s="2713"/>
      <c r="F13" s="2714"/>
      <c r="G13" s="175"/>
      <c r="J13" s="114"/>
    </row>
    <row r="14" spans="1:10" s="137" customFormat="1" ht="15">
      <c r="A14" s="2664" t="s">
        <v>3316</v>
      </c>
      <c r="B14" s="2739" t="s">
        <v>3349</v>
      </c>
      <c r="C14" s="2681">
        <f ca="1">IF(G14="已包含在土地购买价格中","0",IF(B1="",'数据-取费表'!B29,IF(G15="全部缴纳",C15+C16,H15)))</f>
        <v>2.5528</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25528</v>
      </c>
      <c r="D16" s="2722">
        <f ca="1">IF(B1="",'数据-汇总表'!E6,IF(INDIRECT("'数据-取费表'!c"&amp;$G$1)="住宅",INDIRECT("'数据-取费表'!s"&amp;$G$1),INDIRECT("'数据-取费表'!k"&amp;$G$1)+INDIRECT("'数据-取费表'!s"&amp;$G$1)))</f>
        <v>127.64</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127.64</v>
      </c>
      <c r="E17" s="2723">
        <f>'数据-取费表'!B31</f>
        <v>200</v>
      </c>
      <c r="F17" s="2689"/>
      <c r="G17" s="1423" t="s">
        <v>3783</v>
      </c>
      <c r="J17" s="114"/>
    </row>
    <row r="18" spans="1:10" s="128" customFormat="1" ht="15">
      <c r="A18" s="2743" t="s">
        <v>3318</v>
      </c>
      <c r="B18" s="2742" t="s">
        <v>1489</v>
      </c>
      <c r="C18" s="2681">
        <f ca="1">ROUND(E18*D18*F10,0)</f>
        <v>25528</v>
      </c>
      <c r="D18" s="2681">
        <f ca="1">D17</f>
        <v>127.64</v>
      </c>
      <c r="E18" s="2681">
        <f>'数据-取费表'!B35</f>
        <v>200</v>
      </c>
      <c r="F18" s="2692"/>
      <c r="G18" s="175" t="s">
        <v>1490</v>
      </c>
      <c r="J18" s="114"/>
    </row>
    <row r="19" spans="1:10" s="128" customFormat="1" ht="15">
      <c r="A19" s="2737" t="s">
        <v>352</v>
      </c>
      <c r="B19" s="2738" t="s">
        <v>3354</v>
      </c>
      <c r="C19" s="2681">
        <f ca="1">ROUND(C10*F19,0)</f>
        <v>5269</v>
      </c>
      <c r="D19" s="163"/>
      <c r="E19" s="163"/>
      <c r="F19" s="2692">
        <f>'数据-取费表'!B36</f>
        <v>0.01</v>
      </c>
      <c r="G19" s="175" t="s">
        <v>1486</v>
      </c>
      <c r="J19" s="114"/>
    </row>
    <row r="20" spans="1:10" s="128" customFormat="1" ht="15">
      <c r="A20" s="2737" t="s">
        <v>3319</v>
      </c>
      <c r="B20" s="2738" t="s">
        <v>3355</v>
      </c>
      <c r="C20" s="2681">
        <f ca="1">ROUND(C10*F20,0)</f>
        <v>5269</v>
      </c>
      <c r="D20" s="2724"/>
      <c r="E20" s="159"/>
      <c r="F20" s="2692">
        <f>'数据-取费表'!B37</f>
        <v>0.01</v>
      </c>
      <c r="G20" s="175" t="s">
        <v>1486</v>
      </c>
      <c r="J20" s="114"/>
    </row>
    <row r="21" spans="1:10" s="2693" customFormat="1" ht="15">
      <c r="A21" s="2671" t="s">
        <v>3370</v>
      </c>
      <c r="B21" s="2734" t="s">
        <v>3371</v>
      </c>
      <c r="C21" s="2694">
        <f ca="1">ROUND((C6+C9)*F21,0)</f>
        <v>34502</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91738+0.0006V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72213</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19525</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263940+0.003V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263940</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130902</v>
      </c>
      <c r="D31" s="2675"/>
      <c r="E31" s="2675"/>
      <c r="F31" s="2690">
        <f>IF('数据-取费表'!B24=0,'数据-取费表'!N16,1)</f>
        <v>0.82</v>
      </c>
      <c r="G31" s="2676" t="s">
        <v>3363</v>
      </c>
      <c r="J31" s="114"/>
    </row>
    <row r="32" spans="1:10" s="128" customFormat="1" ht="15.75">
      <c r="A32" s="2663" t="s">
        <v>3328</v>
      </c>
      <c r="B32" s="2662" t="s">
        <v>3329</v>
      </c>
      <c r="C32" s="2685">
        <f ca="1">C5-C31</f>
        <v>2035504</v>
      </c>
      <c r="D32" s="2675"/>
      <c r="E32" s="2675"/>
      <c r="F32" s="2674"/>
      <c r="G32" s="2677" t="s">
        <v>3362</v>
      </c>
      <c r="J32" s="114"/>
    </row>
    <row r="33" spans="1:10" s="128" customFormat="1" ht="16.5" thickBot="1">
      <c r="A33" s="2747">
        <v>4</v>
      </c>
      <c r="B33" s="2748" t="s">
        <v>3364</v>
      </c>
      <c r="C33" s="2686">
        <f ca="1">ROUND(C32*(1+F33),0)</f>
        <v>2218699</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589309</v>
      </c>
      <c r="D40" s="3063"/>
      <c r="E40" s="3063"/>
      <c r="F40" s="3063"/>
      <c r="G40" s="3063"/>
    </row>
    <row r="41" spans="1:10" ht="15.75">
      <c r="A41" s="2729" t="s">
        <v>3332</v>
      </c>
      <c r="B41" s="2880" t="str">
        <f t="shared" ref="B41:C43" si="0">B10</f>
        <v xml:space="preserve">  建安费用</v>
      </c>
      <c r="C41" s="2660">
        <f t="shared" ca="1" si="0"/>
        <v>526898</v>
      </c>
      <c r="D41" s="2655"/>
      <c r="E41" s="2655"/>
      <c r="F41" s="2656"/>
      <c r="G41" s="2656"/>
    </row>
    <row r="42" spans="1:10" ht="15.75">
      <c r="A42" s="2729" t="s">
        <v>3333</v>
      </c>
      <c r="B42" s="2880" t="str">
        <f t="shared" si="0"/>
        <v xml:space="preserve">  前期费用</v>
      </c>
      <c r="C42" s="2660">
        <f t="shared" ca="1" si="0"/>
        <v>26345</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25528</v>
      </c>
      <c r="D44" s="2655"/>
      <c r="E44" s="2655"/>
      <c r="F44" s="2656"/>
      <c r="G44" s="2656"/>
    </row>
    <row r="45" spans="1:10" ht="15.75">
      <c r="A45" s="2744" t="s">
        <v>3334</v>
      </c>
      <c r="B45" s="2739" t="str">
        <f>B19</f>
        <v xml:space="preserve">  其他工程费</v>
      </c>
      <c r="C45" s="2665">
        <f ca="1">C19</f>
        <v>5269</v>
      </c>
      <c r="D45" s="2879"/>
      <c r="E45" s="2879"/>
      <c r="F45" s="2668"/>
      <c r="G45" s="2668"/>
    </row>
    <row r="46" spans="1:10" ht="15.75">
      <c r="A46" s="2744" t="s">
        <v>3405</v>
      </c>
      <c r="B46" s="2739" t="s">
        <v>3335</v>
      </c>
      <c r="C46" s="2665">
        <f ca="1">C20</f>
        <v>5269</v>
      </c>
      <c r="D46" s="2879"/>
      <c r="E46" s="2879"/>
      <c r="F46" s="2668"/>
      <c r="G46" s="2668"/>
    </row>
    <row r="47" spans="1:10" ht="15">
      <c r="A47" s="2881" t="s">
        <v>3508</v>
      </c>
      <c r="B47" s="2882" t="s">
        <v>3509</v>
      </c>
      <c r="C47" s="2883">
        <f ca="1">ROUND(C40*F47,0)</f>
        <v>11786</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18814+0.0006V建1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18814</v>
      </c>
      <c r="D50" s="1087"/>
      <c r="E50" s="1087"/>
      <c r="F50" s="1070"/>
      <c r="G50" s="4340" t="s">
        <v>3348</v>
      </c>
    </row>
    <row r="51" spans="1:7">
      <c r="A51" s="2729" t="s">
        <v>3333</v>
      </c>
      <c r="B51" s="2733" t="s">
        <v>3338</v>
      </c>
      <c r="C51" s="2906">
        <f ca="1">ROUND(IF('数据-取费表'!B22&lt;=1,F48*F23*'数据-取费表'!B22/2,F48*(POWER((1+F23),'数据-取费表'!B22/2)-1)),4)</f>
        <v>5.9999999999999995E-4</v>
      </c>
      <c r="D51" s="1087"/>
      <c r="E51" s="1087"/>
      <c r="F51" s="1070"/>
      <c r="G51" s="4341"/>
    </row>
    <row r="52" spans="1:7" ht="15">
      <c r="A52" s="2881" t="s">
        <v>3515</v>
      </c>
      <c r="B52" s="2890" t="s">
        <v>3339</v>
      </c>
      <c r="C52" s="2891" t="str">
        <f ca="1">C53&amp;"+"&amp;C54&amp;"V建1"</f>
        <v>90164+0.003V建1</v>
      </c>
      <c r="D52" s="2892"/>
      <c r="E52" s="2884"/>
      <c r="F52" s="2893">
        <f ca="1">F27</f>
        <v>0.15</v>
      </c>
      <c r="G52" s="2894" t="s">
        <v>3516</v>
      </c>
    </row>
    <row r="53" spans="1:7">
      <c r="A53" s="2729" t="s">
        <v>3332</v>
      </c>
      <c r="B53" s="2732" t="s">
        <v>3340</v>
      </c>
      <c r="C53" s="2660">
        <f ca="1">ROUND((C40+C47)*F27,0)</f>
        <v>90164</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727236</v>
      </c>
      <c r="D56" s="315"/>
      <c r="E56" s="315"/>
      <c r="F56" s="2898"/>
      <c r="G56" s="2897" t="s">
        <v>3345</v>
      </c>
    </row>
    <row r="57" spans="1:7" ht="15">
      <c r="A57" s="2671" t="s">
        <v>3479</v>
      </c>
      <c r="B57" s="2899" t="s">
        <v>3327</v>
      </c>
      <c r="C57" s="2694">
        <f ca="1">ROUND(C56*(1-F57),0)</f>
        <v>130902</v>
      </c>
      <c r="D57" s="315"/>
      <c r="E57" s="315"/>
      <c r="F57" s="2898">
        <f>F31</f>
        <v>0.82</v>
      </c>
      <c r="G57" s="2897" t="s">
        <v>3346</v>
      </c>
    </row>
    <row r="58" spans="1:7" ht="16.5">
      <c r="A58" s="2671" t="s">
        <v>3520</v>
      </c>
      <c r="B58" s="2895" t="s">
        <v>3521</v>
      </c>
      <c r="C58" s="2694">
        <f ca="1">C56-C57</f>
        <v>596334</v>
      </c>
      <c r="D58" s="315"/>
      <c r="E58" s="315"/>
      <c r="F58" s="2898"/>
      <c r="G58" s="2897" t="s">
        <v>3347</v>
      </c>
    </row>
    <row r="59" spans="1:7" ht="15">
      <c r="A59" s="2900" t="s">
        <v>3407</v>
      </c>
      <c r="B59" s="2901" t="s">
        <v>3343</v>
      </c>
      <c r="C59" s="2902">
        <f ca="1">ROUND(C58*(1+F59),0)</f>
        <v>650004</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0.70700000000000007</v>
      </c>
    </row>
    <row r="64" spans="1:7" ht="21" customHeight="1">
      <c r="B64" s="72" t="s">
        <v>790</v>
      </c>
      <c r="C64" s="2727">
        <f ca="1">ROUND(C58/C32,3)</f>
        <v>0.29299999999999998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7"/>
      <c r="C2" s="4147"/>
      <c r="D2" s="4147"/>
      <c r="E2" s="4147"/>
    </row>
    <row r="3" spans="1:5" ht="18">
      <c r="A3" s="4148" t="str">
        <f>IF(项目基本情况!B9="房地产市场价值","估价结果一览表（市场价值不需“结果表-1”）","估价结果一览表")</f>
        <v>估价结果一览表</v>
      </c>
      <c r="B3" s="4148"/>
      <c r="C3" s="4148"/>
      <c r="D3" s="4148"/>
      <c r="E3" s="4148"/>
    </row>
    <row r="4" spans="1:5" ht="19.5" thickBot="1">
      <c r="A4" s="1111"/>
      <c r="B4" s="4146" t="s">
        <v>904</v>
      </c>
      <c r="C4" s="4146"/>
      <c r="D4" s="4146"/>
      <c r="E4" s="1111"/>
    </row>
    <row r="5" spans="1:5" ht="16.5" thickTop="1">
      <c r="B5" s="4144" t="s">
        <v>896</v>
      </c>
      <c r="C5" s="1112" t="s">
        <v>897</v>
      </c>
      <c r="D5" s="592">
        <f ca="1">结果表!H101</f>
        <v>248</v>
      </c>
    </row>
    <row r="6" spans="1:5" ht="15.75">
      <c r="B6" s="4144"/>
      <c r="C6" s="1112" t="s">
        <v>898</v>
      </c>
      <c r="D6" s="592" t="str">
        <f ca="1">NUMBERSTRING(INT(D5*10000),2)&amp;"元整"</f>
        <v>贰佰肆拾捌万元整</v>
      </c>
    </row>
    <row r="7" spans="1:5" ht="15.75">
      <c r="B7" s="4149"/>
      <c r="C7" s="1113" t="s">
        <v>899</v>
      </c>
      <c r="D7" s="593">
        <f ca="1">结果表!H102</f>
        <v>1521153</v>
      </c>
    </row>
    <row r="8" spans="1:5" ht="15.75">
      <c r="B8" s="4150" t="str">
        <f>结果表!E103</f>
        <v>2.估价师知悉的法定优先受偿款</v>
      </c>
      <c r="C8" s="1114" t="s">
        <v>900</v>
      </c>
      <c r="D8" s="593">
        <f>结果表!H103</f>
        <v>0</v>
      </c>
    </row>
    <row r="9" spans="1:5" ht="15.75">
      <c r="B9" s="4152"/>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43" t="str">
        <f>结果表!E107</f>
        <v>3.房地产抵押价值</v>
      </c>
      <c r="C13" s="1117" t="s">
        <v>897</v>
      </c>
      <c r="D13" s="595">
        <f ca="1">结果表!H107</f>
        <v>248</v>
      </c>
    </row>
    <row r="14" spans="1:5" ht="15.75">
      <c r="B14" s="4144"/>
      <c r="C14" s="1112" t="s">
        <v>898</v>
      </c>
      <c r="D14" s="592" t="str">
        <f ca="1">NUMBERSTRING(INT(D13*10000),2)&amp;"元整"</f>
        <v>贰佰肆拾捌万元整</v>
      </c>
    </row>
    <row r="15" spans="1:5" ht="15">
      <c r="B15" s="4149"/>
      <c r="C15" s="1113" t="s">
        <v>908</v>
      </c>
      <c r="D15" s="600">
        <f ca="1">结果表!H108</f>
        <v>1521153</v>
      </c>
    </row>
    <row r="16" spans="1:5" ht="15">
      <c r="B16" s="4150" t="str">
        <f>结果表!E109</f>
        <v>——</v>
      </c>
      <c r="C16" s="1117" t="s">
        <v>909</v>
      </c>
      <c r="D16" s="1118" t="str">
        <f>结果表!H109</f>
        <v>——</v>
      </c>
    </row>
    <row r="17" spans="1:5" ht="15.75">
      <c r="B17" s="4151"/>
      <c r="C17" s="1112" t="s">
        <v>910</v>
      </c>
      <c r="D17" s="592" t="e">
        <f>NUMBERSTRING(INT(D16*10000),2)&amp;"元整"</f>
        <v>#VALUE!</v>
      </c>
    </row>
    <row r="18" spans="1:5" ht="15">
      <c r="B18" s="4152"/>
      <c r="C18" s="1113" t="s">
        <v>899</v>
      </c>
      <c r="D18" s="600" t="str">
        <f>结果表!H110</f>
        <v>——</v>
      </c>
    </row>
    <row r="19" spans="1:5" ht="15.75">
      <c r="B19" s="4143" t="str">
        <f>结果表!E111</f>
        <v>——</v>
      </c>
      <c r="C19" s="1117" t="s">
        <v>897</v>
      </c>
      <c r="D19" s="593" t="str">
        <f>结果表!H111</f>
        <v>——</v>
      </c>
    </row>
    <row r="20" spans="1:5" ht="15.75">
      <c r="B20" s="4144"/>
      <c r="C20" s="1112" t="s">
        <v>910</v>
      </c>
      <c r="D20" s="592" t="e">
        <f>NUMBERSTRING(INT(D19*10000),2)&amp;"元整"</f>
        <v>#VALUE!</v>
      </c>
    </row>
    <row r="21" spans="1:5" ht="15.75" thickBot="1">
      <c r="B21" s="4145"/>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127.64</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110</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8618</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17" t="s">
        <v>1887</v>
      </c>
      <c r="X8" s="4518"/>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9"/>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9"/>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20" t="s">
        <v>3168</v>
      </c>
      <c r="B20" s="84" t="s">
        <v>1921</v>
      </c>
      <c r="C20" s="3285">
        <f>ROUND(IF(F21="与级别开发程度一致",0,(G21-E21)/C21),0)</f>
        <v>0</v>
      </c>
      <c r="D20" s="2546" t="s">
        <v>1925</v>
      </c>
      <c r="E20" s="2547"/>
      <c r="F20" s="4526" t="s">
        <v>1922</v>
      </c>
      <c r="G20" s="4527"/>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21"/>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110</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127.64</v>
      </c>
      <c r="E33" s="3300">
        <f>ROUND(C33*D33/10000,0)</f>
        <v>110</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24"/>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25"/>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25"/>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22" t="s">
        <v>3206</v>
      </c>
      <c r="B103" s="4522"/>
      <c r="C103" s="4522"/>
      <c r="D103" s="4522"/>
      <c r="E103" s="4522"/>
      <c r="F103" s="4522"/>
      <c r="G103" s="4522"/>
      <c r="H103" s="4522"/>
      <c r="I103" s="4522"/>
      <c r="J103" s="4522"/>
      <c r="K103" s="1377"/>
      <c r="L103" s="1377"/>
      <c r="M103" s="1377"/>
      <c r="N103" s="1377"/>
    </row>
    <row r="104" spans="1:14">
      <c r="A104" s="4523" t="s">
        <v>3207</v>
      </c>
      <c r="B104" s="4523" t="s">
        <v>3208</v>
      </c>
      <c r="C104" s="2589" t="s">
        <v>3209</v>
      </c>
      <c r="D104" s="2590"/>
      <c r="E104" s="2590"/>
      <c r="F104" s="2590"/>
      <c r="G104" s="2590"/>
      <c r="H104" s="2590"/>
      <c r="I104" s="2590"/>
      <c r="J104" s="2591"/>
      <c r="K104" s="2592"/>
      <c r="L104" s="2592"/>
      <c r="M104" s="2592"/>
      <c r="N104" s="2592"/>
    </row>
    <row r="105" spans="1:14">
      <c r="A105" s="4523"/>
      <c r="B105" s="4523"/>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13"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14"/>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14"/>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14"/>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14"/>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14"/>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15"/>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16" t="s">
        <v>3223</v>
      </c>
      <c r="B113" s="4516"/>
      <c r="C113" s="4516"/>
      <c r="D113" s="4516"/>
      <c r="E113" s="4516"/>
      <c r="F113" s="4516"/>
      <c r="G113" s="4516"/>
      <c r="H113" s="4516"/>
      <c r="I113" s="4516"/>
      <c r="J113" s="4516"/>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-61</v>
      </c>
      <c r="C2" s="190" t="s">
        <v>1549</v>
      </c>
      <c r="D2" s="190"/>
      <c r="E2" s="2161"/>
      <c r="F2" s="2161"/>
      <c r="G2" s="2161"/>
      <c r="H2" s="2161"/>
      <c r="I2" s="2161"/>
      <c r="J2" s="2161"/>
      <c r="K2" s="2161"/>
    </row>
    <row r="3" spans="1:33" ht="18" customHeight="1">
      <c r="A3" s="117" t="s">
        <v>1448</v>
      </c>
      <c r="B3" s="2683">
        <f ca="1">ROUND(B2*10000/IF(C1="",'数据-汇总表'!E3,INDIRECT("'数据-取费表'!K"&amp;$K$1)),0)</f>
        <v>-4779</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06" t="s">
        <v>3413</v>
      </c>
      <c r="D6" s="4506"/>
      <c r="E6" s="4506"/>
      <c r="F6" s="4506"/>
      <c r="G6" s="4506"/>
      <c r="H6" s="4506"/>
      <c r="I6" s="4506"/>
      <c r="J6" s="4506"/>
      <c r="K6" s="4507"/>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8" t="s">
        <v>3579</v>
      </c>
      <c r="B11" s="4529"/>
      <c r="C11" s="4529"/>
      <c r="D11" s="4529"/>
      <c r="E11" s="4529"/>
      <c r="F11" s="4529"/>
      <c r="G11" s="4529"/>
      <c r="H11" s="4529"/>
      <c r="I11" s="4529"/>
      <c r="J11" s="4529"/>
      <c r="K11" s="4530"/>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61</v>
      </c>
      <c r="D15" s="582"/>
      <c r="E15" s="192"/>
      <c r="F15" s="3673"/>
      <c r="G15" s="3860" t="s">
        <v>3598</v>
      </c>
      <c r="H15" s="578"/>
      <c r="I15" s="578"/>
      <c r="J15" s="578"/>
      <c r="K15" s="579"/>
    </row>
    <row r="16" spans="1:33" s="575" customFormat="1" ht="13.5" customHeight="1">
      <c r="A16" s="3874" t="s">
        <v>3648</v>
      </c>
      <c r="B16" s="3677" t="s">
        <v>3581</v>
      </c>
      <c r="C16" s="3678">
        <f ca="1">SUM(C17:C22)</f>
        <v>61</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53</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127.64</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1</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9+0.003V建</v>
      </c>
      <c r="D28" s="1087"/>
      <c r="E28" s="1087"/>
      <c r="F28" s="3696">
        <f ca="1">IF(C1="",'数据-取费表'!Q16,INDIRECT("'数据-取费表'!q"&amp;$K$1))</f>
        <v>0.15</v>
      </c>
      <c r="G28" s="4531" t="s">
        <v>3595</v>
      </c>
      <c r="H28" s="3858"/>
      <c r="I28" s="3858"/>
      <c r="J28" s="3858"/>
      <c r="K28" s="3873"/>
    </row>
    <row r="29" spans="1:33" s="575" customFormat="1" ht="13.5" customHeight="1">
      <c r="A29" s="3875" t="s">
        <v>3607</v>
      </c>
      <c r="B29" s="3667" t="s">
        <v>3612</v>
      </c>
      <c r="C29" s="2906">
        <f ca="1">ROUND((C16+C23)*F28,0)</f>
        <v>9</v>
      </c>
      <c r="D29" s="1087"/>
      <c r="E29" s="1087"/>
      <c r="F29" s="2987"/>
      <c r="G29" s="4531"/>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75</v>
      </c>
      <c r="D32" s="3688"/>
      <c r="E32" s="3689"/>
      <c r="F32" s="3675"/>
      <c r="G32" s="3868" t="s">
        <v>3585</v>
      </c>
      <c r="H32" s="3869"/>
      <c r="I32" s="3869"/>
      <c r="J32" s="3869"/>
      <c r="K32" s="3879"/>
    </row>
    <row r="33" spans="1:11" s="195" customFormat="1" ht="13.5" customHeight="1">
      <c r="A33" s="3874" t="s">
        <v>3606</v>
      </c>
      <c r="B33" s="3690" t="s">
        <v>3596</v>
      </c>
      <c r="C33" s="3691">
        <f ca="1">ROUND(C32*(1-F33),0)</f>
        <v>14</v>
      </c>
      <c r="D33" s="3692"/>
      <c r="E33" s="3435"/>
      <c r="F33" s="3695">
        <f>IF('数据-取费表'!B24=0,'数据-取费表'!N16,1)</f>
        <v>0.82</v>
      </c>
      <c r="G33" s="3860" t="s">
        <v>3597</v>
      </c>
      <c r="H33" s="3865"/>
      <c r="I33" s="3865"/>
      <c r="J33" s="3865"/>
      <c r="K33" s="3878"/>
    </row>
    <row r="34" spans="1:11" s="573" customFormat="1" ht="15.75" thickBot="1">
      <c r="A34" s="3880">
        <v>4</v>
      </c>
      <c r="B34" s="3881" t="s">
        <v>3654</v>
      </c>
      <c r="C34" s="3882">
        <f ca="1">C13-C15</f>
        <v>-61</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705</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8.5527999999999995</v>
      </c>
      <c r="D20" s="3845"/>
      <c r="E20" s="3846"/>
      <c r="F20" s="2718"/>
      <c r="G20" s="3852"/>
    </row>
    <row r="21" spans="1:9" s="137" customFormat="1" ht="15">
      <c r="A21" s="3726" t="s">
        <v>3655</v>
      </c>
      <c r="B21" s="3704" t="s">
        <v>3349</v>
      </c>
      <c r="C21" s="2723">
        <f ca="1">IF(G21="已包含在土地购买价格中","0",IF(C1="",'数据-取费表'!B29,IF(G22="全部缴纳",C22+C23,H22)))</f>
        <v>2.5528</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127.64</v>
      </c>
      <c r="E23" s="3697">
        <f>'数据-取费表'!B28</f>
        <v>200</v>
      </c>
      <c r="F23" s="2714"/>
      <c r="G23" s="3853"/>
    </row>
    <row r="24" spans="1:9" s="128" customFormat="1" ht="13.5">
      <c r="A24" s="3670" t="s">
        <v>3640</v>
      </c>
      <c r="B24" s="3706" t="s">
        <v>3656</v>
      </c>
      <c r="C24" s="2723">
        <f ca="1">IF(G24="已包含在土地取得成本中","0",ROUND(D24*E24/10000,0))</f>
        <v>3</v>
      </c>
      <c r="D24" s="3698">
        <f ca="1">D22+D23</f>
        <v>127.64</v>
      </c>
      <c r="E24" s="3698">
        <f>'数据-取费表'!B31</f>
        <v>200</v>
      </c>
      <c r="F24" s="3707"/>
      <c r="G24" s="1423"/>
    </row>
    <row r="25" spans="1:9" s="128" customFormat="1" ht="13.5">
      <c r="A25" s="3670" t="s">
        <v>337</v>
      </c>
      <c r="B25" s="3706" t="s">
        <v>3657</v>
      </c>
      <c r="C25" s="2723">
        <f ca="1">ROUND(E25*D25/10000,0)</f>
        <v>3</v>
      </c>
      <c r="D25" s="3698">
        <f ca="1">D24</f>
        <v>127.64</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9.5527999999999995</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10.5528</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42" t="s">
        <v>2521</v>
      </c>
      <c r="B20" s="4532" t="s">
        <v>2542</v>
      </c>
      <c r="C20" s="2647" t="s">
        <v>2353</v>
      </c>
      <c r="D20" s="2647"/>
      <c r="E20" s="3465">
        <v>1</v>
      </c>
      <c r="F20" s="2366" t="s">
        <v>2354</v>
      </c>
      <c r="G20" s="2366"/>
    </row>
    <row r="21" spans="1:13" ht="19.5" customHeight="1">
      <c r="A21" s="4543"/>
      <c r="B21" s="4533"/>
      <c r="C21" s="2375" t="s">
        <v>2355</v>
      </c>
      <c r="D21" s="2375"/>
      <c r="E21" s="3466">
        <v>1</v>
      </c>
      <c r="F21" s="2366" t="s">
        <v>2356</v>
      </c>
      <c r="G21" s="2366"/>
    </row>
    <row r="22" spans="1:13" ht="19.5" customHeight="1">
      <c r="A22" s="4543"/>
      <c r="B22" s="4533"/>
      <c r="C22" s="2375" t="s">
        <v>2357</v>
      </c>
      <c r="D22" s="2375"/>
      <c r="E22" s="3466">
        <v>0.9</v>
      </c>
      <c r="F22" s="2366" t="s">
        <v>2358</v>
      </c>
      <c r="G22" s="2366"/>
    </row>
    <row r="23" spans="1:13" ht="19.5" customHeight="1">
      <c r="A23" s="4543"/>
      <c r="B23" s="4533"/>
      <c r="C23" s="2375" t="s">
        <v>2359</v>
      </c>
      <c r="D23" s="2375"/>
      <c r="E23" s="3466">
        <v>0.9</v>
      </c>
      <c r="F23" s="2366" t="s">
        <v>2360</v>
      </c>
      <c r="G23" s="2366"/>
    </row>
    <row r="24" spans="1:13" ht="19.5" customHeight="1">
      <c r="A24" s="4543"/>
      <c r="B24" s="4533"/>
      <c r="C24" s="2375" t="s">
        <v>2361</v>
      </c>
      <c r="D24" s="2375"/>
      <c r="E24" s="3466">
        <v>0.8</v>
      </c>
      <c r="F24" s="2366" t="s">
        <v>2362</v>
      </c>
      <c r="G24" s="2366"/>
    </row>
    <row r="25" spans="1:13" ht="19.5" customHeight="1">
      <c r="A25" s="4543"/>
      <c r="B25" s="4533"/>
      <c r="C25" s="2375" t="s">
        <v>2363</v>
      </c>
      <c r="D25" s="2375"/>
      <c r="E25" s="3466">
        <v>0.8</v>
      </c>
      <c r="F25" s="2366"/>
      <c r="G25" s="2366"/>
    </row>
    <row r="26" spans="1:13" ht="19.5" customHeight="1">
      <c r="A26" s="4543"/>
      <c r="B26" s="4533"/>
      <c r="C26" s="2375" t="s">
        <v>3304</v>
      </c>
      <c r="D26" s="2375"/>
      <c r="E26" s="3466">
        <v>0.43</v>
      </c>
      <c r="F26" s="2366"/>
      <c r="G26" s="2366"/>
    </row>
    <row r="27" spans="1:13" ht="19.5" customHeight="1" thickBot="1">
      <c r="A27" s="4544"/>
      <c r="B27" s="4534"/>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35" t="s">
        <v>2545</v>
      </c>
      <c r="B29" s="4538" t="s">
        <v>2526</v>
      </c>
      <c r="C29" s="2364" t="s">
        <v>2366</v>
      </c>
      <c r="D29" s="2365"/>
      <c r="E29" s="3465">
        <v>1</v>
      </c>
      <c r="F29" s="2366" t="s">
        <v>2367</v>
      </c>
      <c r="G29" s="2366"/>
    </row>
    <row r="30" spans="1:13" ht="19.5" customHeight="1">
      <c r="A30" s="4536"/>
      <c r="B30" s="4539"/>
      <c r="C30" s="2367" t="s">
        <v>2368</v>
      </c>
      <c r="D30" s="2368"/>
      <c r="E30" s="3466">
        <v>1</v>
      </c>
      <c r="F30" s="2366" t="s">
        <v>2369</v>
      </c>
      <c r="G30" s="2366"/>
    </row>
    <row r="31" spans="1:13" ht="19.5" customHeight="1">
      <c r="A31" s="4536"/>
      <c r="B31" s="4539"/>
      <c r="C31" s="2367" t="s">
        <v>2370</v>
      </c>
      <c r="D31" s="2368"/>
      <c r="E31" s="3466">
        <v>0.8</v>
      </c>
      <c r="F31" s="2366" t="s">
        <v>2371</v>
      </c>
      <c r="G31" s="2366"/>
    </row>
    <row r="32" spans="1:13" ht="19.5" customHeight="1">
      <c r="A32" s="4536"/>
      <c r="B32" s="4539"/>
      <c r="C32" s="2367" t="s">
        <v>2372</v>
      </c>
      <c r="D32" s="2368"/>
      <c r="E32" s="3466">
        <v>0.8</v>
      </c>
      <c r="F32" s="2366" t="s">
        <v>2373</v>
      </c>
      <c r="G32" s="2366"/>
    </row>
    <row r="33" spans="1:7" ht="19.5" customHeight="1">
      <c r="A33" s="4536"/>
      <c r="B33" s="4539"/>
      <c r="C33" s="2367" t="s">
        <v>2374</v>
      </c>
      <c r="D33" s="2368"/>
      <c r="E33" s="3466">
        <v>0.8</v>
      </c>
      <c r="F33" s="2366" t="s">
        <v>2375</v>
      </c>
      <c r="G33" s="2366"/>
    </row>
    <row r="34" spans="1:7" ht="19.5" customHeight="1">
      <c r="A34" s="4536"/>
      <c r="B34" s="4539"/>
      <c r="C34" s="2367" t="s">
        <v>2376</v>
      </c>
      <c r="D34" s="2368"/>
      <c r="E34" s="3466">
        <v>0.7</v>
      </c>
      <c r="F34" s="2366" t="s">
        <v>2377</v>
      </c>
      <c r="G34" s="2366"/>
    </row>
    <row r="35" spans="1:7" ht="19.5" customHeight="1">
      <c r="A35" s="4536"/>
      <c r="B35" s="4539"/>
      <c r="C35" s="2367" t="s">
        <v>2378</v>
      </c>
      <c r="D35" s="2368"/>
      <c r="E35" s="3466">
        <v>0.8</v>
      </c>
      <c r="F35" s="2366" t="s">
        <v>2379</v>
      </c>
      <c r="G35" s="2366"/>
    </row>
    <row r="36" spans="1:7" ht="19.5" customHeight="1">
      <c r="A36" s="4536"/>
      <c r="B36" s="4539"/>
      <c r="C36" s="2367" t="s">
        <v>2380</v>
      </c>
      <c r="D36" s="2368"/>
      <c r="E36" s="3466">
        <v>0.6</v>
      </c>
      <c r="F36" s="2366" t="s">
        <v>2381</v>
      </c>
      <c r="G36" s="2366"/>
    </row>
    <row r="37" spans="1:7" ht="19.5" customHeight="1">
      <c r="A37" s="4536"/>
      <c r="B37" s="4539"/>
      <c r="C37" s="2367" t="s">
        <v>2382</v>
      </c>
      <c r="D37" s="2368"/>
      <c r="E37" s="3466">
        <v>0.2</v>
      </c>
      <c r="F37" s="2366" t="s">
        <v>2383</v>
      </c>
      <c r="G37" s="2366"/>
    </row>
    <row r="38" spans="1:7" ht="19.5" customHeight="1">
      <c r="A38" s="4536"/>
      <c r="B38" s="4539"/>
      <c r="C38" s="2367" t="s">
        <v>2384</v>
      </c>
      <c r="D38" s="2368"/>
      <c r="E38" s="3466">
        <v>0.2</v>
      </c>
      <c r="F38" s="2366" t="s">
        <v>2385</v>
      </c>
      <c r="G38" s="2366"/>
    </row>
    <row r="39" spans="1:7" ht="19.5" customHeight="1">
      <c r="A39" s="4536"/>
      <c r="B39" s="4540" t="s">
        <v>2546</v>
      </c>
      <c r="C39" s="2367" t="s">
        <v>2386</v>
      </c>
      <c r="D39" s="2368"/>
      <c r="E39" s="3466">
        <v>0.6</v>
      </c>
      <c r="F39" s="2366" t="s">
        <v>2387</v>
      </c>
      <c r="G39" s="2366"/>
    </row>
    <row r="40" spans="1:7" ht="19.5" customHeight="1">
      <c r="A40" s="4536"/>
      <c r="B40" s="4539"/>
      <c r="C40" s="2367" t="s">
        <v>2388</v>
      </c>
      <c r="D40" s="2368"/>
      <c r="E40" s="3466">
        <v>0.6</v>
      </c>
      <c r="F40" s="2366" t="s">
        <v>2389</v>
      </c>
      <c r="G40" s="2366"/>
    </row>
    <row r="41" spans="1:7" ht="19.5" customHeight="1" thickBot="1">
      <c r="A41" s="4537"/>
      <c r="B41" s="4541"/>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42" t="s">
        <v>2524</v>
      </c>
      <c r="B43" s="4538" t="s">
        <v>2548</v>
      </c>
      <c r="C43" s="2364" t="s">
        <v>2393</v>
      </c>
      <c r="D43" s="2365"/>
      <c r="E43" s="3465">
        <v>1</v>
      </c>
      <c r="F43" s="2366" t="s">
        <v>2394</v>
      </c>
      <c r="G43" s="2366"/>
    </row>
    <row r="44" spans="1:7" ht="19.5" customHeight="1">
      <c r="A44" s="4543"/>
      <c r="B44" s="4539"/>
      <c r="C44" s="2367" t="s">
        <v>2395</v>
      </c>
      <c r="D44" s="2368"/>
      <c r="E44" s="3466">
        <v>1</v>
      </c>
      <c r="F44" s="2366" t="s">
        <v>2396</v>
      </c>
      <c r="G44" s="2366"/>
    </row>
    <row r="45" spans="1:7" ht="19.5" customHeight="1">
      <c r="A45" s="4543"/>
      <c r="B45" s="4545"/>
      <c r="C45" s="2367" t="s">
        <v>2397</v>
      </c>
      <c r="D45" s="2368"/>
      <c r="E45" s="3466">
        <v>1.5</v>
      </c>
      <c r="F45" s="2366" t="s">
        <v>2398</v>
      </c>
      <c r="G45" s="2366"/>
    </row>
    <row r="46" spans="1:7" ht="19.5" customHeight="1">
      <c r="A46" s="4543"/>
      <c r="B46" s="2375" t="s">
        <v>2549</v>
      </c>
      <c r="C46" s="2367" t="s">
        <v>2550</v>
      </c>
      <c r="D46" s="2368"/>
      <c r="E46" s="3466">
        <v>2</v>
      </c>
      <c r="F46" s="2366" t="s">
        <v>2399</v>
      </c>
      <c r="G46" s="2366"/>
    </row>
    <row r="47" spans="1:7" ht="19.5" customHeight="1">
      <c r="A47" s="4543"/>
      <c r="B47" s="4540" t="s">
        <v>2551</v>
      </c>
      <c r="C47" s="2367" t="s">
        <v>2400</v>
      </c>
      <c r="D47" s="2368"/>
      <c r="E47" s="3466">
        <v>1</v>
      </c>
      <c r="F47" s="2366" t="s">
        <v>2401</v>
      </c>
      <c r="G47" s="2366"/>
    </row>
    <row r="48" spans="1:7" ht="19.5" customHeight="1">
      <c r="A48" s="4543"/>
      <c r="B48" s="4539"/>
      <c r="C48" s="2367" t="s">
        <v>2402</v>
      </c>
      <c r="D48" s="2368"/>
      <c r="E48" s="3466">
        <v>1</v>
      </c>
      <c r="F48" s="2366" t="s">
        <v>2403</v>
      </c>
      <c r="G48" s="2366"/>
    </row>
    <row r="49" spans="1:7" ht="19.5" customHeight="1">
      <c r="A49" s="4543"/>
      <c r="B49" s="4539"/>
      <c r="C49" s="2367" t="s">
        <v>2404</v>
      </c>
      <c r="D49" s="2368"/>
      <c r="E49" s="3466">
        <v>1</v>
      </c>
      <c r="F49" s="2366" t="s">
        <v>2405</v>
      </c>
      <c r="G49" s="2366"/>
    </row>
    <row r="50" spans="1:7" ht="19.5" customHeight="1">
      <c r="A50" s="4543"/>
      <c r="B50" s="4539"/>
      <c r="C50" s="2367" t="s">
        <v>2406</v>
      </c>
      <c r="D50" s="2368"/>
      <c r="E50" s="3466">
        <v>1</v>
      </c>
      <c r="F50" s="2366" t="s">
        <v>2407</v>
      </c>
      <c r="G50" s="2366"/>
    </row>
    <row r="51" spans="1:7" ht="19.5" customHeight="1">
      <c r="A51" s="4543"/>
      <c r="B51" s="4539"/>
      <c r="C51" s="2367" t="s">
        <v>2408</v>
      </c>
      <c r="D51" s="2368"/>
      <c r="E51" s="3466">
        <v>1</v>
      </c>
      <c r="F51" s="2366" t="s">
        <v>2409</v>
      </c>
      <c r="G51" s="2366"/>
    </row>
    <row r="52" spans="1:7" ht="19.5" customHeight="1">
      <c r="A52" s="4543"/>
      <c r="B52" s="4539"/>
      <c r="C52" s="2367" t="s">
        <v>2410</v>
      </c>
      <c r="D52" s="2368"/>
      <c r="E52" s="3466">
        <v>1</v>
      </c>
      <c r="F52" s="2366" t="s">
        <v>2411</v>
      </c>
      <c r="G52" s="2366"/>
    </row>
    <row r="53" spans="1:7" ht="19.5" customHeight="1" thickBot="1">
      <c r="A53" s="4544"/>
      <c r="B53" s="4541"/>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40" t="s">
        <v>2565</v>
      </c>
      <c r="C75" s="2355" t="s">
        <v>2566</v>
      </c>
      <c r="D75" s="2355" t="s">
        <v>2567</v>
      </c>
      <c r="E75" s="3471">
        <v>0.2</v>
      </c>
      <c r="F75" s="3472">
        <v>25</v>
      </c>
    </row>
    <row r="76" spans="1:7" ht="24">
      <c r="A76" s="2375">
        <v>2</v>
      </c>
      <c r="B76" s="4539"/>
      <c r="C76" s="2355" t="s">
        <v>2568</v>
      </c>
      <c r="D76" s="2355" t="s">
        <v>2569</v>
      </c>
      <c r="E76" s="3471">
        <v>0.2</v>
      </c>
      <c r="F76" s="3472">
        <v>25</v>
      </c>
    </row>
    <row r="77" spans="1:7" ht="24">
      <c r="A77" s="2375">
        <v>3</v>
      </c>
      <c r="B77" s="4539"/>
      <c r="C77" s="2355" t="s">
        <v>2570</v>
      </c>
      <c r="D77" s="2355" t="s">
        <v>2571</v>
      </c>
      <c r="E77" s="3471">
        <v>0.2</v>
      </c>
      <c r="F77" s="3472">
        <v>25</v>
      </c>
    </row>
    <row r="78" spans="1:7" ht="13.5">
      <c r="A78" s="2375">
        <v>4</v>
      </c>
      <c r="B78" s="4539"/>
      <c r="C78" s="2355" t="s">
        <v>2572</v>
      </c>
      <c r="D78" s="2355" t="s">
        <v>2573</v>
      </c>
      <c r="E78" s="3471">
        <v>0.15</v>
      </c>
      <c r="F78" s="3472">
        <v>20</v>
      </c>
    </row>
    <row r="79" spans="1:7" ht="24">
      <c r="A79" s="2375">
        <v>5</v>
      </c>
      <c r="B79" s="4539"/>
      <c r="C79" s="2355" t="s">
        <v>2574</v>
      </c>
      <c r="D79" s="2355" t="s">
        <v>2575</v>
      </c>
      <c r="E79" s="3471">
        <v>0.15</v>
      </c>
      <c r="F79" s="3472">
        <v>20</v>
      </c>
    </row>
    <row r="80" spans="1:7" ht="24">
      <c r="A80" s="2375">
        <v>6</v>
      </c>
      <c r="B80" s="4539"/>
      <c r="C80" s="2355" t="s">
        <v>2576</v>
      </c>
      <c r="D80" s="2355" t="s">
        <v>2577</v>
      </c>
      <c r="E80" s="3471">
        <v>0.15</v>
      </c>
      <c r="F80" s="3472">
        <v>20</v>
      </c>
    </row>
    <row r="81" spans="1:6" ht="24">
      <c r="A81" s="2375">
        <v>7</v>
      </c>
      <c r="B81" s="4539"/>
      <c r="C81" s="2355" t="s">
        <v>2578</v>
      </c>
      <c r="D81" s="2355" t="s">
        <v>2579</v>
      </c>
      <c r="E81" s="3471">
        <v>0.15</v>
      </c>
      <c r="F81" s="3472">
        <v>20</v>
      </c>
    </row>
    <row r="82" spans="1:6" ht="24">
      <c r="A82" s="2375">
        <v>8</v>
      </c>
      <c r="B82" s="4539"/>
      <c r="C82" s="2355" t="s">
        <v>2580</v>
      </c>
      <c r="D82" s="2355" t="s">
        <v>2581</v>
      </c>
      <c r="E82" s="3471">
        <v>0.1</v>
      </c>
      <c r="F82" s="3472">
        <v>15</v>
      </c>
    </row>
    <row r="83" spans="1:6" ht="24">
      <c r="A83" s="2375">
        <v>9</v>
      </c>
      <c r="B83" s="4539"/>
      <c r="C83" s="2355" t="s">
        <v>2582</v>
      </c>
      <c r="D83" s="2355" t="s">
        <v>2583</v>
      </c>
      <c r="E83" s="3471">
        <v>0.1</v>
      </c>
      <c r="F83" s="3472">
        <v>15</v>
      </c>
    </row>
    <row r="84" spans="1:6" ht="24">
      <c r="A84" s="2375">
        <v>10</v>
      </c>
      <c r="B84" s="4539"/>
      <c r="C84" s="2355" t="s">
        <v>2584</v>
      </c>
      <c r="D84" s="2355" t="s">
        <v>2585</v>
      </c>
      <c r="E84" s="3471">
        <v>0.1</v>
      </c>
      <c r="F84" s="3472">
        <v>15</v>
      </c>
    </row>
    <row r="85" spans="1:6" ht="24">
      <c r="A85" s="2375">
        <v>11</v>
      </c>
      <c r="B85" s="4539"/>
      <c r="C85" s="2355" t="s">
        <v>2586</v>
      </c>
      <c r="D85" s="2355" t="s">
        <v>2587</v>
      </c>
      <c r="E85" s="3471">
        <v>0.1</v>
      </c>
      <c r="F85" s="3472">
        <v>15</v>
      </c>
    </row>
    <row r="86" spans="1:6" ht="24">
      <c r="A86" s="2375">
        <v>12</v>
      </c>
      <c r="B86" s="4539"/>
      <c r="C86" s="2355" t="s">
        <v>2588</v>
      </c>
      <c r="D86" s="2355" t="s">
        <v>2589</v>
      </c>
      <c r="E86" s="3471">
        <v>0.1</v>
      </c>
      <c r="F86" s="3472">
        <v>15</v>
      </c>
    </row>
    <row r="87" spans="1:6" ht="13.5">
      <c r="A87" s="2375">
        <v>13</v>
      </c>
      <c r="B87" s="4539"/>
      <c r="C87" s="2355" t="s">
        <v>2590</v>
      </c>
      <c r="D87" s="2355" t="s">
        <v>2591</v>
      </c>
      <c r="E87" s="3471">
        <v>0.1</v>
      </c>
      <c r="F87" s="3472">
        <v>15</v>
      </c>
    </row>
    <row r="88" spans="1:6" ht="13.5">
      <c r="A88" s="2375">
        <v>14</v>
      </c>
      <c r="B88" s="4539"/>
      <c r="C88" s="2355" t="s">
        <v>2592</v>
      </c>
      <c r="D88" s="2355" t="s">
        <v>2593</v>
      </c>
      <c r="E88" s="3471">
        <v>0.1</v>
      </c>
      <c r="F88" s="3472">
        <v>15</v>
      </c>
    </row>
    <row r="89" spans="1:6" ht="13.5">
      <c r="A89" s="2375">
        <v>15</v>
      </c>
      <c r="B89" s="4539"/>
      <c r="C89" s="2355" t="s">
        <v>2594</v>
      </c>
      <c r="D89" s="2355" t="s">
        <v>2595</v>
      </c>
      <c r="E89" s="3471">
        <v>0.1</v>
      </c>
      <c r="F89" s="3472">
        <v>15</v>
      </c>
    </row>
    <row r="90" spans="1:6" ht="24">
      <c r="A90" s="2375">
        <v>16</v>
      </c>
      <c r="B90" s="4539"/>
      <c r="C90" s="2355" t="s">
        <v>2596</v>
      </c>
      <c r="D90" s="2355" t="s">
        <v>2597</v>
      </c>
      <c r="E90" s="3471">
        <v>0.1</v>
      </c>
      <c r="F90" s="3472">
        <v>15</v>
      </c>
    </row>
    <row r="91" spans="1:6" ht="24">
      <c r="A91" s="2375">
        <v>17</v>
      </c>
      <c r="B91" s="4545"/>
      <c r="C91" s="2355" t="s">
        <v>2598</v>
      </c>
      <c r="D91" s="2355" t="s">
        <v>2599</v>
      </c>
      <c r="E91" s="3471">
        <v>0.1</v>
      </c>
      <c r="F91" s="3472">
        <v>15</v>
      </c>
    </row>
    <row r="92" spans="1:6" ht="13.5">
      <c r="A92" s="2375">
        <v>18</v>
      </c>
      <c r="B92" s="4540" t="s">
        <v>2600</v>
      </c>
      <c r="C92" s="2355" t="s">
        <v>2601</v>
      </c>
      <c r="D92" s="2355" t="s">
        <v>2602</v>
      </c>
      <c r="E92" s="3471">
        <v>0.2</v>
      </c>
      <c r="F92" s="3472">
        <v>25</v>
      </c>
    </row>
    <row r="93" spans="1:6" ht="24">
      <c r="A93" s="2375">
        <v>19</v>
      </c>
      <c r="B93" s="4539"/>
      <c r="C93" s="2355" t="s">
        <v>2603</v>
      </c>
      <c r="D93" s="2355" t="s">
        <v>2604</v>
      </c>
      <c r="E93" s="3471">
        <v>0.2</v>
      </c>
      <c r="F93" s="3472">
        <v>25</v>
      </c>
    </row>
    <row r="94" spans="1:6" ht="13.5">
      <c r="A94" s="2375">
        <v>20</v>
      </c>
      <c r="B94" s="4539"/>
      <c r="C94" s="2355" t="s">
        <v>2605</v>
      </c>
      <c r="D94" s="2355" t="s">
        <v>2606</v>
      </c>
      <c r="E94" s="3471">
        <v>0.15</v>
      </c>
      <c r="F94" s="3472">
        <v>20</v>
      </c>
    </row>
    <row r="95" spans="1:6" ht="13.5">
      <c r="A95" s="2375">
        <v>21</v>
      </c>
      <c r="B95" s="4539"/>
      <c r="C95" s="2355" t="s">
        <v>2607</v>
      </c>
      <c r="D95" s="2355" t="s">
        <v>2608</v>
      </c>
      <c r="E95" s="3471">
        <v>0.15</v>
      </c>
      <c r="F95" s="3472">
        <v>20</v>
      </c>
    </row>
    <row r="96" spans="1:6" ht="13.5">
      <c r="A96" s="2375">
        <v>22</v>
      </c>
      <c r="B96" s="4539"/>
      <c r="C96" s="2355" t="s">
        <v>2609</v>
      </c>
      <c r="D96" s="2355" t="s">
        <v>2610</v>
      </c>
      <c r="E96" s="3471">
        <v>0.15</v>
      </c>
      <c r="F96" s="3472">
        <v>20</v>
      </c>
    </row>
    <row r="97" spans="1:6" ht="36">
      <c r="A97" s="2375">
        <v>23</v>
      </c>
      <c r="B97" s="4539"/>
      <c r="C97" s="2355" t="s">
        <v>2611</v>
      </c>
      <c r="D97" s="2355" t="s">
        <v>2612</v>
      </c>
      <c r="E97" s="3471">
        <v>0.15</v>
      </c>
      <c r="F97" s="3472">
        <v>20</v>
      </c>
    </row>
    <row r="98" spans="1:6" ht="13.5">
      <c r="A98" s="2375">
        <v>24</v>
      </c>
      <c r="B98" s="4539"/>
      <c r="C98" s="2355" t="s">
        <v>2613</v>
      </c>
      <c r="D98" s="2355" t="s">
        <v>2614</v>
      </c>
      <c r="E98" s="3471">
        <v>0.1</v>
      </c>
      <c r="F98" s="3472">
        <v>15</v>
      </c>
    </row>
    <row r="99" spans="1:6" ht="13.5">
      <c r="A99" s="2375">
        <v>25</v>
      </c>
      <c r="B99" s="4539"/>
      <c r="C99" s="2355" t="s">
        <v>2615</v>
      </c>
      <c r="D99" s="2355" t="s">
        <v>2616</v>
      </c>
      <c r="E99" s="3471">
        <v>0.1</v>
      </c>
      <c r="F99" s="3472">
        <v>15</v>
      </c>
    </row>
    <row r="100" spans="1:6" ht="24">
      <c r="A100" s="2375">
        <v>26</v>
      </c>
      <c r="B100" s="4539"/>
      <c r="C100" s="2355" t="s">
        <v>2617</v>
      </c>
      <c r="D100" s="2355" t="s">
        <v>2618</v>
      </c>
      <c r="E100" s="3471">
        <v>0.1</v>
      </c>
      <c r="F100" s="3472">
        <v>15</v>
      </c>
    </row>
    <row r="101" spans="1:6" ht="24">
      <c r="A101" s="2375">
        <v>27</v>
      </c>
      <c r="B101" s="4539"/>
      <c r="C101" s="2355" t="s">
        <v>2619</v>
      </c>
      <c r="D101" s="2355" t="s">
        <v>2620</v>
      </c>
      <c r="E101" s="3471">
        <v>0.1</v>
      </c>
      <c r="F101" s="3472">
        <v>15</v>
      </c>
    </row>
    <row r="102" spans="1:6" ht="13.5">
      <c r="A102" s="2375">
        <v>28</v>
      </c>
      <c r="B102" s="4539"/>
      <c r="C102" s="2355" t="s">
        <v>2621</v>
      </c>
      <c r="D102" s="2355" t="s">
        <v>2622</v>
      </c>
      <c r="E102" s="3471">
        <v>0.1</v>
      </c>
      <c r="F102" s="3472">
        <v>15</v>
      </c>
    </row>
    <row r="103" spans="1:6" ht="13.5">
      <c r="A103" s="2375">
        <v>29</v>
      </c>
      <c r="B103" s="4539"/>
      <c r="C103" s="2355" t="s">
        <v>2623</v>
      </c>
      <c r="D103" s="2355" t="s">
        <v>2624</v>
      </c>
      <c r="E103" s="3471">
        <v>0.1</v>
      </c>
      <c r="F103" s="3472">
        <v>15</v>
      </c>
    </row>
    <row r="104" spans="1:6" ht="13.5">
      <c r="A104" s="2375">
        <v>30</v>
      </c>
      <c r="B104" s="4539"/>
      <c r="C104" s="2355" t="s">
        <v>2625</v>
      </c>
      <c r="D104" s="2355" t="s">
        <v>2626</v>
      </c>
      <c r="E104" s="3471">
        <v>0.1</v>
      </c>
      <c r="F104" s="3472">
        <v>15</v>
      </c>
    </row>
    <row r="105" spans="1:6" ht="24">
      <c r="A105" s="2375">
        <v>31</v>
      </c>
      <c r="B105" s="4539"/>
      <c r="C105" s="2355" t="s">
        <v>2627</v>
      </c>
      <c r="D105" s="2355" t="s">
        <v>2628</v>
      </c>
      <c r="E105" s="3471">
        <v>0.1</v>
      </c>
      <c r="F105" s="3472">
        <v>15</v>
      </c>
    </row>
    <row r="106" spans="1:6" ht="24">
      <c r="A106" s="2375">
        <v>32</v>
      </c>
      <c r="B106" s="4539"/>
      <c r="C106" s="2355" t="s">
        <v>2629</v>
      </c>
      <c r="D106" s="2355" t="s">
        <v>2630</v>
      </c>
      <c r="E106" s="3471">
        <v>0.1</v>
      </c>
      <c r="F106" s="3472">
        <v>15</v>
      </c>
    </row>
    <row r="107" spans="1:6" ht="24">
      <c r="A107" s="2375">
        <v>33</v>
      </c>
      <c r="B107" s="4539"/>
      <c r="C107" s="2355" t="s">
        <v>2631</v>
      </c>
      <c r="D107" s="2355" t="s">
        <v>2632</v>
      </c>
      <c r="E107" s="3471">
        <v>0.1</v>
      </c>
      <c r="F107" s="3472">
        <v>15</v>
      </c>
    </row>
    <row r="108" spans="1:6" ht="24">
      <c r="A108" s="2375">
        <v>34</v>
      </c>
      <c r="B108" s="4545"/>
      <c r="C108" s="2355" t="s">
        <v>2633</v>
      </c>
      <c r="D108" s="2355" t="s">
        <v>2634</v>
      </c>
      <c r="E108" s="3471">
        <v>0.1</v>
      </c>
      <c r="F108" s="3472">
        <v>15</v>
      </c>
    </row>
    <row r="109" spans="1:6" ht="24">
      <c r="A109" s="2375">
        <v>35</v>
      </c>
      <c r="B109" s="4540" t="s">
        <v>2635</v>
      </c>
      <c r="C109" s="2375" t="s">
        <v>2636</v>
      </c>
      <c r="D109" s="2355" t="s">
        <v>2637</v>
      </c>
      <c r="E109" s="3471">
        <v>0.15</v>
      </c>
      <c r="F109" s="3472">
        <v>20</v>
      </c>
    </row>
    <row r="110" spans="1:6" ht="13.5">
      <c r="A110" s="2375">
        <v>36</v>
      </c>
      <c r="B110" s="4539"/>
      <c r="C110" s="2375" t="s">
        <v>2638</v>
      </c>
      <c r="D110" s="2355" t="s">
        <v>2639</v>
      </c>
      <c r="E110" s="3471">
        <v>0.15</v>
      </c>
      <c r="F110" s="3472">
        <v>20</v>
      </c>
    </row>
    <row r="111" spans="1:6" ht="13.5">
      <c r="A111" s="2375">
        <v>37</v>
      </c>
      <c r="B111" s="4539"/>
      <c r="C111" s="2375" t="s">
        <v>2640</v>
      </c>
      <c r="D111" s="2355" t="s">
        <v>2641</v>
      </c>
      <c r="E111" s="3471">
        <v>0.15</v>
      </c>
      <c r="F111" s="3472">
        <v>20</v>
      </c>
    </row>
    <row r="112" spans="1:6" ht="13.5">
      <c r="A112" s="2375">
        <v>38</v>
      </c>
      <c r="B112" s="4539"/>
      <c r="C112" s="2375" t="s">
        <v>2642</v>
      </c>
      <c r="D112" s="2355" t="s">
        <v>2643</v>
      </c>
      <c r="E112" s="3471">
        <v>0.1</v>
      </c>
      <c r="F112" s="3472">
        <v>15</v>
      </c>
    </row>
    <row r="113" spans="1:6" ht="24">
      <c r="A113" s="2375">
        <v>39</v>
      </c>
      <c r="B113" s="4539"/>
      <c r="C113" s="2375" t="s">
        <v>2644</v>
      </c>
      <c r="D113" s="2355" t="s">
        <v>2645</v>
      </c>
      <c r="E113" s="3471">
        <v>0.1</v>
      </c>
      <c r="F113" s="3472">
        <v>15</v>
      </c>
    </row>
    <row r="114" spans="1:6" ht="24">
      <c r="A114" s="2375">
        <v>40</v>
      </c>
      <c r="B114" s="4545"/>
      <c r="C114" s="2375" t="s">
        <v>2646</v>
      </c>
      <c r="D114" s="2355" t="s">
        <v>2647</v>
      </c>
      <c r="E114" s="3471">
        <v>0.1</v>
      </c>
      <c r="F114" s="3472">
        <v>15</v>
      </c>
    </row>
    <row r="115" spans="1:6" ht="13.5">
      <c r="A115" s="2375">
        <v>41</v>
      </c>
      <c r="B115" s="4533" t="s">
        <v>2648</v>
      </c>
      <c r="C115" s="2375" t="s">
        <v>2649</v>
      </c>
      <c r="D115" s="2355" t="s">
        <v>2650</v>
      </c>
      <c r="E115" s="3471">
        <v>0.1</v>
      </c>
      <c r="F115" s="3472">
        <v>15</v>
      </c>
    </row>
    <row r="116" spans="1:6" ht="13.5">
      <c r="A116" s="2375">
        <v>42</v>
      </c>
      <c r="B116" s="4533"/>
      <c r="C116" s="2375" t="s">
        <v>2651</v>
      </c>
      <c r="D116" s="2355" t="s">
        <v>2652</v>
      </c>
      <c r="E116" s="3471">
        <v>0.1</v>
      </c>
      <c r="F116" s="3472">
        <v>15</v>
      </c>
    </row>
    <row r="117" spans="1:6" ht="24">
      <c r="A117" s="2375">
        <v>43</v>
      </c>
      <c r="B117" s="4533"/>
      <c r="C117" s="2375" t="s">
        <v>2653</v>
      </c>
      <c r="D117" s="2355" t="s">
        <v>2654</v>
      </c>
      <c r="E117" s="3471">
        <v>0.1</v>
      </c>
      <c r="F117" s="3472">
        <v>15</v>
      </c>
    </row>
    <row r="118" spans="1:6" ht="13.5">
      <c r="A118" s="2375">
        <v>44</v>
      </c>
      <c r="B118" s="4540" t="s">
        <v>2655</v>
      </c>
      <c r="C118" s="2375" t="s">
        <v>2656</v>
      </c>
      <c r="D118" s="2355" t="s">
        <v>2657</v>
      </c>
      <c r="E118" s="3471">
        <v>0.1</v>
      </c>
      <c r="F118" s="3472">
        <v>15</v>
      </c>
    </row>
    <row r="119" spans="1:6" ht="24">
      <c r="A119" s="2375">
        <v>45</v>
      </c>
      <c r="B119" s="4545"/>
      <c r="C119" s="2355" t="s">
        <v>2658</v>
      </c>
      <c r="D119" s="2355" t="s">
        <v>2659</v>
      </c>
      <c r="E119" s="3471">
        <v>0.1</v>
      </c>
      <c r="F119" s="3472">
        <v>15</v>
      </c>
    </row>
    <row r="120" spans="1:6" ht="24">
      <c r="A120" s="2375">
        <v>46</v>
      </c>
      <c r="B120" s="4540" t="s">
        <v>2660</v>
      </c>
      <c r="C120" s="2375" t="s">
        <v>2661</v>
      </c>
      <c r="D120" s="2355" t="s">
        <v>2662</v>
      </c>
      <c r="E120" s="3471">
        <v>0.1</v>
      </c>
      <c r="F120" s="3472">
        <v>15</v>
      </c>
    </row>
    <row r="121" spans="1:6" ht="24">
      <c r="A121" s="2375">
        <v>47</v>
      </c>
      <c r="B121" s="4545"/>
      <c r="C121" s="2375" t="s">
        <v>2663</v>
      </c>
      <c r="D121" s="2355" t="s">
        <v>2664</v>
      </c>
      <c r="E121" s="3471">
        <v>0.1</v>
      </c>
      <c r="F121" s="3472">
        <v>15</v>
      </c>
    </row>
    <row r="122" spans="1:6" ht="13.5">
      <c r="A122" s="2375">
        <v>48</v>
      </c>
      <c r="B122" s="4540" t="s">
        <v>2665</v>
      </c>
      <c r="C122" s="2375" t="s">
        <v>2666</v>
      </c>
      <c r="D122" s="2355" t="s">
        <v>2667</v>
      </c>
      <c r="E122" s="3471">
        <v>0.1</v>
      </c>
      <c r="F122" s="3472">
        <v>15</v>
      </c>
    </row>
    <row r="123" spans="1:6" ht="13.5">
      <c r="A123" s="2375">
        <v>49</v>
      </c>
      <c r="B123" s="4545"/>
      <c r="C123" s="2375" t="s">
        <v>2668</v>
      </c>
      <c r="D123" s="2355" t="s">
        <v>2669</v>
      </c>
      <c r="E123" s="3471">
        <v>0.1</v>
      </c>
      <c r="F123" s="3472">
        <v>15</v>
      </c>
    </row>
    <row r="124" spans="1:6" ht="24">
      <c r="A124" s="2375">
        <v>50</v>
      </c>
      <c r="B124" s="4533" t="s">
        <v>2670</v>
      </c>
      <c r="C124" s="2375" t="s">
        <v>2671</v>
      </c>
      <c r="D124" s="2355" t="s">
        <v>2672</v>
      </c>
      <c r="E124" s="3471">
        <v>0.1</v>
      </c>
      <c r="F124" s="3472">
        <v>15</v>
      </c>
    </row>
    <row r="125" spans="1:6" ht="24">
      <c r="A125" s="2375">
        <v>51</v>
      </c>
      <c r="B125" s="4533"/>
      <c r="C125" s="2375" t="s">
        <v>2673</v>
      </c>
      <c r="D125" s="2355" t="s">
        <v>2674</v>
      </c>
      <c r="E125" s="3471">
        <v>0.1</v>
      </c>
      <c r="F125" s="3472">
        <v>15</v>
      </c>
    </row>
    <row r="126" spans="1:6" ht="24">
      <c r="A126" s="2375">
        <v>52</v>
      </c>
      <c r="B126" s="4533" t="s">
        <v>2675</v>
      </c>
      <c r="C126" s="2375" t="s">
        <v>2676</v>
      </c>
      <c r="D126" s="2355" t="s">
        <v>2677</v>
      </c>
      <c r="E126" s="3471">
        <v>0.1</v>
      </c>
      <c r="F126" s="3472">
        <v>15</v>
      </c>
    </row>
    <row r="127" spans="1:6" ht="24">
      <c r="A127" s="2375">
        <v>53</v>
      </c>
      <c r="B127" s="4533"/>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33" t="s">
        <v>2683</v>
      </c>
      <c r="C129" s="2375" t="s">
        <v>2684</v>
      </c>
      <c r="D129" s="2355" t="s">
        <v>2685</v>
      </c>
      <c r="E129" s="3471">
        <v>0.1</v>
      </c>
      <c r="F129" s="3472">
        <v>15</v>
      </c>
    </row>
    <row r="130" spans="1:6" ht="13.5">
      <c r="A130" s="2375">
        <v>56</v>
      </c>
      <c r="B130" s="4533"/>
      <c r="C130" s="2375" t="s">
        <v>2686</v>
      </c>
      <c r="D130" s="2355" t="s">
        <v>2687</v>
      </c>
      <c r="E130" s="3471">
        <v>0.1</v>
      </c>
      <c r="F130" s="3472">
        <v>15</v>
      </c>
    </row>
    <row r="131" spans="1:6" ht="24">
      <c r="A131" s="2375">
        <v>57</v>
      </c>
      <c r="B131" s="4533"/>
      <c r="C131" s="2375" t="s">
        <v>2688</v>
      </c>
      <c r="D131" s="2355" t="s">
        <v>2689</v>
      </c>
      <c r="E131" s="3471">
        <v>0.1</v>
      </c>
      <c r="F131" s="3472">
        <v>15</v>
      </c>
    </row>
    <row r="132" spans="1:6" ht="24">
      <c r="A132" s="2375">
        <v>58</v>
      </c>
      <c r="B132" s="4533" t="s">
        <v>2690</v>
      </c>
      <c r="C132" s="2375" t="s">
        <v>2691</v>
      </c>
      <c r="D132" s="2355" t="s">
        <v>2692</v>
      </c>
      <c r="E132" s="3471">
        <v>0.1</v>
      </c>
      <c r="F132" s="3472">
        <v>15</v>
      </c>
    </row>
    <row r="133" spans="1:6" ht="13.5">
      <c r="A133" s="2375">
        <v>59</v>
      </c>
      <c r="B133" s="4533"/>
      <c r="C133" s="2375" t="s">
        <v>2693</v>
      </c>
      <c r="D133" s="2355" t="s">
        <v>2694</v>
      </c>
      <c r="E133" s="3471">
        <v>0.1</v>
      </c>
      <c r="F133" s="3472">
        <v>15</v>
      </c>
    </row>
    <row r="134" spans="1:6" ht="13.5">
      <c r="A134" s="2375">
        <v>60</v>
      </c>
      <c r="B134" s="4540" t="s">
        <v>2695</v>
      </c>
      <c r="C134" s="2375" t="s">
        <v>2696</v>
      </c>
      <c r="D134" s="2355" t="s">
        <v>2697</v>
      </c>
      <c r="E134" s="3471">
        <v>0.1</v>
      </c>
      <c r="F134" s="3472">
        <v>15</v>
      </c>
    </row>
    <row r="135" spans="1:6" ht="13.5">
      <c r="A135" s="2375">
        <v>61</v>
      </c>
      <c r="B135" s="4545"/>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33" t="s">
        <v>2703</v>
      </c>
      <c r="C137" s="2375" t="s">
        <v>2704</v>
      </c>
      <c r="D137" s="2355" t="s">
        <v>2705</v>
      </c>
      <c r="E137" s="3471">
        <v>0.1</v>
      </c>
      <c r="F137" s="3472">
        <v>15</v>
      </c>
    </row>
    <row r="138" spans="1:6" ht="13.5">
      <c r="A138" s="2375">
        <v>64</v>
      </c>
      <c r="B138" s="4533"/>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26179</v>
      </c>
      <c r="C2" s="2" t="s">
        <v>104</v>
      </c>
      <c r="D2" s="113"/>
      <c r="E2" s="113"/>
      <c r="F2" s="113"/>
      <c r="G2" s="113"/>
    </row>
    <row r="3" spans="1:7" s="114" customFormat="1" ht="18" customHeight="1" thickBot="1">
      <c r="A3" s="117" t="s">
        <v>56</v>
      </c>
      <c r="B3" s="118">
        <f ca="1">ROUND(B2*10000/'数据-汇总表'!E3,0)</f>
        <v>2051003</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127.64</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127.64</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60</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53</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127.64</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40" t="s">
        <v>92</v>
      </c>
    </row>
    <row r="43" spans="1:7" ht="13.5" customHeight="1">
      <c r="A43" s="565" t="s">
        <v>345</v>
      </c>
      <c r="B43" s="129" t="s">
        <v>420</v>
      </c>
      <c r="C43" s="152">
        <f ca="1">ROUND(IF('数据-取费表'!B22&lt;=1,C39*F22*'数据-取费表'!B21/2,C39*(POWER((1+F22),'数据-取费表'!B21/2)-1)),0)</f>
        <v>0</v>
      </c>
      <c r="D43" s="152"/>
      <c r="E43" s="152"/>
      <c r="F43" s="153"/>
      <c r="G43" s="4342"/>
    </row>
    <row r="44" spans="1:7" ht="13.5" customHeight="1">
      <c r="A44" s="565" t="s">
        <v>346</v>
      </c>
      <c r="B44" s="129" t="s">
        <v>422</v>
      </c>
      <c r="C44" s="152">
        <f ca="1">ROUND(IF('数据-取费表'!B22&lt;=1,C40*F22*'数据-取费表'!B21/2,C40*(POWER((1+F22),'数据-取费表'!B21/2)-1)),4)</f>
        <v>5.9999999999999995E-4</v>
      </c>
      <c r="D44" s="152"/>
      <c r="E44" s="152"/>
      <c r="F44" s="153"/>
      <c r="G44" s="4341"/>
    </row>
    <row r="45" spans="1:7" s="128" customFormat="1" ht="13.5" customHeight="1">
      <c r="A45" s="562" t="s">
        <v>339</v>
      </c>
      <c r="B45" s="158" t="s">
        <v>83</v>
      </c>
      <c r="C45" s="159">
        <f>C46</f>
        <v>9</v>
      </c>
      <c r="D45" s="149">
        <f>C47</f>
        <v>3.0000000000000001E-3</v>
      </c>
      <c r="E45" s="150" t="s">
        <v>100</v>
      </c>
      <c r="F45" s="160"/>
      <c r="G45" s="161" t="s">
        <v>428</v>
      </c>
    </row>
    <row r="46" spans="1:7" s="128" customFormat="1" ht="13.5" customHeight="1">
      <c r="A46" s="565" t="s">
        <v>347</v>
      </c>
      <c r="B46" s="162" t="s">
        <v>421</v>
      </c>
      <c r="C46" s="163">
        <f>ROUND((C33+C39)*F27,0)</f>
        <v>9</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74</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61</v>
      </c>
      <c r="D51" s="146"/>
      <c r="E51" s="146"/>
      <c r="F51" s="178"/>
      <c r="G51" s="148" t="s">
        <v>35</v>
      </c>
    </row>
    <row r="52" spans="1:7" s="122" customFormat="1" ht="16.5" thickBot="1">
      <c r="A52" s="179" t="s">
        <v>36</v>
      </c>
      <c r="B52" s="180"/>
      <c r="C52" s="181">
        <f ca="1">C31+C51</f>
        <v>26179</v>
      </c>
      <c r="D52" s="180"/>
      <c r="E52" s="180"/>
      <c r="F52" s="180"/>
      <c r="G52" s="182"/>
    </row>
    <row r="55" spans="1:7" ht="15">
      <c r="B55" s="184" t="s">
        <v>37</v>
      </c>
      <c r="C55" s="185"/>
    </row>
    <row r="56" spans="1:7">
      <c r="B56" s="187" t="s">
        <v>38</v>
      </c>
      <c r="C56" s="188">
        <f ca="1">ROUND(C51/C52,3)</f>
        <v>2E-3</v>
      </c>
    </row>
    <row r="57" spans="1:7">
      <c r="B57" s="187" t="s">
        <v>39</v>
      </c>
      <c r="C57" s="18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46" t="s">
        <v>3095</v>
      </c>
      <c r="B1" s="4546"/>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8"/>
  </cols>
  <sheetData>
    <row r="1" spans="1:6">
      <c r="A1" s="4547" t="s">
        <v>3146</v>
      </c>
      <c r="B1" s="4547"/>
      <c r="C1" s="4547"/>
      <c r="D1" s="4547"/>
      <c r="E1" s="4547"/>
      <c r="F1" s="4548"/>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9" t="s">
        <v>450</v>
      </c>
      <c r="S1" s="4550"/>
      <c r="T1" s="4550"/>
      <c r="U1" s="4550"/>
      <c r="V1" s="4550"/>
      <c r="W1" s="4550"/>
      <c r="X1" s="2413"/>
      <c r="Y1" s="4549" t="s">
        <v>451</v>
      </c>
      <c r="Z1" s="4550"/>
      <c r="AA1" s="4550"/>
      <c r="AB1" s="4550"/>
      <c r="AC1" s="4550"/>
      <c r="AD1" s="4550"/>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9" t="s">
        <v>2741</v>
      </c>
      <c r="S33" s="4550"/>
      <c r="T33" s="4550"/>
      <c r="U33" s="4550"/>
      <c r="V33" s="4550"/>
      <c r="W33" s="4550"/>
      <c r="X33" s="2413"/>
      <c r="Y33" s="4549" t="s">
        <v>2742</v>
      </c>
      <c r="Z33" s="4550"/>
      <c r="AA33" s="4550"/>
      <c r="AB33" s="4550"/>
      <c r="AC33" s="4550"/>
      <c r="AD33" s="4550"/>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53" t="str">
        <f>IF(项目基本情况!B9="房地产市场价值","估价结果一览表","结果表-2")</f>
        <v>结果表-2</v>
      </c>
      <c r="B1" s="4153"/>
      <c r="C1" s="4153"/>
      <c r="D1" s="4153"/>
      <c r="E1" s="4153"/>
      <c r="F1" s="4153"/>
      <c r="G1" s="4153"/>
      <c r="H1" s="4153"/>
      <c r="I1" s="4153"/>
    </row>
    <row r="2" spans="1:9" ht="30" customHeight="1" thickTop="1">
      <c r="A2" s="4154" t="s">
        <v>915</v>
      </c>
      <c r="B2" s="4154" t="s">
        <v>916</v>
      </c>
      <c r="C2" s="4154" t="s">
        <v>917</v>
      </c>
      <c r="D2" s="4154" t="str">
        <f>结果表!D116</f>
        <v>出让国有建设用地使用权价值</v>
      </c>
      <c r="E2" s="4154"/>
      <c r="F2" s="4154" t="str">
        <f>结果表!F116</f>
        <v>在建建筑物价值</v>
      </c>
      <c r="G2" s="4154"/>
      <c r="H2" s="4154" t="str">
        <f>IF(项目基本情况!B9="房地产市场价值","房地产市场价值","房地产价值")</f>
        <v>房地产价值</v>
      </c>
      <c r="I2" s="4154"/>
    </row>
    <row r="3" spans="1:9" ht="15">
      <c r="A3" s="4155"/>
      <c r="B3" s="4155"/>
      <c r="C3" s="4155"/>
      <c r="D3" s="596" t="s">
        <v>912</v>
      </c>
      <c r="E3" s="596" t="s">
        <v>918</v>
      </c>
      <c r="F3" s="596" t="s">
        <v>912</v>
      </c>
      <c r="G3" s="596" t="s">
        <v>913</v>
      </c>
      <c r="H3" s="596" t="s">
        <v>912</v>
      </c>
      <c r="I3" s="596" t="s">
        <v>913</v>
      </c>
    </row>
    <row r="4" spans="1:9" ht="15">
      <c r="A4" s="1123" t="str">
        <f>项目基本情况!S2</f>
        <v>北京市房地产</v>
      </c>
      <c r="B4" s="596">
        <f>项目基本情况!C17</f>
        <v>127.64</v>
      </c>
      <c r="C4" s="596">
        <f>项目基本情况!C18</f>
        <v>0</v>
      </c>
      <c r="D4" s="596" t="e">
        <f ca="1">结果表!D118</f>
        <v>#REF!</v>
      </c>
      <c r="E4" s="596" t="e">
        <f ca="1">结果表!E118</f>
        <v>#REF!</v>
      </c>
      <c r="F4" s="596" t="e">
        <f ca="1">结果表!F118</f>
        <v>#REF!</v>
      </c>
      <c r="G4" s="596" t="e">
        <f ca="1">结果表!G118</f>
        <v>#REF!</v>
      </c>
      <c r="H4" s="596">
        <f ca="1">结果表!H118</f>
        <v>248</v>
      </c>
      <c r="I4" s="596">
        <f ca="1">结果表!I118</f>
        <v>1521153</v>
      </c>
    </row>
    <row r="5" spans="1:9" ht="30" customHeight="1">
      <c r="A5" s="4155" t="s">
        <v>914</v>
      </c>
      <c r="B5" s="4155"/>
      <c r="C5" s="4155"/>
      <c r="D5" s="4155" t="e">
        <f ca="1">结果表!D119</f>
        <v>#REF!</v>
      </c>
      <c r="E5" s="4155"/>
      <c r="F5" s="4155" t="e">
        <f ca="1">结果表!F119</f>
        <v>#REF!</v>
      </c>
      <c r="G5" s="4155"/>
      <c r="H5" s="4155" t="str">
        <f ca="1">结果表!H119</f>
        <v>贰佰肆拾捌万元整</v>
      </c>
      <c r="I5" s="4155"/>
    </row>
    <row r="6" spans="1:9" ht="15.75">
      <c r="A6" s="4156" t="str">
        <f>结果表!A120</f>
        <v>估价师知悉的法定优先受偿款</v>
      </c>
      <c r="B6" s="4156"/>
      <c r="C6" s="4156"/>
      <c r="D6" s="4156">
        <f>结果表!D120</f>
        <v>0</v>
      </c>
      <c r="E6" s="4156"/>
      <c r="F6" s="4156"/>
      <c r="G6" s="4156"/>
      <c r="H6" s="4156"/>
      <c r="I6" s="4156"/>
    </row>
    <row r="7" spans="1:9" ht="15">
      <c r="A7" s="4155" t="s">
        <v>914</v>
      </c>
      <c r="B7" s="4155"/>
      <c r="C7" s="4155"/>
      <c r="D7" s="4157" t="str">
        <f>结果表!D121</f>
        <v>零元整</v>
      </c>
      <c r="E7" s="4158"/>
      <c r="F7" s="4158"/>
      <c r="G7" s="4158"/>
      <c r="H7" s="4158"/>
      <c r="I7" s="4159"/>
    </row>
    <row r="8" spans="1:9" ht="15.75">
      <c r="A8" s="4156" t="str">
        <f>结果表!A122</f>
        <v>房地产抵押价值</v>
      </c>
      <c r="B8" s="4156"/>
      <c r="C8" s="4156"/>
      <c r="D8" s="4156">
        <f ca="1">结果表!D122</f>
        <v>248</v>
      </c>
      <c r="E8" s="4156"/>
      <c r="F8" s="4156"/>
      <c r="G8" s="4156"/>
      <c r="H8" s="4156"/>
      <c r="I8" s="4156"/>
    </row>
    <row r="9" spans="1:9" ht="15">
      <c r="A9" s="4155" t="s">
        <v>914</v>
      </c>
      <c r="B9" s="4155"/>
      <c r="C9" s="4155"/>
      <c r="D9" s="4155" t="str">
        <f ca="1">结果表!D123</f>
        <v>贰佰肆拾捌万元整</v>
      </c>
      <c r="E9" s="4155"/>
      <c r="F9" s="4155"/>
      <c r="G9" s="4155"/>
      <c r="H9" s="4155"/>
      <c r="I9" s="4155"/>
    </row>
    <row r="10" spans="1:9" ht="15.75">
      <c r="A10" s="4156" t="str">
        <f>结果表!A124</f>
        <v/>
      </c>
      <c r="B10" s="4156"/>
      <c r="C10" s="4156"/>
      <c r="D10" s="4156" t="str">
        <f>结果表!D124</f>
        <v>——</v>
      </c>
      <c r="E10" s="4156"/>
      <c r="F10" s="4156"/>
      <c r="G10" s="4156"/>
      <c r="H10" s="4156"/>
      <c r="I10" s="4156"/>
    </row>
    <row r="11" spans="1:9" ht="15">
      <c r="A11" s="4155" t="s">
        <v>914</v>
      </c>
      <c r="B11" s="4155"/>
      <c r="C11" s="4155"/>
      <c r="D11" s="4155" t="e">
        <f>结果表!D125</f>
        <v>#VALUE!</v>
      </c>
      <c r="E11" s="4155"/>
      <c r="F11" s="4155"/>
      <c r="G11" s="4155"/>
      <c r="H11" s="4155"/>
      <c r="I11" s="4155"/>
    </row>
    <row r="12" spans="1:9" ht="15.75">
      <c r="A12" s="4156" t="str">
        <f>结果表!A126</f>
        <v/>
      </c>
      <c r="B12" s="4156"/>
      <c r="C12" s="4156"/>
      <c r="D12" s="4156" t="str">
        <f>结果表!D126</f>
        <v>——</v>
      </c>
      <c r="E12" s="4156"/>
      <c r="F12" s="4156"/>
      <c r="G12" s="4156"/>
      <c r="H12" s="4156"/>
      <c r="I12" s="4156"/>
    </row>
    <row r="13" spans="1:9" ht="15.75" thickBot="1">
      <c r="A13" s="4160" t="s">
        <v>914</v>
      </c>
      <c r="B13" s="4160"/>
      <c r="C13" s="4160"/>
      <c r="D13" s="4160" t="e">
        <f>结果表!D127</f>
        <v>#VALUE!</v>
      </c>
      <c r="E13" s="4160"/>
      <c r="F13" s="4160"/>
      <c r="G13" s="4160"/>
      <c r="H13" s="4160"/>
      <c r="I13" s="4160"/>
    </row>
    <row r="14" spans="1:9" ht="15" thickTop="1">
      <c r="A14" s="4161" t="s">
        <v>919</v>
      </c>
      <c r="B14" s="4161"/>
      <c r="C14" s="4161"/>
      <c r="D14" s="4161"/>
      <c r="E14" s="4161"/>
      <c r="F14" s="4161"/>
      <c r="G14" s="4161"/>
      <c r="H14" s="4161"/>
      <c r="I14" s="4161"/>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54" t="s">
        <v>446</v>
      </c>
      <c r="C1" s="4554"/>
      <c r="D1" s="4554"/>
      <c r="E1" s="4554"/>
      <c r="F1" s="4554"/>
      <c r="G1" s="4550" t="s">
        <v>447</v>
      </c>
      <c r="H1" s="4550"/>
      <c r="I1" s="4550"/>
      <c r="J1" s="4550"/>
      <c r="K1" s="4550"/>
      <c r="L1" s="4550"/>
      <c r="N1" s="4550" t="s">
        <v>448</v>
      </c>
      <c r="O1" s="4550"/>
      <c r="P1" s="4550"/>
      <c r="Q1" s="4550"/>
      <c r="S1" s="4550" t="s">
        <v>449</v>
      </c>
      <c r="T1" s="4550"/>
      <c r="U1" s="4550"/>
      <c r="V1" s="4550"/>
      <c r="X1" s="4549" t="s">
        <v>450</v>
      </c>
      <c r="Y1" s="4550"/>
      <c r="Z1" s="4550"/>
      <c r="AA1" s="4550"/>
      <c r="AB1" s="4550"/>
      <c r="AD1" s="4549" t="s">
        <v>451</v>
      </c>
      <c r="AE1" s="4550"/>
      <c r="AF1" s="4550"/>
      <c r="AG1" s="4550"/>
      <c r="AH1" s="4550"/>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52">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52"/>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52"/>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9"/>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55">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52"/>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52"/>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9"/>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55">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52"/>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52"/>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53"/>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51">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52"/>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52"/>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53"/>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51">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52"/>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52"/>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53"/>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56">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57"/>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57"/>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58"/>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51">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52"/>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52"/>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53"/>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51">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52">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52">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53">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51">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52">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52">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53">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51">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52">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52">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53">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51">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52">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52">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53">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51">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52">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52">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53">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51">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52">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52">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53">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51">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52">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52">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53">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51">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52">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52">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53">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51">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52">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52">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53">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51">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52">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52">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53">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62" t="s">
        <v>2753</v>
      </c>
      <c r="B1" s="4562"/>
      <c r="C1" s="4562"/>
      <c r="D1" s="4562"/>
      <c r="E1" s="4562"/>
      <c r="F1" s="4562"/>
      <c r="G1" s="4563"/>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60"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61"/>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62" t="s">
        <v>936</v>
      </c>
      <c r="B1" s="4162"/>
      <c r="C1" s="4162"/>
      <c r="D1" s="4162"/>
    </row>
    <row r="2" spans="1:4" ht="18">
      <c r="A2" s="4163" t="s">
        <v>920</v>
      </c>
      <c r="B2" s="4163"/>
      <c r="C2" s="4163"/>
      <c r="D2" s="4163"/>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63" t="s">
        <v>926</v>
      </c>
      <c r="B6" s="4163"/>
      <c r="C6" s="4163"/>
      <c r="D6" s="4163"/>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4" t="s">
        <v>929</v>
      </c>
      <c r="B11" s="4165"/>
      <c r="C11" s="4165"/>
      <c r="D11" s="4165"/>
    </row>
    <row r="12" spans="1:4" ht="15.75">
      <c r="A12" s="4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6"/>
      <c r="C12" s="4166"/>
      <c r="D12" s="4166"/>
    </row>
    <row r="13" spans="1:4" ht="30" customHeight="1">
      <c r="A13" s="4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6"/>
      <c r="C13" s="4166"/>
      <c r="D13" s="4166"/>
    </row>
    <row r="14" spans="1:4" ht="15.75" customHeight="1">
      <c r="A14" s="4165" t="str">
        <f>IF(项目基本情况!B8="抵押","4.本次评估估价师所知悉的法定优先受偿款情况说明如下：","——")</f>
        <v>4.本次评估估价师所知悉的法定优先受偿款情况说明如下：</v>
      </c>
      <c r="B14" s="4166"/>
      <c r="C14" s="4166"/>
      <c r="D14" s="4166"/>
    </row>
    <row r="15" spans="1:4" ht="42" customHeight="1">
      <c r="A15" s="4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5"/>
      <c r="C15" s="4165"/>
      <c r="D15" s="4165"/>
    </row>
    <row r="16" spans="1:4" ht="30" customHeight="1">
      <c r="A16" s="4168" t="s">
        <v>930</v>
      </c>
      <c r="B16" s="4168"/>
      <c r="C16" s="4168"/>
      <c r="D16" s="4168"/>
    </row>
    <row r="17" spans="1:4" ht="144" customHeight="1">
      <c r="A17" s="4168" t="s">
        <v>931</v>
      </c>
      <c r="B17" s="4168"/>
      <c r="C17" s="4168"/>
      <c r="D17" s="4168"/>
    </row>
    <row r="18" spans="1:4" ht="15.75" customHeight="1">
      <c r="A18" s="4165" t="str">
        <f>IF(项目基本情况!B8="抵押",结果表!K120,"——")</f>
        <v>故，本次评估不存在估价师知悉的法定优先受偿款</v>
      </c>
      <c r="B18" s="4165"/>
      <c r="C18" s="4165"/>
      <c r="D18" s="4165"/>
    </row>
    <row r="19" spans="1:4" ht="46.5" customHeight="1">
      <c r="A19" s="4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5"/>
      <c r="C19" s="4165"/>
      <c r="D19" s="4165"/>
    </row>
    <row r="20" spans="1:4" ht="57.75" customHeight="1">
      <c r="A20" s="4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5"/>
      <c r="C20" s="4165"/>
      <c r="D20" s="4165"/>
    </row>
    <row r="21" spans="1:4" ht="57.75" customHeight="1">
      <c r="A21" s="4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9"/>
      <c r="C21" s="4169"/>
      <c r="D21" s="4169"/>
    </row>
    <row r="22" spans="1:4" ht="18.75" customHeight="1">
      <c r="A22" s="4170" t="s">
        <v>932</v>
      </c>
      <c r="B22" s="4170"/>
      <c r="C22" s="4170"/>
      <c r="D22" s="4170"/>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67">
        <v>42551</v>
      </c>
      <c r="D31" s="41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76" t="s">
        <v>943</v>
      </c>
      <c r="B15" s="4171" t="s">
        <v>107</v>
      </c>
      <c r="C15" s="4172"/>
    </row>
    <row r="16" spans="1:7" ht="13.5">
      <c r="A16" s="4177"/>
      <c r="B16" s="4171" t="s">
        <v>40</v>
      </c>
      <c r="C16" s="4172"/>
    </row>
    <row r="17" spans="1:3" ht="13.5">
      <c r="A17" s="4177"/>
      <c r="B17" s="4174" t="s">
        <v>944</v>
      </c>
      <c r="C17" s="1149" t="s">
        <v>943</v>
      </c>
    </row>
    <row r="18" spans="1:3" ht="13.5">
      <c r="A18" s="4177"/>
      <c r="B18" s="4174"/>
      <c r="C18" s="1149" t="s">
        <v>945</v>
      </c>
    </row>
    <row r="19" spans="1:3" ht="13.5">
      <c r="A19" s="4177"/>
      <c r="B19" s="4174"/>
      <c r="C19" s="1149" t="s">
        <v>946</v>
      </c>
    </row>
    <row r="20" spans="1:3" ht="13.5">
      <c r="A20" s="4178"/>
      <c r="B20" s="4173" t="s">
        <v>947</v>
      </c>
      <c r="C20" s="4172"/>
    </row>
    <row r="21" spans="1:3" ht="13.5">
      <c r="A21" s="1150" t="s">
        <v>948</v>
      </c>
      <c r="B21" s="1151"/>
      <c r="C21" s="1152"/>
    </row>
    <row r="22" spans="1:3" ht="13.5">
      <c r="A22" s="4175" t="s">
        <v>949</v>
      </c>
      <c r="B22" s="4173" t="s">
        <v>950</v>
      </c>
      <c r="C22" s="4172"/>
    </row>
    <row r="23" spans="1:3" ht="13.5">
      <c r="A23" s="4175"/>
      <c r="B23" s="4173" t="s">
        <v>951</v>
      </c>
      <c r="C23" s="4172"/>
    </row>
    <row r="24" spans="1:3" ht="13.5">
      <c r="A24" s="4175"/>
      <c r="B24" s="4173" t="s">
        <v>952</v>
      </c>
      <c r="C24" s="4172"/>
    </row>
    <row r="25" spans="1:3" ht="13.5">
      <c r="A25" s="4175"/>
      <c r="B25" s="4174" t="s">
        <v>953</v>
      </c>
      <c r="C25" s="1149" t="s">
        <v>954</v>
      </c>
    </row>
    <row r="26" spans="1:3" ht="13.5">
      <c r="A26" s="4175"/>
      <c r="B26" s="4174"/>
      <c r="C26" s="1149" t="s">
        <v>955</v>
      </c>
    </row>
    <row r="27" spans="1:3" ht="13.5">
      <c r="A27" s="4175"/>
      <c r="B27" s="4174"/>
      <c r="C27" s="1149" t="s">
        <v>956</v>
      </c>
    </row>
    <row r="28" spans="1:3" ht="13.5">
      <c r="A28" s="4175"/>
      <c r="B28" s="4174"/>
      <c r="C28" s="1149" t="s">
        <v>957</v>
      </c>
    </row>
    <row r="29" spans="1:3" ht="13.5">
      <c r="A29" s="4175"/>
      <c r="B29" s="4174"/>
      <c r="C29" s="1149" t="s">
        <v>958</v>
      </c>
    </row>
    <row r="30" spans="1:3" ht="13.5">
      <c r="A30" s="4175"/>
      <c r="B30" s="4174"/>
      <c r="C30" s="1149" t="s">
        <v>959</v>
      </c>
    </row>
    <row r="31" spans="1:3" ht="13.5">
      <c r="A31" s="4175"/>
      <c r="B31" s="4174"/>
      <c r="C31" s="1149" t="s">
        <v>960</v>
      </c>
    </row>
    <row r="32" spans="1:3" ht="13.5">
      <c r="A32" s="4175"/>
      <c r="B32" s="4174"/>
      <c r="C32" s="1149" t="s">
        <v>961</v>
      </c>
    </row>
    <row r="33" spans="1:3" ht="13.5">
      <c r="A33" s="4175"/>
      <c r="B33" s="4174"/>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46037</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9" t="s">
        <v>2083</v>
      </c>
      <c r="B17" s="4179"/>
      <c r="C17" s="4179"/>
      <c r="D17" s="4179"/>
      <c r="E17" s="4179"/>
      <c r="F17" s="4179"/>
      <c r="G17" s="4179"/>
      <c r="H17" s="4179"/>
    </row>
    <row r="18" spans="1:8" ht="24" customHeight="1">
      <c r="A18" s="4180" t="s">
        <v>2084</v>
      </c>
      <c r="B18" s="4180"/>
      <c r="C18" s="4180"/>
      <c r="D18" s="1801"/>
      <c r="E18" s="4181" t="s">
        <v>2085</v>
      </c>
      <c r="F18" s="4180"/>
      <c r="G18" s="4180"/>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2026-01-09T01:41:32Z</cp:lastPrinted>
  <dcterms:created xsi:type="dcterms:W3CDTF">2015-07-13T07:17:23Z</dcterms:created>
  <dcterms:modified xsi:type="dcterms:W3CDTF">2026-01-15T03:06:41Z</dcterms:modified>
</cp:coreProperties>
</file>