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2-1-0649一体化平台海淀\F02盈都大厦市场价值\"/>
    </mc:Choice>
  </mc:AlternateContent>
  <xr:revisionPtr revIDLastSave="0" documentId="13_ncr:1_{DDB9B350-87D4-4A9C-B159-7AE61AD0611E}" xr6:coauthVersionLast="45" xr6:coauthVersionMax="45" xr10:uidLastSave="{00000000-0000-0000-0000-000000000000}"/>
  <bookViews>
    <workbookView xWindow="-120" yWindow="-120" windowWidth="21840" windowHeight="13140" tabRatio="899" firstSheet="10" activeTab="3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 name="市场成交" sheetId="81" r:id="rId47"/>
  </sheets>
  <externalReferences>
    <externalReference r:id="rId48"/>
    <externalReference r:id="rId49"/>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80" l="1"/>
  <c r="I48" i="34"/>
  <c r="G48" i="34"/>
  <c r="E48" i="34"/>
  <c r="I34" i="34"/>
  <c r="G34" i="34"/>
  <c r="E34" i="34"/>
  <c r="C24" i="34"/>
  <c r="C20" i="34"/>
  <c r="C18" i="34"/>
  <c r="C16" i="34"/>
  <c r="E105" i="34"/>
  <c r="F105" i="34" s="1"/>
  <c r="D105" i="34"/>
  <c r="I7" i="34"/>
  <c r="G7" i="34"/>
  <c r="E7" i="34"/>
  <c r="L5" i="6" l="1"/>
  <c r="L8" i="6" s="1"/>
  <c r="I6" i="80"/>
  <c r="U6" i="1" s="1"/>
  <c r="N20" i="1" l="1"/>
  <c r="N6" i="1" l="1"/>
  <c r="Y6" i="1" s="1"/>
  <c r="C37" i="34" s="1"/>
  <c r="I22" i="21"/>
  <c r="G22" i="21"/>
  <c r="E22" i="21"/>
  <c r="G20" i="21"/>
  <c r="G16" i="21"/>
  <c r="C24" i="21"/>
  <c r="I24" i="21" s="1"/>
  <c r="C20" i="21"/>
  <c r="I20" i="21" s="1"/>
  <c r="C18" i="21"/>
  <c r="G18" i="21" s="1"/>
  <c r="C16" i="21"/>
  <c r="I16" i="21" s="1"/>
  <c r="J10" i="4"/>
  <c r="D14" i="9"/>
  <c r="I33" i="21"/>
  <c r="G33" i="21"/>
  <c r="E33" i="21"/>
  <c r="I47" i="21"/>
  <c r="G47" i="21"/>
  <c r="E47" i="21"/>
  <c r="I7" i="21"/>
  <c r="G7" i="21"/>
  <c r="E7" i="21"/>
  <c r="D33" i="43"/>
  <c r="F19" i="6"/>
  <c r="E18" i="21" l="1"/>
  <c r="I18" i="21"/>
  <c r="G24" i="21"/>
  <c r="G37" i="34"/>
  <c r="I37" i="34"/>
  <c r="E37" i="34"/>
  <c r="C33" i="21"/>
  <c r="C34" i="34"/>
  <c r="B14" i="74"/>
  <c r="E16" i="21"/>
  <c r="E20" i="21"/>
  <c r="E24" i="2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s="1"/>
  <c r="C23" i="71" s="1"/>
  <c r="Q25" i="71"/>
  <c r="F24" i="71"/>
  <c r="F23" i="71"/>
  <c r="F22" i="71" s="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A15" i="62"/>
  <c r="B61" i="72" s="1"/>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O68" i="71" s="1"/>
  <c r="B68" i="71"/>
  <c r="F67" i="71"/>
  <c r="F66" i="71" s="1"/>
  <c r="Q66" i="71" s="1"/>
  <c r="D65" i="71"/>
  <c r="Q64" i="71"/>
  <c r="P64" i="71"/>
  <c r="O64" i="71"/>
  <c r="N64" i="71"/>
  <c r="Q63" i="71"/>
  <c r="P63" i="71"/>
  <c r="O63" i="71"/>
  <c r="N63" i="71"/>
  <c r="Q62" i="71"/>
  <c r="P62" i="71"/>
  <c r="O62" i="71"/>
  <c r="C63" i="71" s="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c r="F56" i="71" s="1"/>
  <c r="V56" i="71" s="1"/>
  <c r="P53" i="71"/>
  <c r="E54" i="71"/>
  <c r="O53" i="71"/>
  <c r="C54" i="71" s="1"/>
  <c r="D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s="1"/>
  <c r="B44" i="71" s="1"/>
  <c r="S44"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N36" i="71"/>
  <c r="Q35" i="71"/>
  <c r="AB35" i="71" s="1"/>
  <c r="P35" i="71"/>
  <c r="O35" i="71"/>
  <c r="C36" i="71" s="1"/>
  <c r="N35" i="71"/>
  <c r="Q34" i="71"/>
  <c r="AB34" i="71" s="1"/>
  <c r="P34" i="71"/>
  <c r="O34" i="71"/>
  <c r="N34" i="71"/>
  <c r="Q33" i="71"/>
  <c r="F34" i="71" s="1"/>
  <c r="P33" i="71"/>
  <c r="O33" i="71"/>
  <c r="N33" i="71"/>
  <c r="D33" i="71"/>
  <c r="Q32" i="71"/>
  <c r="P32" i="71"/>
  <c r="O32" i="71"/>
  <c r="N32" i="71"/>
  <c r="Q31" i="71"/>
  <c r="AB31" i="71" s="1"/>
  <c r="P31" i="71"/>
  <c r="O31" i="71"/>
  <c r="N31" i="71"/>
  <c r="Q30" i="71"/>
  <c r="AB30" i="71" s="1"/>
  <c r="P30" i="71"/>
  <c r="O30" i="71"/>
  <c r="N30" i="71"/>
  <c r="Q29" i="71"/>
  <c r="P29" i="71"/>
  <c r="AA25" i="71" s="1"/>
  <c r="O29" i="71"/>
  <c r="N29" i="71"/>
  <c r="D29" i="71"/>
  <c r="O28" i="71"/>
  <c r="C28" i="71" s="1"/>
  <c r="N28" i="71"/>
  <c r="B30" i="71"/>
  <c r="B31" i="71" s="1"/>
  <c r="E30" i="71"/>
  <c r="E31" i="71" s="1"/>
  <c r="E32" i="71" s="1"/>
  <c r="U32" i="71" s="1"/>
  <c r="B34" i="71"/>
  <c r="B35" i="71" s="1"/>
  <c r="B38" i="71"/>
  <c r="B39" i="71" s="1"/>
  <c r="B40" i="71" s="1"/>
  <c r="S40" i="71" s="1"/>
  <c r="X37" i="71"/>
  <c r="E38" i="71"/>
  <c r="E39" i="71"/>
  <c r="N68" i="71"/>
  <c r="E34" i="71"/>
  <c r="E35" i="71" s="1"/>
  <c r="E36" i="71" s="1"/>
  <c r="U36" i="71" s="1"/>
  <c r="C30" i="71"/>
  <c r="D30" i="71" s="1"/>
  <c r="X31" i="71"/>
  <c r="C34" i="71"/>
  <c r="C35" i="71" s="1"/>
  <c r="D35" i="71" s="1"/>
  <c r="AB33" i="71"/>
  <c r="AA35" i="71"/>
  <c r="X36" i="71"/>
  <c r="AA36" i="71"/>
  <c r="AB37" i="71"/>
  <c r="X38" i="71"/>
  <c r="AA38" i="71"/>
  <c r="F51" i="71"/>
  <c r="F52" i="71"/>
  <c r="V52" i="71" s="1"/>
  <c r="X27" i="71"/>
  <c r="D34" i="71"/>
  <c r="D38" i="71"/>
  <c r="P28" i="71"/>
  <c r="E55" i="71"/>
  <c r="E56" i="71" s="1"/>
  <c r="U56" i="71" s="1"/>
  <c r="U68" i="71"/>
  <c r="Q28" i="71"/>
  <c r="AB27" i="71" s="1"/>
  <c r="C55" i="71"/>
  <c r="D55" i="71" s="1"/>
  <c r="D62" i="71"/>
  <c r="T68" i="71"/>
  <c r="D68" i="71"/>
  <c r="Q68" i="71"/>
  <c r="C71" i="71"/>
  <c r="D71" i="71" s="1"/>
  <c r="D72" i="71"/>
  <c r="E75" i="71"/>
  <c r="E74" i="71" s="1"/>
  <c r="D76" i="71"/>
  <c r="C79" i="71"/>
  <c r="C78" i="71" s="1"/>
  <c r="D78" i="71" s="1"/>
  <c r="D80" i="71"/>
  <c r="C83" i="71"/>
  <c r="D83" i="71" s="1"/>
  <c r="F28" i="71"/>
  <c r="F27" i="71" s="1"/>
  <c r="F26" i="71" s="1"/>
  <c r="AB25" i="71"/>
  <c r="E28" i="71"/>
  <c r="E27" i="71" s="1"/>
  <c r="E26" i="71" s="1"/>
  <c r="AA27" i="71"/>
  <c r="C82" i="71"/>
  <c r="D82" i="71" s="1"/>
  <c r="D79" i="71"/>
  <c r="C70" i="71"/>
  <c r="D70" i="71" s="1"/>
  <c r="C56" i="71"/>
  <c r="T56" i="71" s="1"/>
  <c r="D43"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C21" i="33"/>
  <c r="C21" i="21"/>
  <c r="Q21" i="21"/>
  <c r="Z21" i="21" s="1"/>
  <c r="H19" i="21"/>
  <c r="U19" i="21" s="1"/>
  <c r="D83" i="21"/>
  <c r="E83" i="21" s="1"/>
  <c r="F83" i="21" s="1"/>
  <c r="G83" i="21" s="1"/>
  <c r="F21" i="21"/>
  <c r="AA21" i="21" s="1"/>
  <c r="D81" i="21"/>
  <c r="G20" i="20"/>
  <c r="B88" i="43" s="1"/>
  <c r="C22" i="20"/>
  <c r="B100" i="43" s="1"/>
  <c r="B57" i="43"/>
  <c r="S25" i="40"/>
  <c r="U18" i="36"/>
  <c r="F94" i="40"/>
  <c r="H25" i="40"/>
  <c r="G94" i="40"/>
  <c r="J25" i="40"/>
  <c r="H29" i="39"/>
  <c r="AB29" i="39" s="1"/>
  <c r="J29" i="39"/>
  <c r="AC29" i="39" s="1"/>
  <c r="J18" i="36"/>
  <c r="H18" i="35"/>
  <c r="AB18" i="35" s="1"/>
  <c r="S18" i="35"/>
  <c r="J18" i="35"/>
  <c r="W18" i="35" s="1"/>
  <c r="H21" i="37"/>
  <c r="U21" i="37" s="1"/>
  <c r="F21" i="37"/>
  <c r="AA21" i="37" s="1"/>
  <c r="H21" i="34"/>
  <c r="U21" i="34" s="1"/>
  <c r="H21" i="33"/>
  <c r="F21" i="33"/>
  <c r="S21" i="33" s="1"/>
  <c r="H1" i="69"/>
  <c r="AC25" i="40"/>
  <c r="W25" i="40"/>
  <c r="AB25" i="40"/>
  <c r="U25" i="40"/>
  <c r="U29" i="39"/>
  <c r="AC18" i="36"/>
  <c r="W18" i="36"/>
  <c r="AB21" i="37"/>
  <c r="S21" i="37"/>
  <c r="AB21" i="34"/>
  <c r="U21" i="33"/>
  <c r="AB21" i="33"/>
  <c r="AA21" i="33"/>
  <c r="U18" i="35"/>
  <c r="J21" i="37"/>
  <c r="AC21" i="37" s="1"/>
  <c r="J21" i="34"/>
  <c r="W21" i="34" s="1"/>
  <c r="G83" i="33"/>
  <c r="J21" i="33"/>
  <c r="H21" i="21"/>
  <c r="AB21" i="21" s="1"/>
  <c r="F38" i="69"/>
  <c r="E37" i="69"/>
  <c r="F36" i="69"/>
  <c r="F35" i="69"/>
  <c r="F21" i="69"/>
  <c r="F40" i="69" s="1"/>
  <c r="F20" i="69"/>
  <c r="F39" i="69" s="1"/>
  <c r="E10" i="69"/>
  <c r="E9" i="69"/>
  <c r="W21" i="37"/>
  <c r="AC21" i="34"/>
  <c r="AC21" i="33"/>
  <c r="W21" i="33"/>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s="1"/>
  <c r="M99" i="37" s="1"/>
  <c r="H42" i="34"/>
  <c r="J42" i="34"/>
  <c r="W42" i="34" s="1"/>
  <c r="F42" i="34"/>
  <c r="AA42" i="34" s="1"/>
  <c r="D114" i="34"/>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s="1"/>
  <c r="D75" i="37"/>
  <c r="E75" i="37" s="1"/>
  <c r="D73" i="37"/>
  <c r="E73" i="37" s="1"/>
  <c r="F73" i="37" s="1"/>
  <c r="D71" i="37"/>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D62" i="36"/>
  <c r="E62" i="36" s="1"/>
  <c r="F62" i="36" s="1"/>
  <c r="G62" i="36" s="1"/>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c r="AC24" i="35" s="1"/>
  <c r="B73" i="35"/>
  <c r="H23" i="35" s="1"/>
  <c r="U23" i="35" s="1"/>
  <c r="B57" i="35"/>
  <c r="J11" i="35" s="1"/>
  <c r="B61" i="35"/>
  <c r="B59" i="35"/>
  <c r="H12" i="35" s="1"/>
  <c r="U12" i="35" s="1"/>
  <c r="B131" i="34"/>
  <c r="B129" i="34"/>
  <c r="J46" i="34" s="1"/>
  <c r="B127" i="34"/>
  <c r="B99" i="34"/>
  <c r="F32" i="34" s="1"/>
  <c r="B97" i="34"/>
  <c r="B95" i="34"/>
  <c r="H30" i="34" s="1"/>
  <c r="B93" i="34"/>
  <c r="B75" i="34"/>
  <c r="F14" i="34" s="1"/>
  <c r="S14" i="34" s="1"/>
  <c r="B73" i="34"/>
  <c r="B71" i="34"/>
  <c r="B130" i="33"/>
  <c r="B128" i="33"/>
  <c r="B126" i="33"/>
  <c r="B98" i="33"/>
  <c r="F31" i="33" s="1"/>
  <c r="B96" i="33"/>
  <c r="B94" i="33"/>
  <c r="B74" i="33"/>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B91" i="34"/>
  <c r="B89" i="34"/>
  <c r="J27" i="34" s="1"/>
  <c r="AC27" i="34" s="1"/>
  <c r="D88" i="34"/>
  <c r="E88" i="34" s="1"/>
  <c r="F88" i="34" s="1"/>
  <c r="G88" i="34" s="1"/>
  <c r="H88" i="34" s="1"/>
  <c r="I88" i="34" s="1"/>
  <c r="J88" i="34" s="1"/>
  <c r="K88" i="34" s="1"/>
  <c r="L88" i="34" s="1"/>
  <c r="M88" i="34" s="1"/>
  <c r="D86" i="34"/>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c r="C15" i="20"/>
  <c r="B72" i="43"/>
  <c r="E54" i="21"/>
  <c r="F54" i="21" s="1"/>
  <c r="I54" i="21"/>
  <c r="J54" i="21" s="1"/>
  <c r="G54" i="21"/>
  <c r="H54" i="21" s="1"/>
  <c r="D125" i="21"/>
  <c r="E125" i="21" s="1"/>
  <c r="F125" i="21" s="1"/>
  <c r="G125" i="21" s="1"/>
  <c r="D123" i="21"/>
  <c r="E123" i="21" s="1"/>
  <c r="F123" i="21" s="1"/>
  <c r="G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F19" i="21"/>
  <c r="AA19" i="21" s="1"/>
  <c r="E81" i="21"/>
  <c r="F81" i="21" s="1"/>
  <c r="G81" i="21" s="1"/>
  <c r="D77" i="21"/>
  <c r="E77" i="21"/>
  <c r="B130" i="21"/>
  <c r="B128" i="21"/>
  <c r="J45" i="21" s="1"/>
  <c r="W45" i="21" s="1"/>
  <c r="B126" i="21"/>
  <c r="J44" i="21" s="1"/>
  <c r="AC44" i="21" s="1"/>
  <c r="B98" i="21"/>
  <c r="B96" i="21"/>
  <c r="B94" i="21"/>
  <c r="B92" i="21"/>
  <c r="B90" i="2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s="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S41" i="21"/>
  <c r="F45" i="39"/>
  <c r="S45" i="39" s="1"/>
  <c r="J45" i="39"/>
  <c r="J44" i="39"/>
  <c r="AC44" i="39" s="1"/>
  <c r="F36" i="39"/>
  <c r="S36" i="39" s="1"/>
  <c r="H36" i="39"/>
  <c r="J35" i="39"/>
  <c r="AC35" i="39" s="1"/>
  <c r="F35" i="39"/>
  <c r="AA35" i="39" s="1"/>
  <c r="J36" i="39"/>
  <c r="U9" i="39"/>
  <c r="W40" i="39"/>
  <c r="U30" i="37"/>
  <c r="E103" i="37"/>
  <c r="F103" i="37" s="1"/>
  <c r="G103" i="37" s="1"/>
  <c r="H103" i="37" s="1"/>
  <c r="I103" i="37" s="1"/>
  <c r="J103" i="37" s="1"/>
  <c r="K103" i="37" s="1"/>
  <c r="L103" i="37" s="1"/>
  <c r="M103" i="37" s="1"/>
  <c r="F29" i="36"/>
  <c r="AA29" i="36" s="1"/>
  <c r="F16" i="36"/>
  <c r="AA16" i="36"/>
  <c r="U9" i="36"/>
  <c r="W28" i="36"/>
  <c r="U31" i="36"/>
  <c r="J33" i="36"/>
  <c r="AC33" i="36" s="1"/>
  <c r="H22" i="35"/>
  <c r="AB22" i="35"/>
  <c r="W28" i="35"/>
  <c r="S34" i="35"/>
  <c r="W22" i="35"/>
  <c r="S31" i="35"/>
  <c r="F36" i="34"/>
  <c r="J35" i="34"/>
  <c r="AC35" i="34" s="1"/>
  <c r="U34" i="34"/>
  <c r="H39" i="33"/>
  <c r="AB39" i="33" s="1"/>
  <c r="F26" i="33"/>
  <c r="AA26" i="33" s="1"/>
  <c r="S40" i="33"/>
  <c r="H39" i="37"/>
  <c r="AB39" i="37" s="1"/>
  <c r="S27" i="35"/>
  <c r="F11" i="40"/>
  <c r="AA11" i="40" s="1"/>
  <c r="H11" i="40"/>
  <c r="AB11" i="40" s="1"/>
  <c r="AC40" i="40"/>
  <c r="AC9" i="40"/>
  <c r="S34" i="40"/>
  <c r="W31" i="40"/>
  <c r="U40" i="40"/>
  <c r="F42" i="39"/>
  <c r="AA42" i="39" s="1"/>
  <c r="F41" i="39"/>
  <c r="S41" i="39" s="1"/>
  <c r="H40" i="39"/>
  <c r="AB40" i="39" s="1"/>
  <c r="H39" i="39"/>
  <c r="U39" i="39" s="1"/>
  <c r="S34" i="39"/>
  <c r="H34" i="39"/>
  <c r="U34" i="39" s="1"/>
  <c r="E108" i="39"/>
  <c r="F108" i="39" s="1"/>
  <c r="G108" i="39" s="1"/>
  <c r="H108" i="39" s="1"/>
  <c r="I108" i="39" s="1"/>
  <c r="J108" i="39" s="1"/>
  <c r="K108" i="39" s="1"/>
  <c r="L108" i="39" s="1"/>
  <c r="M108" i="39" s="1"/>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s="1"/>
  <c r="F27" i="39"/>
  <c r="F11" i="21"/>
  <c r="S11" i="21" s="1"/>
  <c r="U34" i="21"/>
  <c r="S34" i="21"/>
  <c r="H11" i="39"/>
  <c r="C15" i="39"/>
  <c r="H32" i="33"/>
  <c r="AB32" i="33"/>
  <c r="H11" i="21"/>
  <c r="U11" i="21" s="1"/>
  <c r="J11" i="21"/>
  <c r="W11" i="21" s="1"/>
  <c r="H37" i="40"/>
  <c r="U37" i="40"/>
  <c r="H36" i="40"/>
  <c r="AB36" i="40"/>
  <c r="F35" i="40"/>
  <c r="AA35" i="40"/>
  <c r="H23" i="40"/>
  <c r="AB23" i="40"/>
  <c r="H17" i="40"/>
  <c r="U17" i="40"/>
  <c r="J15" i="40"/>
  <c r="W15" i="40"/>
  <c r="J11" i="40"/>
  <c r="W11" i="40"/>
  <c r="AB8" i="39"/>
  <c r="AB12" i="35"/>
  <c r="F37" i="39"/>
  <c r="AA37" i="39" s="1"/>
  <c r="J34" i="36"/>
  <c r="W34" i="36" s="1"/>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H33" i="35"/>
  <c r="AB33" i="35"/>
  <c r="J20" i="35"/>
  <c r="W20" i="35"/>
  <c r="F35" i="37"/>
  <c r="S35" i="37"/>
  <c r="F101" i="37"/>
  <c r="G101" i="37" s="1"/>
  <c r="H101" i="37" s="1"/>
  <c r="I101" i="37" s="1"/>
  <c r="J101" i="37" s="1"/>
  <c r="K101" i="37" s="1"/>
  <c r="L101" i="37" s="1"/>
  <c r="M101" i="37" s="1"/>
  <c r="J34" i="37"/>
  <c r="W34" i="37" s="1"/>
  <c r="AB34" i="37"/>
  <c r="J33" i="37"/>
  <c r="AC33" i="37" s="1"/>
  <c r="E114" i="34"/>
  <c r="F114" i="34" s="1"/>
  <c r="G114" i="34" s="1"/>
  <c r="H114" i="34" s="1"/>
  <c r="I114" i="34" s="1"/>
  <c r="J114" i="34" s="1"/>
  <c r="K114" i="34" s="1"/>
  <c r="L114" i="34" s="1"/>
  <c r="M114" i="34" s="1"/>
  <c r="H36" i="34"/>
  <c r="U36" i="34" s="1"/>
  <c r="F37" i="34"/>
  <c r="AA37" i="34" s="1"/>
  <c r="F27" i="34"/>
  <c r="AA27" i="34" s="1"/>
  <c r="F25" i="34"/>
  <c r="S25" i="34" s="1"/>
  <c r="H23" i="34"/>
  <c r="F19" i="34"/>
  <c r="H17" i="34"/>
  <c r="U17" i="34" s="1"/>
  <c r="F15" i="34"/>
  <c r="AA15" i="34" s="1"/>
  <c r="J15" i="34"/>
  <c r="H15" i="34"/>
  <c r="AB15"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C43" i="34" s="1"/>
  <c r="J40" i="34"/>
  <c r="AC40"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J11" i="33"/>
  <c r="W11" i="33" s="1"/>
  <c r="U23" i="40"/>
  <c r="H123" i="21"/>
  <c r="I123" i="21" s="1"/>
  <c r="J123" i="21" s="1"/>
  <c r="K123" i="21" s="1"/>
  <c r="L123" i="21" s="1"/>
  <c r="M123" i="21" s="1"/>
  <c r="J42" i="21"/>
  <c r="AC42" i="21" s="1"/>
  <c r="H42" i="21"/>
  <c r="U42" i="21" s="1"/>
  <c r="J44" i="34"/>
  <c r="AC44" i="34" s="1"/>
  <c r="F44" i="34"/>
  <c r="AA44" i="34" s="1"/>
  <c r="J10" i="35"/>
  <c r="AC10" i="35" s="1"/>
  <c r="J14" i="21"/>
  <c r="W14" i="21" s="1"/>
  <c r="F14" i="21"/>
  <c r="S14" i="21" s="1"/>
  <c r="H14" i="21"/>
  <c r="U14" i="21" s="1"/>
  <c r="H28" i="21"/>
  <c r="AB28" i="21" s="1"/>
  <c r="F28" i="21"/>
  <c r="AA28" i="21" s="1"/>
  <c r="J28" i="21"/>
  <c r="W28" i="21" s="1"/>
  <c r="H30" i="21"/>
  <c r="U30" i="21" s="1"/>
  <c r="F30" i="21"/>
  <c r="S30" i="21" s="1"/>
  <c r="J30" i="21"/>
  <c r="AC30" i="21" s="1"/>
  <c r="H44" i="21"/>
  <c r="U44" i="21" s="1"/>
  <c r="H46" i="21"/>
  <c r="U46" i="21"/>
  <c r="J46" i="21"/>
  <c r="W46" i="21"/>
  <c r="F46" i="21"/>
  <c r="AA46" i="2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G89" i="35"/>
  <c r="H89" i="35" s="1"/>
  <c r="I89" i="35" s="1"/>
  <c r="J89" i="35" s="1"/>
  <c r="K89" i="35" s="1"/>
  <c r="L89" i="35" s="1"/>
  <c r="M89" i="35" s="1"/>
  <c r="H10" i="36"/>
  <c r="AB10" i="36" s="1"/>
  <c r="J14" i="36"/>
  <c r="AC14" i="36" s="1"/>
  <c r="H14" i="36"/>
  <c r="U14" i="36" s="1"/>
  <c r="F28" i="36"/>
  <c r="AA28" i="36" s="1"/>
  <c r="J13" i="21"/>
  <c r="AC13" i="21"/>
  <c r="F27" i="21"/>
  <c r="AA27" i="21" s="1"/>
  <c r="J31" i="21"/>
  <c r="AC31" i="21" s="1"/>
  <c r="F45" i="21"/>
  <c r="AA45" i="21" s="1"/>
  <c r="F27" i="33"/>
  <c r="AA27" i="33" s="1"/>
  <c r="J13" i="33"/>
  <c r="F13" i="33"/>
  <c r="S13" i="33" s="1"/>
  <c r="J29" i="33"/>
  <c r="H29" i="33"/>
  <c r="U29" i="33" s="1"/>
  <c r="F29" i="33"/>
  <c r="S29" i="33" s="1"/>
  <c r="J31" i="33"/>
  <c r="W31" i="33" s="1"/>
  <c r="H31" i="33"/>
  <c r="AB31" i="33" s="1"/>
  <c r="H45" i="33"/>
  <c r="U45" i="33" s="1"/>
  <c r="J45" i="33"/>
  <c r="W45" i="33" s="1"/>
  <c r="F45" i="33"/>
  <c r="J14" i="34"/>
  <c r="W14" i="34" s="1"/>
  <c r="H14" i="34"/>
  <c r="F30" i="34"/>
  <c r="S30" i="34" s="1"/>
  <c r="J30" i="34"/>
  <c r="H32" i="34"/>
  <c r="J32" i="34"/>
  <c r="W32" i="34" s="1"/>
  <c r="H46" i="34"/>
  <c r="U46" i="34" s="1"/>
  <c r="F46" i="34"/>
  <c r="H11" i="35"/>
  <c r="AB11" i="35" s="1"/>
  <c r="F11" i="35"/>
  <c r="S11" i="35" s="1"/>
  <c r="J26" i="36"/>
  <c r="W26" i="36"/>
  <c r="H28" i="36"/>
  <c r="U28" i="36" s="1"/>
  <c r="H32" i="36"/>
  <c r="AB32" i="36" s="1"/>
  <c r="J11" i="36"/>
  <c r="AC11" i="36" s="1"/>
  <c r="F11" i="36"/>
  <c r="F13" i="36"/>
  <c r="S13" i="36" s="1"/>
  <c r="E89" i="37"/>
  <c r="F89" i="37" s="1"/>
  <c r="G89" i="37"/>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c r="H37" i="37"/>
  <c r="U37" i="37"/>
  <c r="H40" i="37"/>
  <c r="U40" i="37"/>
  <c r="J40" i="37"/>
  <c r="AC40" i="37"/>
  <c r="F40" i="37"/>
  <c r="AA40" i="37"/>
  <c r="H14" i="33"/>
  <c r="U14" i="33" s="1"/>
  <c r="F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30" i="40"/>
  <c r="AB30" i="40" s="1"/>
  <c r="F33" i="40"/>
  <c r="AA33" i="40" s="1"/>
  <c r="H33" i="40"/>
  <c r="U33" i="40" s="1"/>
  <c r="J35" i="40"/>
  <c r="AC35" i="40" s="1"/>
  <c r="J37" i="40"/>
  <c r="AC37" i="40" s="1"/>
  <c r="H13" i="40"/>
  <c r="U13" i="40" s="1"/>
  <c r="J13" i="40"/>
  <c r="W13" i="40" s="1"/>
  <c r="F13" i="40"/>
  <c r="AA13" i="40" s="1"/>
  <c r="F14" i="37"/>
  <c r="F27" i="37"/>
  <c r="AA27" i="37" s="1"/>
  <c r="F13" i="39"/>
  <c r="H13" i="39"/>
  <c r="J14" i="37"/>
  <c r="AC14" i="37"/>
  <c r="J27" i="37"/>
  <c r="AC27" i="37"/>
  <c r="AA44" i="33"/>
  <c r="AA13" i="35"/>
  <c r="U31" i="34"/>
  <c r="U46" i="33"/>
  <c r="J36" i="37"/>
  <c r="AC36" i="37" s="1"/>
  <c r="G105" i="37"/>
  <c r="J10" i="36"/>
  <c r="AC10" i="36" s="1"/>
  <c r="AB30" i="21"/>
  <c r="W31" i="34"/>
  <c r="AB46" i="34"/>
  <c r="AA14" i="34"/>
  <c r="U31" i="33"/>
  <c r="AC28" i="21"/>
  <c r="BA585" i="3"/>
  <c r="H17" i="21"/>
  <c r="AB17" i="21" s="1"/>
  <c r="F15" i="21"/>
  <c r="S15" i="21" s="1"/>
  <c r="J41" i="39"/>
  <c r="W41" i="39" s="1"/>
  <c r="W44" i="39"/>
  <c r="S35" i="39"/>
  <c r="G540" i="3"/>
  <c r="G535" i="3"/>
  <c r="G531"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s="1"/>
  <c r="BA552" i="3"/>
  <c r="AZ552" i="3" s="1"/>
  <c r="BA548" i="3"/>
  <c r="BA546" i="3"/>
  <c r="BA544" i="3"/>
  <c r="AZ544" i="3" s="1"/>
  <c r="BA542" i="3"/>
  <c r="BA540" i="3"/>
  <c r="BA538" i="3"/>
  <c r="AZ538" i="3" s="1"/>
  <c r="BA536" i="3"/>
  <c r="AZ536" i="3" s="1"/>
  <c r="BA534" i="3"/>
  <c r="BA532" i="3"/>
  <c r="AZ532" i="3" s="1"/>
  <c r="BA530" i="3"/>
  <c r="BA528" i="3"/>
  <c r="BA526" i="3"/>
  <c r="BA524" i="3"/>
  <c r="BA522" i="3"/>
  <c r="BA520" i="3"/>
  <c r="BA518" i="3"/>
  <c r="AZ518" i="3" s="1"/>
  <c r="BA516" i="3"/>
  <c r="BA514" i="3"/>
  <c r="BA512" i="3"/>
  <c r="AZ512" i="3" s="1"/>
  <c r="BA510" i="3"/>
  <c r="BA508" i="3"/>
  <c r="BA506" i="3"/>
  <c r="BA504" i="3"/>
  <c r="BA502" i="3"/>
  <c r="BA500" i="3"/>
  <c r="BA498" i="3"/>
  <c r="AZ498" i="3" s="1"/>
  <c r="BA496" i="3"/>
  <c r="BA494" i="3"/>
  <c r="BA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G125" i="33" s="1"/>
  <c r="H43" i="33"/>
  <c r="AB43" i="33"/>
  <c r="H17" i="37"/>
  <c r="U17" i="37" s="1"/>
  <c r="AB27" i="37"/>
  <c r="U32" i="33"/>
  <c r="AA36" i="39"/>
  <c r="F39" i="33"/>
  <c r="AA39" i="33"/>
  <c r="E123" i="33"/>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W14" i="37"/>
  <c r="AB28" i="37"/>
  <c r="U33" i="37"/>
  <c r="U39" i="37"/>
  <c r="W26" i="37"/>
  <c r="W47" i="34"/>
  <c r="AB13" i="34"/>
  <c r="AC36" i="34"/>
  <c r="AC31" i="33"/>
  <c r="AC45" i="33"/>
  <c r="W44" i="33"/>
  <c r="U11" i="33"/>
  <c r="AC46" i="21"/>
  <c r="U12" i="21"/>
  <c r="AB38" i="21"/>
  <c r="F43" i="33"/>
  <c r="AA43" i="33"/>
  <c r="W15" i="34"/>
  <c r="AC15" i="34"/>
  <c r="W16" i="35"/>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4" i="3"/>
  <c r="AZ28"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AZ148" i="3"/>
  <c r="G149" i="3"/>
  <c r="BA151" i="3"/>
  <c r="AZ151" i="3" s="1"/>
  <c r="BL152" i="3"/>
  <c r="G153" i="3"/>
  <c r="BA155" i="3"/>
  <c r="AZ155" i="3" s="1"/>
  <c r="BL156" i="3"/>
  <c r="AZ156" i="3" s="1"/>
  <c r="G157" i="3"/>
  <c r="BA159" i="3"/>
  <c r="BL160" i="3"/>
  <c r="AZ160" i="3" s="1"/>
  <c r="G161" i="3"/>
  <c r="BA163" i="3"/>
  <c r="BL164" i="3"/>
  <c r="AZ164" i="3" s="1"/>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204" i="3" s="1"/>
  <c r="AZ59" i="3"/>
  <c r="AZ63" i="3"/>
  <c r="AZ75" i="3"/>
  <c r="AZ79" i="3"/>
  <c r="AZ136" i="3"/>
  <c r="AZ144" i="3"/>
  <c r="AZ176" i="3"/>
  <c r="AZ184" i="3"/>
  <c r="AZ200" i="3"/>
  <c r="AZ89" i="3"/>
  <c r="AZ97" i="3"/>
  <c r="AZ101" i="3"/>
  <c r="AZ105" i="3"/>
  <c r="AZ109"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54" i="3"/>
  <c r="AZ170" i="3"/>
  <c r="AZ174" i="3"/>
  <c r="AZ182" i="3"/>
  <c r="AZ190" i="3"/>
  <c r="AZ198" i="3"/>
  <c r="AZ202" i="3"/>
  <c r="AZ206" i="3"/>
  <c r="AZ500" i="3"/>
  <c r="BA16" i="3"/>
  <c r="BL303" i="3"/>
  <c r="G304" i="3"/>
  <c r="BA306" i="3"/>
  <c r="AZ306" i="3" s="1"/>
  <c r="BL307" i="3"/>
  <c r="AZ307" i="3" s="1"/>
  <c r="G308" i="3"/>
  <c r="BA310" i="3"/>
  <c r="AZ310" i="3" s="1"/>
  <c r="BL311" i="3"/>
  <c r="AZ311" i="3" s="1"/>
  <c r="G312" i="3"/>
  <c r="BA314" i="3"/>
  <c r="AZ314" i="3" s="1"/>
  <c r="BL315" i="3"/>
  <c r="G316" i="3"/>
  <c r="BA318" i="3"/>
  <c r="BL319" i="3"/>
  <c r="AZ319" i="3" s="1"/>
  <c r="G320" i="3"/>
  <c r="BA322" i="3"/>
  <c r="AZ322" i="3" s="1"/>
  <c r="BL323" i="3"/>
  <c r="AZ323" i="3" s="1"/>
  <c r="G324" i="3"/>
  <c r="BA326" i="3"/>
  <c r="AZ326" i="3"/>
  <c r="BL327" i="3"/>
  <c r="AZ327" i="3"/>
  <c r="G328" i="3"/>
  <c r="BA330" i="3"/>
  <c r="AZ330" i="3" s="1"/>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41" i="3"/>
  <c r="AZ245" i="3"/>
  <c r="AZ257" i="3"/>
  <c r="AZ261" i="3"/>
  <c r="AZ265" i="3"/>
  <c r="BA379" i="3"/>
  <c r="BL380" i="3"/>
  <c r="G381" i="3"/>
  <c r="BA383" i="3"/>
  <c r="AZ383" i="3" s="1"/>
  <c r="BL384" i="3"/>
  <c r="AZ384" i="3" s="1"/>
  <c r="G385" i="3"/>
  <c r="BA387" i="3"/>
  <c r="AZ387" i="3" s="1"/>
  <c r="BL388" i="3"/>
  <c r="G389" i="3"/>
  <c r="BA391" i="3"/>
  <c r="AZ391" i="3" s="1"/>
  <c r="BL392" i="3"/>
  <c r="AZ392" i="3" s="1"/>
  <c r="G393" i="3"/>
  <c r="AZ263" i="3"/>
  <c r="AZ279" i="3"/>
  <c r="AZ283" i="3"/>
  <c r="AZ291" i="3"/>
  <c r="BO5" i="3"/>
  <c r="BM5" i="3"/>
  <c r="BJ5" i="3"/>
  <c r="BH5" i="3"/>
  <c r="BF5" i="3"/>
  <c r="BD5" i="3"/>
  <c r="AZ317" i="3"/>
  <c r="AZ333" i="3"/>
  <c r="BQ5" i="3"/>
  <c r="AC5" i="3"/>
  <c r="AZ549" i="3"/>
  <c r="AZ506" i="3"/>
  <c r="AZ496" i="3"/>
  <c r="G548" i="3"/>
  <c r="G538" i="3"/>
  <c r="G520" i="3"/>
  <c r="G502" i="3"/>
  <c r="BS5" i="3"/>
  <c r="BP5" i="3"/>
  <c r="G29" i="6" s="1"/>
  <c r="BN5" i="3"/>
  <c r="BG5" i="3"/>
  <c r="BE5" i="3"/>
  <c r="BC5" i="3"/>
  <c r="G17" i="3"/>
  <c r="BA17" i="3"/>
  <c r="BT5" i="3"/>
  <c r="AZ364" i="3"/>
  <c r="AZ368" i="3"/>
  <c r="BA15" i="3"/>
  <c r="AZ15" i="3" s="1"/>
  <c r="BB5" i="3"/>
  <c r="BR5" i="3"/>
  <c r="AZ388" i="3"/>
  <c r="AZ396" i="3"/>
  <c r="AZ499" i="3"/>
  <c r="AZ509" i="3"/>
  <c r="G509" i="3"/>
  <c r="BL493" i="3"/>
  <c r="AZ493" i="3"/>
  <c r="U36" i="40"/>
  <c r="F83" i="43"/>
  <c r="H85" i="43" s="1"/>
  <c r="F50" i="43"/>
  <c r="H54" i="43" s="1"/>
  <c r="F72" i="43"/>
  <c r="H75" i="43" s="1"/>
  <c r="U17" i="39"/>
  <c r="S14" i="35"/>
  <c r="U43" i="21"/>
  <c r="AC35" i="21"/>
  <c r="G8" i="1"/>
  <c r="G10" i="1"/>
  <c r="AC11" i="39"/>
  <c r="AZ563" i="3"/>
  <c r="AZ501" i="3"/>
  <c r="W37" i="37"/>
  <c r="W44" i="34"/>
  <c r="S15" i="37"/>
  <c r="U13" i="37"/>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43" i="3"/>
  <c r="AZ248" i="3"/>
  <c r="AZ259" i="3"/>
  <c r="AZ280" i="3"/>
  <c r="AZ288" i="3"/>
  <c r="AZ114" i="3"/>
  <c r="AZ130" i="3"/>
  <c r="AZ21" i="3"/>
  <c r="AZ58" i="3"/>
  <c r="AZ61" i="3"/>
  <c r="AZ77"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K6" i="1"/>
  <c r="AP6" i="1" s="1"/>
  <c r="AC26" i="33"/>
  <c r="W26" i="33"/>
  <c r="AB33" i="36"/>
  <c r="U33" i="36"/>
  <c r="AC12" i="39"/>
  <c r="W12" i="39"/>
  <c r="AC39" i="40"/>
  <c r="W39" i="40"/>
  <c r="AZ401" i="3"/>
  <c r="AZ417" i="3"/>
  <c r="AZ433" i="3"/>
  <c r="AZ465" i="3"/>
  <c r="W12" i="33"/>
  <c r="AC12" i="33"/>
  <c r="AZ408" i="3"/>
  <c r="AZ457" i="3"/>
  <c r="AZ473" i="3"/>
  <c r="AZ490" i="3"/>
  <c r="BL14" i="3"/>
  <c r="U30" i="33"/>
  <c r="AC13" i="34"/>
  <c r="AA47" i="34"/>
  <c r="W28" i="37"/>
  <c r="S19" i="39"/>
  <c r="F12" i="33"/>
  <c r="S12" i="33" s="1"/>
  <c r="H12" i="39"/>
  <c r="AB12" i="39" s="1"/>
  <c r="F39" i="40"/>
  <c r="AA39" i="40" s="1"/>
  <c r="BA14" i="3"/>
  <c r="AZ14" i="3"/>
  <c r="AZ213" i="3"/>
  <c r="AZ234" i="3"/>
  <c r="AZ250" i="3"/>
  <c r="AZ281" i="3"/>
  <c r="AZ286" i="3"/>
  <c r="AZ149" i="3"/>
  <c r="AZ165" i="3"/>
  <c r="AZ181" i="3"/>
  <c r="AZ189" i="3"/>
  <c r="AZ197" i="3"/>
  <c r="AZ19" i="3"/>
  <c r="AZ26" i="3"/>
  <c r="B12" i="1"/>
  <c r="E12" i="1" s="1"/>
  <c r="B10" i="1"/>
  <c r="E10" i="1" s="1"/>
  <c r="AZ107" i="3"/>
  <c r="AZ111" i="3"/>
  <c r="K12" i="1"/>
  <c r="M12" i="1" s="1"/>
  <c r="S13" i="1"/>
  <c r="AR13" i="1" s="1"/>
  <c r="R13" i="1"/>
  <c r="C42" i="1"/>
  <c r="C24" i="12" s="1"/>
  <c r="AC34" i="33"/>
  <c r="AA34" i="33"/>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26" i="36"/>
  <c r="S33" i="36"/>
  <c r="AA26" i="36"/>
  <c r="AC26" i="36"/>
  <c r="AA22" i="36"/>
  <c r="W14" i="36"/>
  <c r="AB14" i="36"/>
  <c r="U22" i="36"/>
  <c r="S16" i="36"/>
  <c r="S24" i="36"/>
  <c r="U24" i="36"/>
  <c r="U23" i="36"/>
  <c r="AB20" i="36"/>
  <c r="U16" i="36"/>
  <c r="S14" i="36"/>
  <c r="S23"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W38" i="37"/>
  <c r="AC35" i="37"/>
  <c r="S30" i="37"/>
  <c r="S37" i="37"/>
  <c r="AC15" i="37"/>
  <c r="J17" i="37"/>
  <c r="W17" i="37" s="1"/>
  <c r="G73" i="37"/>
  <c r="F17" i="37"/>
  <c r="AB17" i="37"/>
  <c r="F75" i="37"/>
  <c r="F19" i="37"/>
  <c r="AA19" i="37" s="1"/>
  <c r="F79" i="37"/>
  <c r="F23" i="37"/>
  <c r="S23" i="37" s="1"/>
  <c r="U23" i="37"/>
  <c r="U15" i="37"/>
  <c r="AC13" i="37"/>
  <c r="AA13" i="37"/>
  <c r="H10" i="37"/>
  <c r="AB10" i="37" s="1"/>
  <c r="F63" i="37"/>
  <c r="F11" i="37"/>
  <c r="S11" i="37" s="1"/>
  <c r="S27" i="34"/>
  <c r="AB8" i="34"/>
  <c r="W41" i="34"/>
  <c r="AB35" i="34"/>
  <c r="AA45" i="34"/>
  <c r="AA29"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S46" i="33"/>
  <c r="W43" i="33"/>
  <c r="S43" i="33"/>
  <c r="F91" i="33"/>
  <c r="H27" i="33"/>
  <c r="U27" i="33" s="1"/>
  <c r="F87" i="33"/>
  <c r="H25" i="33"/>
  <c r="AB25" i="33" s="1"/>
  <c r="F25" i="33"/>
  <c r="J23" i="33"/>
  <c r="AC23" i="33" s="1"/>
  <c r="F85" i="33"/>
  <c r="H23" i="33"/>
  <c r="AB23" i="33" s="1"/>
  <c r="F81" i="33"/>
  <c r="F19" i="33"/>
  <c r="W19" i="33"/>
  <c r="J17" i="33"/>
  <c r="F79" i="33"/>
  <c r="S15" i="33"/>
  <c r="W15" i="33"/>
  <c r="J10" i="33"/>
  <c r="W10" i="33" s="1"/>
  <c r="H10" i="33"/>
  <c r="U10" i="33" s="1"/>
  <c r="AC11" i="33"/>
  <c r="AB14" i="33"/>
  <c r="W43" i="21"/>
  <c r="W41" i="21"/>
  <c r="AA36" i="21"/>
  <c r="AC40" i="21"/>
  <c r="J15" i="21"/>
  <c r="W15" i="21" s="1"/>
  <c r="F77" i="21"/>
  <c r="G77" i="21" s="1"/>
  <c r="F23" i="21"/>
  <c r="E85" i="21"/>
  <c r="AA14" i="21"/>
  <c r="D120" i="9"/>
  <c r="D121" i="9" s="1"/>
  <c r="D7" i="52" s="1"/>
  <c r="C18" i="9"/>
  <c r="D18" i="9" s="1"/>
  <c r="F34" i="67"/>
  <c r="F62" i="67" s="1"/>
  <c r="M20" i="67"/>
  <c r="F34" i="15"/>
  <c r="F62" i="15" s="1"/>
  <c r="G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U32" i="36"/>
  <c r="W29" i="36"/>
  <c r="AB28" i="36"/>
  <c r="AA13" i="36"/>
  <c r="W9" i="36"/>
  <c r="W22" i="36"/>
  <c r="S9" i="36"/>
  <c r="AB20" i="35"/>
  <c r="S24" i="35"/>
  <c r="U24" i="35"/>
  <c r="AA16" i="35"/>
  <c r="AA35" i="37"/>
  <c r="W36" i="37"/>
  <c r="S27" i="37"/>
  <c r="S28" i="37"/>
  <c r="W32" i="37"/>
  <c r="U36" i="37"/>
  <c r="S40" i="37"/>
  <c r="U38" i="37"/>
  <c r="AB37" i="37"/>
  <c r="AC34" i="37"/>
  <c r="AA31" i="37"/>
  <c r="U19" i="37"/>
  <c r="AA29" i="37"/>
  <c r="U8" i="37"/>
  <c r="U19" i="34"/>
  <c r="W19" i="34"/>
  <c r="AB33" i="34"/>
  <c r="AC45" i="34"/>
  <c r="AA31" i="34"/>
  <c r="AA30" i="34"/>
  <c r="AB45" i="34"/>
  <c r="AB47" i="34"/>
  <c r="U25" i="34"/>
  <c r="AC14" i="34"/>
  <c r="AC32" i="34"/>
  <c r="AC29" i="34"/>
  <c r="W29" i="34"/>
  <c r="W46" i="34"/>
  <c r="AC46" i="34"/>
  <c r="S32" i="34"/>
  <c r="AA32" i="34"/>
  <c r="U30" i="34"/>
  <c r="AB30" i="34"/>
  <c r="S37" i="34"/>
  <c r="AA19" i="34"/>
  <c r="S19" i="34"/>
  <c r="AA36" i="34"/>
  <c r="S36" i="34"/>
  <c r="AA8" i="34"/>
  <c r="S8" i="34"/>
  <c r="S46" i="34"/>
  <c r="AA46" i="34"/>
  <c r="U32" i="34"/>
  <c r="AB32" i="34"/>
  <c r="U14" i="34"/>
  <c r="AB14" i="34"/>
  <c r="W43" i="34"/>
  <c r="W35" i="34"/>
  <c r="AB28" i="33"/>
  <c r="AC37" i="33"/>
  <c r="W46" i="33"/>
  <c r="U39" i="33"/>
  <c r="U38" i="33"/>
  <c r="S33" i="33"/>
  <c r="U44" i="33"/>
  <c r="AB44" i="33"/>
  <c r="S30" i="33"/>
  <c r="AA30" i="33"/>
  <c r="AC14" i="33"/>
  <c r="W14" i="33"/>
  <c r="AC30" i="33"/>
  <c r="W30" i="33"/>
  <c r="S31" i="33"/>
  <c r="AA31" i="33"/>
  <c r="W13" i="33"/>
  <c r="AC13" i="33"/>
  <c r="U15" i="33"/>
  <c r="S11" i="33"/>
  <c r="U37" i="33"/>
  <c r="AC28" i="33"/>
  <c r="S28" i="33"/>
  <c r="W8" i="33"/>
  <c r="S45" i="21"/>
  <c r="I101" i="21"/>
  <c r="J101" i="21" s="1"/>
  <c r="K101" i="21" s="1"/>
  <c r="L101" i="21" s="1"/>
  <c r="M101" i="21" s="1"/>
  <c r="F33" i="21"/>
  <c r="AA33" i="21" s="1"/>
  <c r="J33" i="21"/>
  <c r="AC33" i="21" s="1"/>
  <c r="H33" i="21"/>
  <c r="AB33" i="21" s="1"/>
  <c r="F37" i="21"/>
  <c r="AA37" i="21" s="1"/>
  <c r="AA26" i="21"/>
  <c r="AB14" i="21"/>
  <c r="AB46" i="21"/>
  <c r="U13" i="21"/>
  <c r="AB13" i="21"/>
  <c r="J37" i="21"/>
  <c r="W37" i="21" s="1"/>
  <c r="H15" i="21"/>
  <c r="U15" i="21" s="1"/>
  <c r="J17" i="21"/>
  <c r="AC17" i="21" s="1"/>
  <c r="AC19" i="21"/>
  <c r="W39" i="21"/>
  <c r="AC14" i="21"/>
  <c r="W30" i="21"/>
  <c r="S46" i="21"/>
  <c r="H45" i="21"/>
  <c r="U45" i="21"/>
  <c r="F29" i="21"/>
  <c r="S29" i="21" s="1"/>
  <c r="F13" i="21"/>
  <c r="AA13" i="21" s="1"/>
  <c r="AC38" i="21"/>
  <c r="H32" i="21"/>
  <c r="U32" i="21" s="1"/>
  <c r="J9" i="21"/>
  <c r="AC9" i="21" s="1"/>
  <c r="J32" i="21"/>
  <c r="W32" i="21" s="1"/>
  <c r="F32" i="21"/>
  <c r="S19" i="21"/>
  <c r="K141" i="21"/>
  <c r="K144" i="21"/>
  <c r="K143" i="21"/>
  <c r="AB25" i="21"/>
  <c r="AA30" i="21"/>
  <c r="W13" i="21"/>
  <c r="AC45" i="21"/>
  <c r="F10" i="21"/>
  <c r="AA10" i="21" s="1"/>
  <c r="K145" i="21"/>
  <c r="W25" i="21"/>
  <c r="AA29" i="21"/>
  <c r="S27" i="21"/>
  <c r="AA15" i="21"/>
  <c r="AC34" i="21"/>
  <c r="W12" i="21"/>
  <c r="AB36" i="21"/>
  <c r="W30" i="40"/>
  <c r="C15" i="40"/>
  <c r="C17" i="40"/>
  <c r="C23" i="40"/>
  <c r="C21" i="40"/>
  <c r="U30" i="40"/>
  <c r="B51" i="43"/>
  <c r="B54" i="43"/>
  <c r="B65" i="43"/>
  <c r="D23" i="15"/>
  <c r="D22" i="15"/>
  <c r="E4" i="4"/>
  <c r="B5" i="62" s="1"/>
  <c r="B73" i="72" s="1"/>
  <c r="C4" i="4"/>
  <c r="F30" i="68"/>
  <c r="F48" i="68" s="1"/>
  <c r="F28" i="67"/>
  <c r="F52" i="9"/>
  <c r="F32" i="67"/>
  <c r="F60" i="67" s="1"/>
  <c r="F32" i="15"/>
  <c r="F60" i="15" s="1"/>
  <c r="F28" i="15"/>
  <c r="S39" i="40"/>
  <c r="AA12" i="33"/>
  <c r="F54" i="9"/>
  <c r="J32" i="39"/>
  <c r="AC32" i="39" s="1"/>
  <c r="H32" i="39"/>
  <c r="AB32" i="39" s="1"/>
  <c r="AA32" i="39"/>
  <c r="S32" i="39"/>
  <c r="AB21" i="39"/>
  <c r="U21" i="39"/>
  <c r="AA21" i="39"/>
  <c r="S21" i="39"/>
  <c r="AC17" i="37"/>
  <c r="J19" i="37"/>
  <c r="W19" i="37" s="1"/>
  <c r="G75" i="37"/>
  <c r="S19" i="37"/>
  <c r="AA23" i="37"/>
  <c r="J23" i="37"/>
  <c r="G79" i="37"/>
  <c r="J10" i="37"/>
  <c r="W10" i="37" s="1"/>
  <c r="G63" i="37"/>
  <c r="H63" i="37" s="1"/>
  <c r="H11" i="37"/>
  <c r="AB11" i="37" s="1"/>
  <c r="G70" i="34"/>
  <c r="H11" i="34"/>
  <c r="U11" i="34" s="1"/>
  <c r="J10" i="34"/>
  <c r="AC10" i="34" s="1"/>
  <c r="AB41" i="33"/>
  <c r="U41" i="33"/>
  <c r="AC35" i="33"/>
  <c r="H111" i="33"/>
  <c r="I111" i="33" s="1"/>
  <c r="J111" i="33" s="1"/>
  <c r="K111" i="33" s="1"/>
  <c r="L111" i="33" s="1"/>
  <c r="M111" i="33" s="1"/>
  <c r="J36" i="33"/>
  <c r="W36" i="33" s="1"/>
  <c r="H36" i="33"/>
  <c r="U36" i="33" s="1"/>
  <c r="S36" i="33"/>
  <c r="AC32" i="33"/>
  <c r="W32" i="33"/>
  <c r="AB27" i="33"/>
  <c r="G91" i="33"/>
  <c r="H91" i="33"/>
  <c r="I91" i="33" s="1"/>
  <c r="J91" i="33" s="1"/>
  <c r="K91" i="33" s="1"/>
  <c r="L91" i="33" s="1"/>
  <c r="M91" i="33" s="1"/>
  <c r="J27" i="33"/>
  <c r="U25" i="33"/>
  <c r="S25" i="33"/>
  <c r="AA25" i="33"/>
  <c r="G87" i="33"/>
  <c r="H87" i="33" s="1"/>
  <c r="I87" i="33" s="1"/>
  <c r="J87" i="33" s="1"/>
  <c r="K87" i="33" s="1"/>
  <c r="L87" i="33" s="1"/>
  <c r="M87" i="33" s="1"/>
  <c r="J25" i="33"/>
  <c r="U23" i="33"/>
  <c r="F23" i="33"/>
  <c r="G85" i="33"/>
  <c r="W23" i="33"/>
  <c r="H19" i="33"/>
  <c r="U19" i="33" s="1"/>
  <c r="G81" i="33"/>
  <c r="G79" i="33"/>
  <c r="H17" i="33"/>
  <c r="F17" i="33"/>
  <c r="W17" i="33"/>
  <c r="AC17" i="33"/>
  <c r="J23" i="21"/>
  <c r="W23" i="21" s="1"/>
  <c r="F85" i="21"/>
  <c r="G85" i="21"/>
  <c r="H23" i="21"/>
  <c r="AB23" i="21" s="1"/>
  <c r="S13" i="21"/>
  <c r="D6" i="52"/>
  <c r="AP7" i="1"/>
  <c r="AB45" i="21"/>
  <c r="W9" i="21"/>
  <c r="A18" i="62"/>
  <c r="B64" i="72" s="1"/>
  <c r="U32" i="39"/>
  <c r="W32" i="39"/>
  <c r="AC19" i="37"/>
  <c r="W23" i="37"/>
  <c r="AC23" i="37"/>
  <c r="I63" i="37"/>
  <c r="J63" i="37" s="1"/>
  <c r="K63" i="37" s="1"/>
  <c r="L63" i="37" s="1"/>
  <c r="M63" i="37" s="1"/>
  <c r="J11" i="37"/>
  <c r="AC11" i="37" s="1"/>
  <c r="H70" i="34"/>
  <c r="I70" i="34" s="1"/>
  <c r="J70" i="34" s="1"/>
  <c r="K70" i="34" s="1"/>
  <c r="L70" i="34" s="1"/>
  <c r="M70" i="34" s="1"/>
  <c r="J11" i="34"/>
  <c r="W11" i="34" s="1"/>
  <c r="AB36" i="33"/>
  <c r="W27" i="33"/>
  <c r="AC27" i="33"/>
  <c r="AA23" i="33"/>
  <c r="S23" i="33"/>
  <c r="AB19" i="33"/>
  <c r="U17" i="33"/>
  <c r="AB17" i="33"/>
  <c r="H109" i="9"/>
  <c r="M49" i="9" s="1"/>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F7" i="73"/>
  <c r="F36" i="15"/>
  <c r="F6" i="73"/>
  <c r="F9" i="15"/>
  <c r="F13" i="15"/>
  <c r="B13" i="76"/>
  <c r="F3" i="73"/>
  <c r="M28" i="67"/>
  <c r="B12" i="76"/>
  <c r="F5" i="73"/>
  <c r="J15" i="15"/>
  <c r="L47" i="67"/>
  <c r="M22" i="67"/>
  <c r="D35" i="9"/>
  <c r="B11" i="76"/>
  <c r="E10" i="76"/>
  <c r="D5" i="73"/>
  <c r="F40" i="15"/>
  <c r="C76" i="15"/>
  <c r="F9" i="67"/>
  <c r="L47" i="15"/>
  <c r="M9" i="67"/>
  <c r="M6" i="67"/>
  <c r="L48" i="67"/>
  <c r="F6" i="67"/>
  <c r="F6" i="15"/>
  <c r="M26" i="67"/>
  <c r="F16" i="15"/>
  <c r="B7" i="76"/>
  <c r="F37" i="15"/>
  <c r="M23" i="15"/>
  <c r="E13" i="76"/>
  <c r="M28" i="15"/>
  <c r="E11" i="76"/>
  <c r="M29" i="67"/>
  <c r="F42" i="15"/>
  <c r="F8" i="15"/>
  <c r="F37" i="67"/>
  <c r="F16" i="67"/>
  <c r="F20" i="31"/>
  <c r="D6" i="73"/>
  <c r="E12" i="76"/>
  <c r="J15" i="67"/>
  <c r="M9" i="15"/>
  <c r="F38" i="67"/>
  <c r="M6" i="15"/>
  <c r="C76" i="67"/>
  <c r="B10" i="76"/>
  <c r="F13" i="67"/>
  <c r="F26" i="67"/>
  <c r="F38" i="15"/>
  <c r="F42" i="67"/>
  <c r="F43" i="15"/>
  <c r="B8" i="76"/>
  <c r="F36" i="67"/>
  <c r="E8" i="76"/>
  <c r="M24" i="67"/>
  <c r="E9" i="76"/>
  <c r="M23" i="67"/>
  <c r="D4" i="73"/>
  <c r="E2" i="69"/>
  <c r="AO13" i="1"/>
  <c r="M26" i="15"/>
  <c r="D7" i="73"/>
  <c r="M8" i="15"/>
  <c r="M8" i="67"/>
  <c r="D34" i="9"/>
  <c r="M29" i="15"/>
  <c r="F4" i="73"/>
  <c r="F26" i="15"/>
  <c r="F43" i="67"/>
  <c r="E7" i="76"/>
  <c r="E2" i="68"/>
  <c r="F7" i="15"/>
  <c r="F8" i="67"/>
  <c r="F7" i="67"/>
  <c r="L48" i="15"/>
  <c r="M24" i="15"/>
  <c r="D3" i="73"/>
  <c r="B9" i="76"/>
  <c r="F40" i="67"/>
  <c r="S17" i="33" l="1"/>
  <c r="AA17" i="33"/>
  <c r="S23" i="21"/>
  <c r="AA23" i="21"/>
  <c r="S19" i="33"/>
  <c r="AA19" i="33"/>
  <c r="AA17" i="37"/>
  <c r="S17" i="37"/>
  <c r="C19" i="71"/>
  <c r="T20" i="71"/>
  <c r="D20" i="71"/>
  <c r="U20" i="71" s="1"/>
  <c r="S32" i="21"/>
  <c r="AA32" i="21"/>
  <c r="AC25" i="33"/>
  <c r="W25" i="33"/>
  <c r="AC15" i="21"/>
  <c r="S14" i="37"/>
  <c r="AA14" i="37"/>
  <c r="S14" i="33"/>
  <c r="AA14" i="33"/>
  <c r="AA11" i="36"/>
  <c r="S11" i="36"/>
  <c r="W30" i="34"/>
  <c r="AC30" i="34"/>
  <c r="AA45" i="33"/>
  <c r="S45" i="33"/>
  <c r="AC36" i="39"/>
  <c r="W36" i="39"/>
  <c r="W45" i="39"/>
  <c r="AC45" i="39"/>
  <c r="BL587" i="3"/>
  <c r="BA586" i="3"/>
  <c r="F79" i="21"/>
  <c r="G79" i="21" s="1"/>
  <c r="F17" i="21"/>
  <c r="AA35" i="34"/>
  <c r="S35" i="34"/>
  <c r="F118" i="34"/>
  <c r="G118" i="34" s="1"/>
  <c r="H40" i="34"/>
  <c r="U40" i="34" s="1"/>
  <c r="J12" i="34"/>
  <c r="F12" i="34"/>
  <c r="J25" i="35"/>
  <c r="F25" i="35"/>
  <c r="H25" i="35"/>
  <c r="J35" i="35"/>
  <c r="F35" i="35"/>
  <c r="H35" i="35"/>
  <c r="U12" i="36"/>
  <c r="AB12" i="36"/>
  <c r="J25" i="36"/>
  <c r="F25" i="36"/>
  <c r="H25" i="36"/>
  <c r="F32" i="36"/>
  <c r="J32" i="36"/>
  <c r="W32" i="36" s="1"/>
  <c r="AC31" i="37"/>
  <c r="W31" i="37"/>
  <c r="AB14" i="37"/>
  <c r="U14" i="37"/>
  <c r="J39" i="37"/>
  <c r="F39" i="37"/>
  <c r="AA38" i="39"/>
  <c r="S38" i="39"/>
  <c r="S9" i="40"/>
  <c r="AA9" i="40"/>
  <c r="J12" i="40"/>
  <c r="H12" i="40"/>
  <c r="H14" i="40"/>
  <c r="J14" i="40"/>
  <c r="F14" i="40"/>
  <c r="U41" i="21"/>
  <c r="AB41" i="21"/>
  <c r="U42" i="34"/>
  <c r="AB42" i="34"/>
  <c r="BL550" i="3"/>
  <c r="BA550" i="3"/>
  <c r="AZ550" i="3" s="1"/>
  <c r="AB34" i="33"/>
  <c r="AB35" i="37"/>
  <c r="AC20" i="36"/>
  <c r="S20" i="36"/>
  <c r="S23" i="39"/>
  <c r="AA39" i="39"/>
  <c r="W27" i="40"/>
  <c r="AZ17" i="3"/>
  <c r="AA35" i="33"/>
  <c r="U44" i="34"/>
  <c r="U32" i="37"/>
  <c r="S20" i="35"/>
  <c r="F28" i="6"/>
  <c r="AZ379" i="3"/>
  <c r="AZ345" i="3"/>
  <c r="AZ318" i="3"/>
  <c r="AZ372" i="3"/>
  <c r="AZ337" i="3"/>
  <c r="AZ320" i="3"/>
  <c r="AZ305" i="3"/>
  <c r="AZ376" i="3"/>
  <c r="AZ362" i="3"/>
  <c r="AZ360" i="3"/>
  <c r="AZ343" i="3"/>
  <c r="AB33" i="40"/>
  <c r="AA13" i="33"/>
  <c r="AZ513" i="3"/>
  <c r="AZ567" i="3"/>
  <c r="AZ575" i="3"/>
  <c r="AZ511" i="3"/>
  <c r="AZ515" i="3"/>
  <c r="AZ519" i="3"/>
  <c r="AZ565" i="3"/>
  <c r="AZ569" i="3"/>
  <c r="AZ573" i="3"/>
  <c r="AZ577" i="3"/>
  <c r="AZ510" i="3"/>
  <c r="AZ540" i="3"/>
  <c r="AZ584" i="3"/>
  <c r="AZ524" i="3"/>
  <c r="AZ528" i="3"/>
  <c r="AZ516" i="3"/>
  <c r="AZ526" i="3"/>
  <c r="W35" i="39"/>
  <c r="AB45" i="33"/>
  <c r="AC29" i="33"/>
  <c r="W29" i="33"/>
  <c r="U26" i="33"/>
  <c r="AB26" i="33"/>
  <c r="U23" i="34"/>
  <c r="AB23" i="34"/>
  <c r="AB36" i="39"/>
  <c r="U36" i="39"/>
  <c r="J27" i="21"/>
  <c r="W27" i="21" s="1"/>
  <c r="H27" i="21"/>
  <c r="J29" i="21"/>
  <c r="H29" i="21"/>
  <c r="H31" i="21"/>
  <c r="F31" i="21"/>
  <c r="AB33" i="33"/>
  <c r="U33" i="33"/>
  <c r="AC39" i="33"/>
  <c r="W39" i="33"/>
  <c r="H9" i="33"/>
  <c r="J9" i="33"/>
  <c r="H12" i="34"/>
  <c r="H9" i="34"/>
  <c r="F9" i="34"/>
  <c r="AA9" i="34" s="1"/>
  <c r="E86" i="34"/>
  <c r="F86" i="34" s="1"/>
  <c r="G86" i="34" s="1"/>
  <c r="J23" i="34"/>
  <c r="E124" i="34"/>
  <c r="F124" i="34" s="1"/>
  <c r="G124" i="34" s="1"/>
  <c r="H124" i="34" s="1"/>
  <c r="I124" i="34" s="1"/>
  <c r="J124" i="34" s="1"/>
  <c r="K124" i="34" s="1"/>
  <c r="L124" i="34" s="1"/>
  <c r="M124" i="34" s="1"/>
  <c r="H43" i="34"/>
  <c r="AB43" i="34" s="1"/>
  <c r="F12" i="35"/>
  <c r="H36" i="35"/>
  <c r="J36" i="35"/>
  <c r="W27" i="35"/>
  <c r="AC27" i="35"/>
  <c r="J23" i="36"/>
  <c r="H13" i="36"/>
  <c r="J13" i="36"/>
  <c r="W16" i="36"/>
  <c r="AC16" i="36"/>
  <c r="H34" i="36"/>
  <c r="F34" i="36"/>
  <c r="AA40" i="39"/>
  <c r="S40" i="39"/>
  <c r="AC8" i="40"/>
  <c r="W8" i="40"/>
  <c r="AB9" i="40"/>
  <c r="U9" i="40"/>
  <c r="AB34" i="40"/>
  <c r="U34" i="40"/>
  <c r="AA40" i="40"/>
  <c r="S40" i="40"/>
  <c r="J38" i="34"/>
  <c r="W38" i="34" s="1"/>
  <c r="F38" i="34"/>
  <c r="H38" i="34"/>
  <c r="AB38" i="34" s="1"/>
  <c r="AB31" i="35"/>
  <c r="U31" i="35"/>
  <c r="U30" i="36"/>
  <c r="AB30" i="36"/>
  <c r="BL586" i="3"/>
  <c r="BL585" i="3"/>
  <c r="AZ585" i="3" s="1"/>
  <c r="G578" i="3"/>
  <c r="G562" i="3"/>
  <c r="BA551" i="3"/>
  <c r="AZ551" i="3" s="1"/>
  <c r="BL548" i="3"/>
  <c r="AZ548" i="3" s="1"/>
  <c r="BK5" i="3"/>
  <c r="BA398" i="3"/>
  <c r="AZ398" i="3" s="1"/>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AZ450" i="3"/>
  <c r="AZ454" i="3"/>
  <c r="AZ459" i="3"/>
  <c r="BL16" i="3"/>
  <c r="BL5" i="3" s="1"/>
  <c r="AZ403" i="3"/>
  <c r="AZ418" i="3"/>
  <c r="AZ422" i="3"/>
  <c r="AZ434" i="3"/>
  <c r="BA439" i="3"/>
  <c r="AZ439" i="3" s="1"/>
  <c r="BL441" i="3"/>
  <c r="AZ441" i="3" s="1"/>
  <c r="G443" i="3"/>
  <c r="G445" i="3"/>
  <c r="BL445" i="3"/>
  <c r="G447" i="3"/>
  <c r="BL447" i="3"/>
  <c r="BA448" i="3"/>
  <c r="AZ448" i="3" s="1"/>
  <c r="BA451" i="3"/>
  <c r="AZ451" i="3" s="1"/>
  <c r="BL451" i="3"/>
  <c r="BA452" i="3"/>
  <c r="AZ452" i="3" s="1"/>
  <c r="G457" i="3"/>
  <c r="G458" i="3"/>
  <c r="G462" i="3"/>
  <c r="G464" i="3"/>
  <c r="BL464" i="3"/>
  <c r="G467" i="3"/>
  <c r="BL467" i="3"/>
  <c r="BA468" i="3"/>
  <c r="AZ468" i="3" s="1"/>
  <c r="BA469" i="3"/>
  <c r="BL469" i="3"/>
  <c r="G472" i="3"/>
  <c r="BL472" i="3"/>
  <c r="AZ472" i="3" s="1"/>
  <c r="BA474" i="3"/>
  <c r="AZ474" i="3" s="1"/>
  <c r="BA476" i="3"/>
  <c r="AZ476" i="3" s="1"/>
  <c r="BA477" i="3"/>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AZ205" i="3"/>
  <c r="BL173" i="3"/>
  <c r="AZ173" i="3" s="1"/>
  <c r="G176" i="3"/>
  <c r="BL178" i="3"/>
  <c r="AZ178" i="3" s="1"/>
  <c r="BA180" i="3"/>
  <c r="AZ180" i="3" s="1"/>
  <c r="G182" i="3"/>
  <c r="G183" i="3"/>
  <c r="G186" i="3"/>
  <c r="BL186" i="3"/>
  <c r="AZ186" i="3" s="1"/>
  <c r="BA188" i="3"/>
  <c r="AZ188" i="3" s="1"/>
  <c r="G190" i="3"/>
  <c r="G191" i="3"/>
  <c r="BL194" i="3"/>
  <c r="AZ194" i="3" s="1"/>
  <c r="BA196" i="3"/>
  <c r="AZ196" i="3" s="1"/>
  <c r="G198" i="3"/>
  <c r="G199" i="3"/>
  <c r="G202" i="3"/>
  <c r="G203" i="3"/>
  <c r="G205" i="3"/>
  <c r="BL205" i="3"/>
  <c r="G18" i="3"/>
  <c r="BL18" i="3"/>
  <c r="BL20" i="3"/>
  <c r="AZ20" i="3" s="1"/>
  <c r="G23" i="3"/>
  <c r="BL23" i="3"/>
  <c r="AZ23" i="3" s="1"/>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C27" i="71"/>
  <c r="D28" i="71"/>
  <c r="U28" i="71" s="1"/>
  <c r="T28" i="71"/>
  <c r="T36" i="71"/>
  <c r="D36" i="71"/>
  <c r="C64" i="71"/>
  <c r="D63" i="71"/>
  <c r="AZ18" i="3"/>
  <c r="AZ27" i="3"/>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99" i="3"/>
  <c r="G101" i="3"/>
  <c r="G102" i="3"/>
  <c r="G103" i="3"/>
  <c r="BL103" i="3"/>
  <c r="G105" i="3"/>
  <c r="G106" i="3"/>
  <c r="BL106" i="3"/>
  <c r="G109" i="3"/>
  <c r="G110" i="3"/>
  <c r="G111" i="3"/>
  <c r="G112" i="3"/>
  <c r="J78" i="43"/>
  <c r="D78" i="43"/>
  <c r="U21" i="21"/>
  <c r="T44" i="71"/>
  <c r="D44" i="71"/>
  <c r="D50" i="71"/>
  <c r="C51" i="71"/>
  <c r="D58" i="71"/>
  <c r="C59" i="71"/>
  <c r="F3" i="35"/>
  <c r="J51" i="67"/>
  <c r="AC18" i="35"/>
  <c r="W29" i="39"/>
  <c r="S18" i="36"/>
  <c r="C25" i="40"/>
  <c r="D56" i="71"/>
  <c r="C75" i="71"/>
  <c r="C67" i="71"/>
  <c r="Q67" i="71"/>
  <c r="E67" i="71"/>
  <c r="Q65" i="71"/>
  <c r="AA3" i="71"/>
  <c r="D42" i="71"/>
  <c r="Y30" i="71"/>
  <c r="Z30" i="71" s="1"/>
  <c r="X29" i="71"/>
  <c r="F35" i="71"/>
  <c r="F36" i="71" s="1"/>
  <c r="V36" i="71" s="1"/>
  <c r="Y34" i="71"/>
  <c r="Z34" i="71" s="1"/>
  <c r="X32" i="71"/>
  <c r="AA29" i="71"/>
  <c r="E47" i="71"/>
  <c r="E48" i="71" s="1"/>
  <c r="U48" i="71" s="1"/>
  <c r="V24" i="71"/>
  <c r="H28" i="34"/>
  <c r="C21" i="39"/>
  <c r="B69" i="43"/>
  <c r="B58" i="43"/>
  <c r="B67" i="43"/>
  <c r="C27" i="39"/>
  <c r="AB17" i="34"/>
  <c r="AB36" i="34"/>
  <c r="AB40" i="34"/>
  <c r="AC42" i="34"/>
  <c r="U43" i="34"/>
  <c r="AC38" i="34"/>
  <c r="S44" i="34"/>
  <c r="S42" i="34"/>
  <c r="AB41" i="34"/>
  <c r="U39" i="34"/>
  <c r="W33" i="34"/>
  <c r="F92" i="34"/>
  <c r="G92" i="34" s="1"/>
  <c r="H92" i="34" s="1"/>
  <c r="I92" i="34" s="1"/>
  <c r="J92" i="34" s="1"/>
  <c r="K92" i="34" s="1"/>
  <c r="L92" i="34" s="1"/>
  <c r="M92" i="34" s="1"/>
  <c r="F28" i="34"/>
  <c r="AA28" i="34" s="1"/>
  <c r="J28" i="34"/>
  <c r="W28" i="34" s="1"/>
  <c r="W27" i="34"/>
  <c r="AA25" i="34"/>
  <c r="S17" i="34"/>
  <c r="AC17" i="34"/>
  <c r="C19" i="39"/>
  <c r="C25" i="39"/>
  <c r="B79" i="43"/>
  <c r="B75" i="43"/>
  <c r="B56" i="43"/>
  <c r="B76" i="43"/>
  <c r="B62" i="43"/>
  <c r="B73" i="43"/>
  <c r="W25" i="34"/>
  <c r="AC28" i="34"/>
  <c r="S28" i="34"/>
  <c r="U27" i="34"/>
  <c r="S43" i="34"/>
  <c r="W40" i="34"/>
  <c r="AA40" i="34"/>
  <c r="AC39" i="34"/>
  <c r="AA39" i="34"/>
  <c r="U38" i="34"/>
  <c r="AA33" i="34"/>
  <c r="W8" i="34"/>
  <c r="W9" i="34"/>
  <c r="AB9" i="34"/>
  <c r="U9" i="34"/>
  <c r="H50" i="43"/>
  <c r="H69" i="43"/>
  <c r="AA9" i="21"/>
  <c r="S9" i="21"/>
  <c r="H9" i="21"/>
  <c r="F44" i="21"/>
  <c r="AA44" i="21" s="1"/>
  <c r="U40" i="21"/>
  <c r="S40" i="21"/>
  <c r="AC29" i="21"/>
  <c r="W29" i="21"/>
  <c r="S28" i="21"/>
  <c r="AC27" i="21"/>
  <c r="W31" i="21"/>
  <c r="U28" i="21"/>
  <c r="U23" i="21"/>
  <c r="S21" i="21"/>
  <c r="U17" i="21"/>
  <c r="AB15" i="21"/>
  <c r="AC23" i="21"/>
  <c r="W42" i="21"/>
  <c r="W44" i="21"/>
  <c r="AB44" i="21"/>
  <c r="AA43" i="21"/>
  <c r="S37" i="21"/>
  <c r="W36" i="21"/>
  <c r="AB32" i="21"/>
  <c r="AB42" i="21"/>
  <c r="S42" i="21"/>
  <c r="S39" i="21"/>
  <c r="AB39" i="21"/>
  <c r="AA38" i="21"/>
  <c r="S35" i="21"/>
  <c r="U35" i="21"/>
  <c r="AC26" i="21"/>
  <c r="U26" i="21"/>
  <c r="BA13" i="3"/>
  <c r="BA5" i="3" s="1"/>
  <c r="BI5" i="3"/>
  <c r="D68" i="9"/>
  <c r="M18" i="15"/>
  <c r="F30" i="69"/>
  <c r="F48" i="69" s="1"/>
  <c r="M18" i="67"/>
  <c r="F31" i="12"/>
  <c r="F30" i="11"/>
  <c r="C48" i="11" s="1"/>
  <c r="D93" i="9"/>
  <c r="G6" i="1"/>
  <c r="G16" i="1" s="1"/>
  <c r="F10" i="39" s="1"/>
  <c r="I24" i="43"/>
  <c r="C28" i="67"/>
  <c r="E19" i="71"/>
  <c r="E18" i="71" s="1"/>
  <c r="E17" i="71" s="1"/>
  <c r="E16" i="71" s="1"/>
  <c r="V20" i="71"/>
  <c r="AZ583" i="3"/>
  <c r="AZ558" i="3"/>
  <c r="AC32" i="40"/>
  <c r="W32" i="40"/>
  <c r="D19" i="53"/>
  <c r="B38" i="72" s="1"/>
  <c r="D16" i="53"/>
  <c r="B34" i="72" s="1"/>
  <c r="W17" i="21"/>
  <c r="U12" i="39"/>
  <c r="AA27" i="40"/>
  <c r="G28" i="6"/>
  <c r="F29" i="6"/>
  <c r="AA41" i="34"/>
  <c r="AZ521" i="3"/>
  <c r="AZ587" i="3"/>
  <c r="AZ504" i="3"/>
  <c r="AZ508" i="3"/>
  <c r="AZ520" i="3"/>
  <c r="AZ534" i="3"/>
  <c r="AZ542" i="3"/>
  <c r="AZ556" i="3"/>
  <c r="W11" i="35"/>
  <c r="AC11" i="35"/>
  <c r="AA38" i="40"/>
  <c r="S38" i="40"/>
  <c r="AZ409" i="3"/>
  <c r="AZ416" i="3"/>
  <c r="AZ425" i="3"/>
  <c r="AZ432" i="3"/>
  <c r="AZ445" i="3"/>
  <c r="AZ447" i="3"/>
  <c r="AZ464" i="3"/>
  <c r="AZ467" i="3"/>
  <c r="W33" i="33"/>
  <c r="U35" i="33"/>
  <c r="U34" i="35"/>
  <c r="W34" i="35"/>
  <c r="H12" i="33"/>
  <c r="J23" i="35"/>
  <c r="F25" i="37"/>
  <c r="J25" i="37"/>
  <c r="F26" i="37"/>
  <c r="H26" i="37"/>
  <c r="F44" i="39"/>
  <c r="H38" i="40"/>
  <c r="J38" i="40"/>
  <c r="H39" i="40"/>
  <c r="AZ475" i="3"/>
  <c r="AZ483" i="3"/>
  <c r="AZ489" i="3"/>
  <c r="AZ316" i="3"/>
  <c r="AZ332" i="3"/>
  <c r="AZ397" i="3"/>
  <c r="AZ212" i="3"/>
  <c r="AZ217" i="3"/>
  <c r="AZ220" i="3"/>
  <c r="AZ228" i="3"/>
  <c r="AZ231" i="3"/>
  <c r="AZ244" i="3"/>
  <c r="AZ247" i="3"/>
  <c r="AZ260" i="3"/>
  <c r="AZ264" i="3"/>
  <c r="AZ282" i="3"/>
  <c r="AZ285" i="3"/>
  <c r="AZ290" i="3"/>
  <c r="AZ293" i="3"/>
  <c r="AZ153" i="3"/>
  <c r="AZ169" i="3"/>
  <c r="AZ193" i="3"/>
  <c r="AZ34" i="3"/>
  <c r="AZ38" i="3"/>
  <c r="AZ44" i="3"/>
  <c r="AZ48" i="3"/>
  <c r="AZ60" i="3"/>
  <c r="AZ64" i="3"/>
  <c r="AZ78" i="3"/>
  <c r="AZ91" i="3"/>
  <c r="AZ98" i="3"/>
  <c r="D64" i="71"/>
  <c r="T64" i="71"/>
  <c r="AZ103" i="3"/>
  <c r="AZ106" i="3"/>
  <c r="C21" i="68"/>
  <c r="C40" i="69"/>
  <c r="S21" i="34"/>
  <c r="C29" i="39"/>
  <c r="B68" i="43"/>
  <c r="B77" i="43"/>
  <c r="V28" i="71"/>
  <c r="AA28" i="71"/>
  <c r="AA26" i="71"/>
  <c r="AB28" i="71"/>
  <c r="AB26" i="71"/>
  <c r="C87" i="71"/>
  <c r="E79" i="71"/>
  <c r="E78" i="71" s="1"/>
  <c r="E71" i="71"/>
  <c r="E70" i="71" s="1"/>
  <c r="D46" i="71"/>
  <c r="C31" i="71"/>
  <c r="X25" i="71"/>
  <c r="Y37" i="71"/>
  <c r="Z37" i="71" s="1"/>
  <c r="AA34" i="71"/>
  <c r="Y33" i="71"/>
  <c r="Z33" i="71" s="1"/>
  <c r="X30" i="71"/>
  <c r="E40" i="71"/>
  <c r="U40" i="71" s="1"/>
  <c r="B36" i="71"/>
  <c r="S36" i="71" s="1"/>
  <c r="B32" i="71"/>
  <c r="S32" i="71" s="1"/>
  <c r="B28" i="71"/>
  <c r="X26" i="71"/>
  <c r="X28" i="71"/>
  <c r="Y29" i="71"/>
  <c r="Z29" i="71" s="1"/>
  <c r="Y25" i="71"/>
  <c r="Z25" i="71" s="1"/>
  <c r="Y26" i="71"/>
  <c r="Z26" i="71" s="1"/>
  <c r="Y27" i="71"/>
  <c r="Z27" i="71" s="1"/>
  <c r="Y28" i="71"/>
  <c r="Z28" i="71" s="1"/>
  <c r="AB29" i="71"/>
  <c r="F30" i="71"/>
  <c r="F31" i="71" s="1"/>
  <c r="F32" i="71" s="1"/>
  <c r="V32" i="71" s="1"/>
  <c r="Y31" i="71"/>
  <c r="Z31" i="71" s="1"/>
  <c r="AA30" i="71"/>
  <c r="AA31" i="71"/>
  <c r="Y32" i="71"/>
  <c r="Z32" i="71" s="1"/>
  <c r="AB32" i="71"/>
  <c r="Y35" i="71"/>
  <c r="Z35" i="71" s="1"/>
  <c r="AA33" i="71"/>
  <c r="AA32" i="71"/>
  <c r="Y36" i="71"/>
  <c r="Z36" i="71" s="1"/>
  <c r="C39" i="71"/>
  <c r="Y9" i="71"/>
  <c r="Z9" i="71" s="1"/>
  <c r="Y10" i="71"/>
  <c r="Z10" i="71" s="1"/>
  <c r="Y39" i="71"/>
  <c r="Z39" i="71" s="1"/>
  <c r="X33" i="71"/>
  <c r="X34" i="71"/>
  <c r="X35" i="71"/>
  <c r="AA9" i="71"/>
  <c r="AA10" i="71"/>
  <c r="AA39" i="71"/>
  <c r="AA37" i="71"/>
  <c r="X22" i="71"/>
  <c r="AA24" i="71"/>
  <c r="AA22" i="71"/>
  <c r="X21" i="71"/>
  <c r="AA21" i="71"/>
  <c r="X18" i="71"/>
  <c r="AA18" i="71"/>
  <c r="X12" i="71"/>
  <c r="AA14" i="71"/>
  <c r="AB17" i="71"/>
  <c r="X9" i="71"/>
  <c r="X10" i="71"/>
  <c r="AB9" i="71"/>
  <c r="AB10" i="71"/>
  <c r="S68" i="71"/>
  <c r="B67" i="71"/>
  <c r="AB24" i="71"/>
  <c r="Y21" i="71"/>
  <c r="Z21" i="71" s="1"/>
  <c r="AB23" i="71"/>
  <c r="AB21" i="71"/>
  <c r="Y18" i="71"/>
  <c r="Z18" i="71" s="1"/>
  <c r="X17" i="71"/>
  <c r="Y17" i="71"/>
  <c r="Z17" i="71" s="1"/>
  <c r="AB18" i="71"/>
  <c r="Y14" i="71"/>
  <c r="Z14" i="71" s="1"/>
  <c r="AA17" i="71"/>
  <c r="X24" i="71"/>
  <c r="Y24" i="71"/>
  <c r="Z24" i="71" s="1"/>
  <c r="AB15" i="71"/>
  <c r="Y13" i="71"/>
  <c r="Z13" i="71" s="1"/>
  <c r="Y12" i="71"/>
  <c r="Z12" i="71" s="1"/>
  <c r="AA12" i="71"/>
  <c r="X13" i="71"/>
  <c r="AB12" i="71"/>
  <c r="AB13" i="71"/>
  <c r="Y23" i="71"/>
  <c r="Z23" i="71" s="1"/>
  <c r="Y22" i="71"/>
  <c r="Z22" i="71" s="1"/>
  <c r="AA23" i="71"/>
  <c r="X15" i="71"/>
  <c r="AA15" i="71"/>
  <c r="Y11" i="71"/>
  <c r="Z11" i="71" s="1"/>
  <c r="AA11" i="71"/>
  <c r="AA13" i="71"/>
  <c r="X11" i="71"/>
  <c r="X14" i="71"/>
  <c r="AB11" i="71"/>
  <c r="AB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P59" i="34" s="1"/>
  <c r="Q59" i="34" s="1"/>
  <c r="R59" i="34" s="1"/>
  <c r="S59" i="34" s="1"/>
  <c r="T59" i="34" s="1"/>
  <c r="U59" i="34" s="1"/>
  <c r="V59" i="34" s="1"/>
  <c r="W59" i="34" s="1"/>
  <c r="X59" i="34" s="1"/>
  <c r="Y59" i="34" s="1"/>
  <c r="Z59" i="34" s="1"/>
  <c r="AA59" i="34" s="1"/>
  <c r="AB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M22" i="15"/>
  <c r="C16" i="15"/>
  <c r="D9" i="69"/>
  <c r="F27" i="69"/>
  <c r="G1" i="73"/>
  <c r="C16" i="67"/>
  <c r="C36" i="69"/>
  <c r="E66" i="71" l="1"/>
  <c r="P67" i="71"/>
  <c r="O67" i="71"/>
  <c r="D67" i="71"/>
  <c r="C66" i="71"/>
  <c r="S38" i="34"/>
  <c r="AA38" i="34"/>
  <c r="AA34" i="36"/>
  <c r="S34" i="36"/>
  <c r="AC13" i="36"/>
  <c r="W13" i="36"/>
  <c r="AC23" i="36"/>
  <c r="W23" i="36"/>
  <c r="AB36" i="35"/>
  <c r="U36" i="35"/>
  <c r="AC23" i="34"/>
  <c r="W23" i="34"/>
  <c r="U12" i="34"/>
  <c r="AB12" i="34"/>
  <c r="AB9" i="33"/>
  <c r="U9" i="33"/>
  <c r="AB31" i="21"/>
  <c r="U31" i="21"/>
  <c r="S14" i="40"/>
  <c r="AA14" i="40"/>
  <c r="AB14" i="40"/>
  <c r="U14" i="40"/>
  <c r="AC12" i="40"/>
  <c r="W12" i="40"/>
  <c r="AC39" i="37"/>
  <c r="W39" i="37"/>
  <c r="AA32" i="36"/>
  <c r="S32" i="36"/>
  <c r="S25" i="36"/>
  <c r="AA25" i="36"/>
  <c r="AB35" i="35"/>
  <c r="U35" i="35"/>
  <c r="AC35" i="35"/>
  <c r="W35" i="35"/>
  <c r="S25" i="35"/>
  <c r="AA25" i="35"/>
  <c r="S12" i="34"/>
  <c r="AA12" i="34"/>
  <c r="AA17" i="21"/>
  <c r="S17" i="21"/>
  <c r="AZ586" i="3"/>
  <c r="G5" i="3"/>
  <c r="B3" i="3" s="1"/>
  <c r="C31" i="12"/>
  <c r="C74" i="71"/>
  <c r="D74" i="71" s="1"/>
  <c r="D75" i="71"/>
  <c r="D59" i="71"/>
  <c r="C60" i="71"/>
  <c r="D51" i="71"/>
  <c r="C52" i="71"/>
  <c r="E64" i="3"/>
  <c r="D27" i="71"/>
  <c r="C26" i="71"/>
  <c r="D26" i="71" s="1"/>
  <c r="E23" i="3"/>
  <c r="E131" i="3"/>
  <c r="E264" i="3"/>
  <c r="E244" i="3"/>
  <c r="AZ477" i="3"/>
  <c r="AZ469" i="3"/>
  <c r="E462" i="3"/>
  <c r="AZ438" i="3"/>
  <c r="AZ435" i="3"/>
  <c r="AZ419" i="3"/>
  <c r="E416" i="3"/>
  <c r="U34" i="36"/>
  <c r="AB34" i="36"/>
  <c r="AB13" i="36"/>
  <c r="U13" i="36"/>
  <c r="AC36" i="35"/>
  <c r="W36" i="35"/>
  <c r="S12" i="35"/>
  <c r="AA12" i="35"/>
  <c r="AC9" i="33"/>
  <c r="W9" i="33"/>
  <c r="S31" i="21"/>
  <c r="AA31" i="21"/>
  <c r="U29" i="21"/>
  <c r="AB29" i="21"/>
  <c r="AB27" i="21"/>
  <c r="U27" i="21"/>
  <c r="W14" i="40"/>
  <c r="AC14" i="40"/>
  <c r="AB12" i="40"/>
  <c r="U12" i="40"/>
  <c r="S39" i="37"/>
  <c r="AA39" i="37"/>
  <c r="AB25" i="36"/>
  <c r="U25" i="36"/>
  <c r="W25" i="36"/>
  <c r="AC25" i="36"/>
  <c r="AA35" i="35"/>
  <c r="S35" i="35"/>
  <c r="U25" i="35"/>
  <c r="AB25" i="35"/>
  <c r="W25" i="35"/>
  <c r="AC25" i="35"/>
  <c r="W12" i="34"/>
  <c r="AC12" i="34"/>
  <c r="C18" i="71"/>
  <c r="D19" i="71"/>
  <c r="AZ16" i="3"/>
  <c r="AZ5" i="3" s="1"/>
  <c r="AB28" i="34"/>
  <c r="U28" i="34"/>
  <c r="U9" i="21"/>
  <c r="AB9" i="21"/>
  <c r="S44" i="21"/>
  <c r="N94" i="46"/>
  <c r="E26" i="43"/>
  <c r="J26" i="43"/>
  <c r="B27" i="71"/>
  <c r="B26" i="71" s="1"/>
  <c r="S28" i="71"/>
  <c r="U39" i="40"/>
  <c r="AB39" i="40"/>
  <c r="AB38" i="40"/>
  <c r="U38" i="40"/>
  <c r="AB26" i="37"/>
  <c r="U26" i="37"/>
  <c r="AC25" i="37"/>
  <c r="W25" i="37"/>
  <c r="AC23" i="35"/>
  <c r="W23" i="35"/>
  <c r="B15" i="71"/>
  <c r="B14" i="71" s="1"/>
  <c r="B13" i="71" s="1"/>
  <c r="B12" i="71" s="1"/>
  <c r="S16" i="71"/>
  <c r="F7" i="36"/>
  <c r="J7" i="37"/>
  <c r="AC7" i="37" s="1"/>
  <c r="V42" i="37" s="1"/>
  <c r="I42" i="37" s="1"/>
  <c r="H7" i="36"/>
  <c r="N67" i="71"/>
  <c r="B66" i="71"/>
  <c r="C40" i="71"/>
  <c r="D39" i="71"/>
  <c r="C32" i="71"/>
  <c r="D31" i="71"/>
  <c r="C86" i="71"/>
  <c r="D86" i="71" s="1"/>
  <c r="D87" i="71"/>
  <c r="AC38" i="40"/>
  <c r="W38" i="40"/>
  <c r="AA44" i="39"/>
  <c r="S44" i="39"/>
  <c r="AA26" i="37"/>
  <c r="S26" i="37"/>
  <c r="AA25" i="37"/>
  <c r="S25" i="37"/>
  <c r="U12" i="33"/>
  <c r="AB12" i="33"/>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B29" i="1" s="1"/>
  <c r="C8" i="68" s="1"/>
  <c r="C5" i="68" s="1"/>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3" i="6" l="1"/>
  <c r="AY6" i="3"/>
  <c r="T52" i="71"/>
  <c r="D52" i="71"/>
  <c r="T60" i="71"/>
  <c r="D60" i="71"/>
  <c r="E149" i="3"/>
  <c r="E167" i="3"/>
  <c r="E141" i="3"/>
  <c r="E312" i="3"/>
  <c r="AD6" i="3"/>
  <c r="E542" i="3"/>
  <c r="E552" i="3"/>
  <c r="E421" i="3"/>
  <c r="E398" i="3"/>
  <c r="E459" i="3"/>
  <c r="E374" i="3"/>
  <c r="E566" i="3"/>
  <c r="E500" i="3"/>
  <c r="E582" i="3"/>
  <c r="E413" i="3"/>
  <c r="E460" i="3"/>
  <c r="E520" i="3"/>
  <c r="E436" i="3"/>
  <c r="E39" i="3"/>
  <c r="E90" i="3"/>
  <c r="E57" i="3"/>
  <c r="E187" i="3"/>
  <c r="E155" i="3"/>
  <c r="E240" i="3"/>
  <c r="E297" i="3"/>
  <c r="E348" i="3"/>
  <c r="E378" i="3"/>
  <c r="E375" i="3"/>
  <c r="E504" i="3"/>
  <c r="E488" i="3"/>
  <c r="E521" i="3"/>
  <c r="E446" i="3"/>
  <c r="E47" i="3"/>
  <c r="E46" i="3"/>
  <c r="E65" i="3"/>
  <c r="E138" i="3"/>
  <c r="E160" i="3"/>
  <c r="E195" i="3"/>
  <c r="E142" i="3"/>
  <c r="E163" i="3"/>
  <c r="E200" i="3"/>
  <c r="E248" i="3"/>
  <c r="E267" i="3"/>
  <c r="E209" i="3"/>
  <c r="E249" i="3"/>
  <c r="E266" i="3"/>
  <c r="E300" i="3"/>
  <c r="E307" i="3"/>
  <c r="E371" i="3"/>
  <c r="E386" i="3"/>
  <c r="E310" i="3"/>
  <c r="E354" i="3"/>
  <c r="E492" i="3"/>
  <c r="E584" i="3"/>
  <c r="E66" i="3"/>
  <c r="E84" i="3"/>
  <c r="E24" i="3"/>
  <c r="E67" i="3"/>
  <c r="E48" i="3"/>
  <c r="E33" i="3"/>
  <c r="E87" i="3"/>
  <c r="E144" i="3"/>
  <c r="E184" i="3"/>
  <c r="E250" i="3"/>
  <c r="E233" i="3"/>
  <c r="E284" i="3"/>
  <c r="E355" i="3"/>
  <c r="E341" i="3"/>
  <c r="E381" i="3"/>
  <c r="Y6" i="3"/>
  <c r="E68" i="3"/>
  <c r="E51" i="3"/>
  <c r="E19" i="3"/>
  <c r="E81" i="3"/>
  <c r="E154" i="3"/>
  <c r="E118" i="3"/>
  <c r="E179" i="3"/>
  <c r="E222" i="3"/>
  <c r="E283" i="3"/>
  <c r="E323" i="3"/>
  <c r="E309" i="3"/>
  <c r="E373" i="3"/>
  <c r="E513" i="3"/>
  <c r="E82" i="3"/>
  <c r="E21" i="3"/>
  <c r="E165" i="3"/>
  <c r="E286" i="3"/>
  <c r="E499" i="3"/>
  <c r="E502" i="3"/>
  <c r="E466" i="3"/>
  <c r="E430" i="3"/>
  <c r="E255" i="3"/>
  <c r="AP6" i="3"/>
  <c r="E517" i="3"/>
  <c r="E491" i="3"/>
  <c r="E479" i="3"/>
  <c r="E37" i="3"/>
  <c r="E152" i="3"/>
  <c r="E192" i="3"/>
  <c r="E241" i="3"/>
  <c r="E363" i="3"/>
  <c r="E389" i="3"/>
  <c r="E76" i="3"/>
  <c r="E96" i="3"/>
  <c r="E129" i="3"/>
  <c r="E174" i="3"/>
  <c r="E275" i="3"/>
  <c r="E235" i="3"/>
  <c r="E324" i="3"/>
  <c r="E383" i="3"/>
  <c r="E342" i="3"/>
  <c r="E522" i="3"/>
  <c r="E35" i="3"/>
  <c r="E86" i="3"/>
  <c r="E34" i="3"/>
  <c r="E49" i="3"/>
  <c r="E206" i="3"/>
  <c r="E232" i="3"/>
  <c r="E251" i="3"/>
  <c r="E370" i="3"/>
  <c r="AF6" i="3"/>
  <c r="E80" i="3"/>
  <c r="E113" i="3"/>
  <c r="E158" i="3"/>
  <c r="E287" i="3"/>
  <c r="E308" i="3"/>
  <c r="E326" i="3"/>
  <c r="E22" i="3"/>
  <c r="E83" i="3"/>
  <c r="E148" i="3"/>
  <c r="E575" i="3"/>
  <c r="R6" i="3"/>
  <c r="E442" i="3"/>
  <c r="E541" i="3"/>
  <c r="E449" i="3"/>
  <c r="I3" i="6"/>
  <c r="E554" i="3"/>
  <c r="E435" i="3"/>
  <c r="E417" i="3"/>
  <c r="E56" i="3"/>
  <c r="E95" i="3"/>
  <c r="E132" i="3"/>
  <c r="E258" i="3"/>
  <c r="E292" i="3"/>
  <c r="E544" i="3"/>
  <c r="E484" i="3"/>
  <c r="E455" i="3"/>
  <c r="E79" i="3"/>
  <c r="E38" i="3"/>
  <c r="E100" i="3"/>
  <c r="E170" i="3"/>
  <c r="E137" i="3"/>
  <c r="E194" i="3"/>
  <c r="E234" i="3"/>
  <c r="E219" i="3"/>
  <c r="E299" i="3"/>
  <c r="E339" i="3"/>
  <c r="E325" i="3"/>
  <c r="E392" i="3"/>
  <c r="AQ6" i="3"/>
  <c r="E52" i="3"/>
  <c r="E36" i="3"/>
  <c r="E123" i="3"/>
  <c r="E147" i="3"/>
  <c r="E289" i="3"/>
  <c r="E340" i="3"/>
  <c r="E364" i="3"/>
  <c r="E20" i="3"/>
  <c r="E62" i="3"/>
  <c r="E218" i="3"/>
  <c r="E265" i="3"/>
  <c r="E365" i="3"/>
  <c r="E524" i="3"/>
  <c r="E329" i="3"/>
  <c r="E16" i="3"/>
  <c r="E188" i="3"/>
  <c r="E223" i="3"/>
  <c r="E116" i="3"/>
  <c r="E105" i="3"/>
  <c r="E393" i="3"/>
  <c r="E493" i="3"/>
  <c r="E564" i="3"/>
  <c r="E543" i="3"/>
  <c r="E427" i="3"/>
  <c r="E486" i="3"/>
  <c r="E507" i="3"/>
  <c r="E422" i="3"/>
  <c r="E440" i="3"/>
  <c r="E490" i="3"/>
  <c r="E376" i="3"/>
  <c r="AH6" i="3"/>
  <c r="J6" i="3"/>
  <c r="E494" i="3"/>
  <c r="E452" i="3"/>
  <c r="E470" i="3"/>
  <c r="E420" i="3"/>
  <c r="E26" i="3"/>
  <c r="E104" i="3"/>
  <c r="E41" i="3"/>
  <c r="E115" i="3"/>
  <c r="E198" i="3"/>
  <c r="E139" i="3"/>
  <c r="E225" i="3"/>
  <c r="E281" i="3"/>
  <c r="E243" i="3"/>
  <c r="E332" i="3"/>
  <c r="E391" i="3"/>
  <c r="E356" i="3"/>
  <c r="AL6" i="3"/>
  <c r="E42" i="3"/>
  <c r="E94" i="3"/>
  <c r="E75" i="3"/>
  <c r="E428" i="3"/>
  <c r="E482" i="3"/>
  <c r="E412" i="3"/>
  <c r="E539"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510" i="3"/>
  <c r="E205" i="3"/>
  <c r="E296" i="3"/>
  <c r="E140" i="3"/>
  <c r="E197" i="3"/>
  <c r="E173" i="3"/>
  <c r="E369" i="3"/>
  <c r="E525" i="3"/>
  <c r="E534" i="3"/>
  <c r="T6" i="3"/>
  <c r="E405" i="3"/>
  <c r="E456" i="3"/>
  <c r="E469" i="3"/>
  <c r="E512" i="3"/>
  <c r="E408" i="3"/>
  <c r="E451" i="3"/>
  <c r="E360" i="3"/>
  <c r="E556" i="3"/>
  <c r="E497" i="3"/>
  <c r="E498" i="3"/>
  <c r="E419" i="3"/>
  <c r="E483" i="3"/>
  <c r="E401" i="3"/>
  <c r="E463" i="3"/>
  <c r="E40" i="3"/>
  <c r="E25" i="3"/>
  <c r="E108" i="3"/>
  <c r="E178" i="3"/>
  <c r="E119" i="3"/>
  <c r="E202" i="3"/>
  <c r="E242" i="3"/>
  <c r="E226" i="3"/>
  <c r="E276" i="3"/>
  <c r="E346" i="3"/>
  <c r="E333" i="3"/>
  <c r="E372" i="3"/>
  <c r="L6" i="3"/>
  <c r="E60" i="3"/>
  <c r="E43" i="3"/>
  <c r="E540" i="3"/>
  <c r="E473" i="3"/>
  <c r="E15" i="3"/>
  <c r="E536"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409" i="3"/>
  <c r="E464" i="3"/>
  <c r="E487" i="3"/>
  <c r="E212" i="3"/>
  <c r="E190" i="3"/>
  <c r="E50" i="3"/>
  <c r="E63" i="3"/>
  <c r="E98" i="3"/>
  <c r="E103" i="3"/>
  <c r="E112" i="3"/>
  <c r="C17" i="71"/>
  <c r="D18" i="71"/>
  <c r="E220" i="3"/>
  <c r="E259" i="3"/>
  <c r="E127" i="3"/>
  <c r="E199" i="3"/>
  <c r="E59" i="3"/>
  <c r="E102" i="3"/>
  <c r="E425" i="3"/>
  <c r="E467" i="3"/>
  <c r="E349" i="3"/>
  <c r="E176" i="3"/>
  <c r="E18" i="3"/>
  <c r="E58" i="3"/>
  <c r="E78" i="3"/>
  <c r="E101" i="3"/>
  <c r="E110" i="3"/>
  <c r="D66" i="71"/>
  <c r="O65" i="71"/>
  <c r="O66" i="71"/>
  <c r="P66" i="71"/>
  <c r="P65" i="71"/>
  <c r="J37" i="34"/>
  <c r="C28" i="43"/>
  <c r="T15" i="43" s="1"/>
  <c r="V15" i="43" s="1"/>
  <c r="E11" i="71"/>
  <c r="E10" i="71" s="1"/>
  <c r="E9" i="71" s="1"/>
  <c r="E8" i="71" s="1"/>
  <c r="E7" i="71" s="1"/>
  <c r="E6" i="71" s="1"/>
  <c r="E5" i="71" s="1"/>
  <c r="V12" i="71"/>
  <c r="D32" i="71"/>
  <c r="T32" i="71"/>
  <c r="D40" i="71"/>
  <c r="T40" i="71"/>
  <c r="E65" i="39"/>
  <c r="N66" i="71"/>
  <c r="N65" i="71"/>
  <c r="B11" i="71"/>
  <c r="B10" i="71" s="1"/>
  <c r="B9" i="71" s="1"/>
  <c r="B8" i="71" s="1"/>
  <c r="B7" i="71" s="1"/>
  <c r="B6" i="71" s="1"/>
  <c r="B5" i="71" s="1"/>
  <c r="S12" i="71"/>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67"/>
  <c r="F41" i="15"/>
  <c r="D17" i="71" l="1"/>
  <c r="C16" i="71"/>
  <c r="H6" i="3"/>
  <c r="E6" i="3" s="1"/>
  <c r="AC6" i="3"/>
  <c r="AC37" i="34"/>
  <c r="V49" i="34" s="1"/>
  <c r="W37" i="34"/>
  <c r="F69" i="67"/>
  <c r="D116" i="43"/>
  <c r="C38" i="43"/>
  <c r="E38" i="43" s="1"/>
  <c r="C39" i="43"/>
  <c r="G39" i="43" s="1"/>
  <c r="I39" i="43" s="1"/>
  <c r="C37" i="43"/>
  <c r="G37" i="43" s="1"/>
  <c r="I37" i="43" s="1"/>
  <c r="C33" i="43"/>
  <c r="T6" i="43"/>
  <c r="V6" i="43" s="1"/>
  <c r="T3" i="43"/>
  <c r="V3" i="43" s="1"/>
  <c r="T8" i="43"/>
  <c r="V8" i="43" s="1"/>
  <c r="T12" i="43"/>
  <c r="V12" i="43" s="1"/>
  <c r="T16" i="43"/>
  <c r="V16" i="43" s="1"/>
  <c r="T9" i="43"/>
  <c r="V9" i="43" s="1"/>
  <c r="T13" i="43"/>
  <c r="V13" i="43" s="1"/>
  <c r="C42" i="43"/>
  <c r="E42" i="43" s="1"/>
  <c r="C41" i="43"/>
  <c r="E41" i="43" s="1"/>
  <c r="C40" i="43"/>
  <c r="G40" i="43" s="1"/>
  <c r="I40" i="43" s="1"/>
  <c r="T5" i="43"/>
  <c r="V5" i="43" s="1"/>
  <c r="T2" i="43"/>
  <c r="V2" i="43" s="1"/>
  <c r="T4" i="43"/>
  <c r="V4" i="43" s="1"/>
  <c r="T10" i="43"/>
  <c r="V10" i="43" s="1"/>
  <c r="T14" i="43"/>
  <c r="V14" i="43" s="1"/>
  <c r="T7" i="43"/>
  <c r="V7" i="43" s="1"/>
  <c r="T11" i="43"/>
  <c r="V11" i="43"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8"/>
  <c r="C17" i="15"/>
  <c r="C14" i="67"/>
  <c r="C34" i="69"/>
  <c r="D10" i="69"/>
  <c r="C17" i="67"/>
  <c r="I49" i="34" l="1"/>
  <c r="R50" i="34"/>
  <c r="D16" i="71"/>
  <c r="T16" i="71"/>
  <c r="C15" i="71"/>
  <c r="C25" i="11"/>
  <c r="C22" i="11" s="1"/>
  <c r="C31" i="11" s="1"/>
  <c r="C6" i="69"/>
  <c r="C7" i="69" s="1"/>
  <c r="G41" i="43"/>
  <c r="I41" i="43" s="1"/>
  <c r="G38" i="43"/>
  <c r="I38" i="43" s="1"/>
  <c r="E37" i="43"/>
  <c r="H25" i="6"/>
  <c r="E39" i="43"/>
  <c r="E40" i="43"/>
  <c r="G42" i="43"/>
  <c r="I42" i="43"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49" i="34" l="1"/>
  <c r="C50" i="34"/>
  <c r="D15" i="71"/>
  <c r="C14" i="71"/>
  <c r="U16" i="71"/>
  <c r="M23" i="43"/>
  <c r="I53" i="34"/>
  <c r="J53" i="34" s="1"/>
  <c r="G54" i="34"/>
  <c r="H54" i="34" s="1"/>
  <c r="I54" i="34"/>
  <c r="J54" i="34" s="1"/>
  <c r="C5" i="69"/>
  <c r="C31" i="43"/>
  <c r="C30" i="43"/>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J48" i="35"/>
  <c r="E6" i="76"/>
  <c r="C13" i="71" l="1"/>
  <c r="D14" i="71"/>
  <c r="P58" i="21"/>
  <c r="E2" i="76"/>
  <c r="B2" i="43"/>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J63" i="40"/>
  <c r="I65" i="40"/>
  <c r="K48" i="35"/>
  <c r="L48" i="35" s="1"/>
  <c r="M48" i="35" s="1"/>
  <c r="N48" i="35" s="1"/>
  <c r="O48" i="35" s="1"/>
  <c r="H7" i="35" s="1"/>
  <c r="J7" i="35"/>
  <c r="B6" i="76"/>
  <c r="Q58" i="21" l="1"/>
  <c r="C12" i="71"/>
  <c r="D13" i="71"/>
  <c r="B2" i="76"/>
  <c r="B3" i="76" s="1"/>
  <c r="B3" i="43"/>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U7" i="35"/>
  <c r="AB7" i="35"/>
  <c r="T38" i="35" s="1"/>
  <c r="G38" i="35" s="1"/>
  <c r="F7" i="35"/>
  <c r="F35" i="67"/>
  <c r="M21" i="67"/>
  <c r="M21" i="15"/>
  <c r="F35" i="15"/>
  <c r="C11" i="71" l="1"/>
  <c r="D12" i="71"/>
  <c r="U12" i="71" s="1"/>
  <c r="T12" i="71"/>
  <c r="R58" i="2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L69" i="39"/>
  <c r="M67" i="39"/>
  <c r="S7" i="35"/>
  <c r="AA7" i="35"/>
  <c r="R38" i="35" s="1"/>
  <c r="G42" i="35"/>
  <c r="H42" i="35" s="1"/>
  <c r="G43" i="35"/>
  <c r="H43" i="35" s="1"/>
  <c r="K65" i="40"/>
  <c r="L63" i="40"/>
  <c r="I42" i="35"/>
  <c r="J42" i="35" s="1"/>
  <c r="S58" i="21" l="1"/>
  <c r="D11" i="71"/>
  <c r="C10" i="71"/>
  <c r="C51" i="69"/>
  <c r="C52" i="69" s="1"/>
  <c r="B2" i="69" s="1"/>
  <c r="H49" i="6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B3" i="69"/>
  <c r="L51" i="67"/>
  <c r="D2" i="21"/>
  <c r="C9" i="71" l="1"/>
  <c r="D10" i="71"/>
  <c r="T58" i="21"/>
  <c r="C57" i="69"/>
  <c r="C56" i="69" s="1"/>
  <c r="L57" i="67"/>
  <c r="L60" i="67" s="1"/>
  <c r="L46" i="67" s="1"/>
  <c r="Q67" i="67"/>
  <c r="C80" i="67"/>
  <c r="C79" i="67" s="1"/>
  <c r="C40" i="67"/>
  <c r="C45" i="67" s="1"/>
  <c r="C56" i="11"/>
  <c r="C57" i="1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U58" i="21" l="1"/>
  <c r="C8" i="71"/>
  <c r="D9"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5"/>
  <c r="D2" i="36"/>
  <c r="D2" i="37"/>
  <c r="D19" i="9"/>
  <c r="D2" i="34"/>
  <c r="D8" i="71" l="1"/>
  <c r="C7" i="71"/>
  <c r="V58" i="21"/>
  <c r="D102" i="9"/>
  <c r="D21" i="9"/>
  <c r="Q75" i="67"/>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11" i="1"/>
  <c r="AO8" i="1"/>
  <c r="AO10" i="1"/>
  <c r="AO6" i="1"/>
  <c r="AO9" i="1"/>
  <c r="D20" i="9"/>
  <c r="AO7" i="1"/>
  <c r="AO12" i="1"/>
  <c r="C6" i="71" l="1"/>
  <c r="D7" i="71"/>
  <c r="W58" i="21"/>
  <c r="C102" i="9"/>
  <c r="C21" i="9"/>
  <c r="G19" i="9"/>
  <c r="G21" i="9" s="1"/>
  <c r="D22" i="9"/>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X58" i="21" l="1"/>
  <c r="C5" i="71"/>
  <c r="D5" i="71" s="1"/>
  <c r="M24" i="43" s="1"/>
  <c r="D6" i="71"/>
  <c r="C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Y58" i="21" l="1"/>
  <c r="E14" i="74"/>
  <c r="D14" i="74" s="1"/>
  <c r="C42" i="40"/>
  <c r="C43" i="40"/>
  <c r="E47" i="40"/>
  <c r="F47" i="40" s="1"/>
  <c r="E46" i="40"/>
  <c r="F46" i="40" s="1"/>
  <c r="I47" i="40"/>
  <c r="J47" i="40" s="1"/>
  <c r="Z58" i="21" l="1"/>
  <c r="AA58" i="21" s="1"/>
  <c r="AB58" i="21" s="1"/>
  <c r="F7" i="21" s="1"/>
  <c r="J7" i="21"/>
  <c r="H7" i="21"/>
  <c r="B58" i="40"/>
  <c r="F58" i="40" s="1"/>
  <c r="B54" i="40"/>
  <c r="F54" i="40" s="1"/>
  <c r="B53" i="40"/>
  <c r="F53" i="40" s="1"/>
  <c r="B59" i="40"/>
  <c r="F59" i="40" s="1"/>
  <c r="B52" i="40"/>
  <c r="F52" i="40" s="1"/>
  <c r="B56" i="40"/>
  <c r="F56" i="40" s="1"/>
  <c r="B60" i="40"/>
  <c r="F60" i="40" s="1"/>
  <c r="B57" i="40"/>
  <c r="F57" i="40" s="1"/>
  <c r="B51" i="40"/>
  <c r="F51" i="40" s="1"/>
  <c r="F61" i="40"/>
  <c r="B2" i="40" s="1"/>
  <c r="B3" i="40" s="1"/>
  <c r="AC7" i="21" l="1"/>
  <c r="V48" i="21" s="1"/>
  <c r="I48" i="21" s="1"/>
  <c r="W7" i="21"/>
  <c r="U7" i="21"/>
  <c r="AB7" i="21"/>
  <c r="T48" i="21" s="1"/>
  <c r="G48" i="21" s="1"/>
  <c r="S7" i="21"/>
  <c r="AA7" i="21"/>
  <c r="R48" i="21" s="1"/>
  <c r="F14" i="74"/>
  <c r="B5" i="74"/>
  <c r="D5" i="74" s="1"/>
  <c r="R49" i="21" l="1"/>
  <c r="E48" i="21"/>
  <c r="G52" i="21"/>
  <c r="H52" i="21" s="1"/>
  <c r="G53" i="21"/>
  <c r="H53" i="21" s="1"/>
  <c r="I52" i="21"/>
  <c r="J52" i="21" s="1"/>
  <c r="I53" i="21"/>
  <c r="J53" i="21" s="1"/>
  <c r="B6" i="74"/>
  <c r="D6" i="74" s="1"/>
  <c r="E53" i="21" l="1"/>
  <c r="F53" i="21" s="1"/>
  <c r="E52" i="21"/>
  <c r="F52" i="21" s="1"/>
  <c r="C48" i="21"/>
  <c r="C49" i="21"/>
  <c r="B2" i="21" l="1"/>
  <c r="B3" i="21"/>
  <c r="D54" i="9" l="1"/>
  <c r="C68" i="9"/>
  <c r="M55" i="9"/>
  <c r="C64" i="9"/>
  <c r="C63" i="9"/>
  <c r="C67" i="9"/>
  <c r="D59" i="9"/>
  <c r="B53" i="72"/>
  <c r="F5" i="52"/>
  <c r="F119" i="9"/>
  <c r="B21" i="72"/>
  <c r="D7" i="53"/>
  <c r="B47" i="72"/>
  <c r="D4" i="52"/>
  <c r="C86" i="9"/>
  <c r="C93" i="9"/>
  <c r="C73" i="9"/>
  <c r="C78" i="9"/>
  <c r="B22" i="72"/>
  <c r="D6" i="53"/>
  <c r="H5" i="52"/>
  <c r="H119" i="9"/>
  <c r="B52" i="72"/>
  <c r="G4" i="52"/>
  <c r="B51" i="72"/>
  <c r="G118" i="9"/>
  <c r="F118" i="9"/>
  <c r="F4" i="52"/>
  <c r="M54" i="9"/>
  <c r="C97" i="9"/>
  <c r="D58" i="9"/>
  <c r="D56" i="9"/>
  <c r="D8" i="52"/>
  <c r="B30" i="72"/>
  <c r="M48" i="9"/>
  <c r="D13" i="53"/>
  <c r="D14" i="53"/>
  <c r="B32" i="72"/>
  <c r="B48" i="72"/>
  <c r="E4" i="52"/>
  <c r="N58" i="9"/>
  <c r="P57" i="9"/>
  <c r="C105" i="9"/>
  <c r="I4" i="52"/>
  <c r="C6" i="74"/>
  <c r="N60" i="9"/>
  <c r="D55" i="9"/>
  <c r="M53" i="9"/>
  <c r="N57" i="9"/>
  <c r="N59" i="9"/>
  <c r="N61" i="9"/>
  <c r="H108" i="9"/>
  <c r="D15" i="53"/>
  <c r="B31" i="72"/>
  <c r="H107" i="9"/>
  <c r="D122" i="9"/>
  <c r="D123" i="9"/>
  <c r="D9" i="52"/>
  <c r="H102" i="9"/>
  <c r="C5" i="74"/>
  <c r="C81" i="9"/>
  <c r="C72" i="9"/>
  <c r="C79" i="9"/>
  <c r="C80" i="9"/>
  <c r="E80" i="9"/>
  <c r="E81" i="9"/>
  <c r="D5" i="53"/>
  <c r="B20" i="72"/>
  <c r="C104" i="9"/>
  <c r="H4" i="52"/>
  <c r="D52" i="9"/>
  <c r="D53" i="9"/>
  <c r="E118" i="9"/>
  <c r="D118" i="9"/>
  <c r="D119" i="9"/>
  <c r="D5" i="52"/>
  <c r="B49" i="72"/>
  <c r="I118" i="9"/>
  <c r="H118" i="9"/>
  <c r="H101" i="9"/>
  <c r="D45" i="9"/>
  <c r="C85" i="9"/>
  <c r="C95" i="9"/>
  <c r="C96" i="9"/>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<sst xmlns="http://schemas.openxmlformats.org/spreadsheetml/2006/main" count="8053" uniqueCount="3509">
  <si>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</si>
  <si>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</si>
  <si>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</si>
  <si>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</si>
  <si>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</si>
  <si>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</si>
  <si>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</si>
  <si>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</si>
  <si>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</si>
  <si>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</si>
  <si>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</si>
  <si>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</si>
  <si>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</si>
  <si>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</si>
  <si>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</si>
  <si>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</si>
  <si>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</si>
  <si>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</si>
  <si>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</si>
  <si>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</si>
  <si>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</si>
  <si>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</si>
  <si>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</si>
  <si>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</si>
  <si>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</si>
  <si>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</si>
  <si>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</si>
  <si>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</si>
  <si>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</si>
  <si>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</si>
  <si>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</si>
  <si>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</si>
  <si>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</si>
  <si>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</si>
  <si>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</si>
  <si>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</si>
  <si>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</si>
  <si>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</si>
  <si>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</si>
  <si>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</si>
  <si>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</si>
  <si>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</si>
  <si>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</si>
  <si>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</si>
  <si>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</si>
  <si>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</si>
  <si>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</si>
  <si>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</si>
  <si>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</si>
  <si>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</si>
  <si>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</si>
  <si>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</si>
  <si>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</si>
  <si>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</si>
  <si>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</si>
  <si>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</si>
  <si>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</si>
  <si>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</si>
  <si>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</si>
  <si>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</si>
  <si>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</si>
  <si>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</si>
  <si>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</si>
  <si>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</si>
  <si>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</si>
  <si>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</si>
  <si>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</si>
  <si>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</si>
  <si>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</si>
  <si>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</si>
  <si>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</si>
  <si>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</si>
  <si>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</si>
  <si>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</si>
  <si>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</si>
  <si>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</si>
  <si>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</si>
  <si>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</si>
  <si>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</si>
  <si>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</si>
  <si>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</si>
  <si>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</si>
  <si>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</si>
  <si>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</si>
  <si>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</si>
  <si>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</si>
  <si>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</si>
  <si>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</si>
  <si>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</si>
  <si>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</si>
  <si>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</si>
  <si>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</si>
  <si>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</si>
  <si>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</si>
  <si>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</si>
  <si>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</si>
  <si>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</si>
  <si>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</si>
  <si>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</si>
  <si>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</si>
  <si>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</si>
  <si>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</si>
  <si>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</si>
  <si>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</si>
  <si>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</si>
  <si>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</si>
  <si>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</si>
  <si>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</si>
  <si>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</si>
  <si>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</si>
  <si>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</si>
  <si>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</si>
  <si>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</si>
  <si>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</si>
  <si>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</si>
  <si>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</si>
  <si>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</si>
  <si>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</si>
  <si>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</si>
  <si>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</si>
  <si>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</si>
  <si>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</si>
  <si>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</si>
  <si>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</si>
  <si>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</si>
  <si>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</si>
  <si>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</si>
  <si>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</si>
  <si>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</si>
  <si>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</si>
  <si>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</si>
  <si>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</si>
  <si>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</si>
  <si>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</si>
  <si>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</si>
  <si>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</si>
  <si>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</si>
  <si>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</si>
  <si>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</si>
  <si>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</si>
  <si>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</si>
  <si>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</si>
  <si>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</si>
  <si>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</si>
  <si>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</si>
  <si>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</si>
  <si>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</si>
  <si>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</si>
  <si>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</si>
  <si>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</si>
  <si>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</si>
  <si>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</si>
  <si>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</si>
  <si>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</si>
  <si>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</si>
  <si>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</si>
  <si>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</si>
  <si>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</si>
  <si>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</si>
  <si>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</si>
  <si>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</si>
  <si>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</si>
  <si>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</si>
  <si>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</si>
  <si>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</si>
  <si>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</si>
  <si>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</si>
  <si>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</si>
  <si>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</si>
  <si>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</si>
  <si>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</si>
  <si>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</si>
  <si>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</si>
  <si>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</si>
  <si>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</si>
  <si>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</si>
  <si>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</si>
  <si>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</si>
  <si>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</si>
  <si>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</si>
  <si>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</si>
  <si>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</si>
  <si>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</si>
  <si>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</si>
  <si>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</si>
  <si>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</si>
  <si>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</si>
  <si>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</si>
  <si>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</si>
  <si>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</si>
  <si>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</si>
  <si>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</si>
  <si>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</si>
  <si>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</si>
  <si>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</si>
  <si>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</si>
  <si>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</si>
  <si>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</si>
  <si>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</si>
  <si>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</si>
  <si>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</si>
  <si>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</si>
  <si>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</si>
  <si>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</si>
  <si>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</si>
  <si>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</si>
  <si>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</si>
  <si>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</si>
  <si>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</si>
  <si>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</si>
  <si>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</si>
  <si>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</si>
  <si>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</si>
  <si>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</si>
  <si>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</si>
  <si>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</si>
  <si>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</si>
  <si>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</si>
  <si>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</si>
  <si>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</si>
  <si>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</si>
  <si>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</si>
  <si>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</si>
  <si>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</si>
  <si>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</si>
  <si>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</si>
  <si>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</si>
  <si>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</si>
  <si>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</si>
  <si>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</si>
  <si>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</si>
  <si>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</si>
  <si>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</si>
  <si>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</si>
  <si>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</si>
  <si>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</si>
  <si>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</si>
  <si>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</si>
  <si>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</si>
  <si>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</si>
  <si>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</si>
  <si>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</si>
  <si>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</si>
  <si>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</si>
  <si>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</si>
  <si>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</si>
  <si>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</si>
  <si>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</si>
  <si>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</si>
  <si>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</si>
  <si>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</si>
  <si>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</si>
  <si>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</si>
  <si>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</si>
  <si>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</si>
  <si>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</si>
  <si>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</si>
  <si>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</si>
  <si>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</si>
  <si>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</si>
  <si>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</si>
  <si>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</si>
  <si>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</si>
  <si>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</si>
  <si>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</si>
  <si>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</si>
  <si>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</si>
  <si>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</si>
  <si>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</si>
  <si>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</si>
  <si>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</si>
  <si>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</si>
  <si>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</si>
  <si>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</si>
  <si>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</si>
  <si>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</si>
  <si>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</si>
  <si>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</si>
  <si>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</si>
  <si>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</si>
  <si>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</si>
  <si>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</si>
  <si>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</si>
  <si>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</si>
  <si>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</si>
  <si>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</si>
  <si>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</si>
  <si>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</si>
  <si>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</si>
  <si>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</si>
  <si>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</si>
  <si>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</si>
  <si>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</si>
  <si>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</si>
  <si>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</si>
  <si>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</si>
  <si>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</si>
  <si>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</si>
  <si>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</si>
  <si>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</si>
  <si>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</si>
  <si>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</si>
  <si>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</si>
  <si>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</si>
  <si>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</si>
  <si>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</si>
  <si>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</si>
  <si>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</si>
  <si>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</si>
  <si>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</si>
  <si>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</si>
  <si>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</si>
  <si>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</si>
  <si>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</si>
  <si>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</si>
  <si>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</si>
  <si>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</si>
  <si>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</si>
  <si>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</si>
  <si>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</si>
  <si>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</si>
  <si>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</si>
  <si>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</si>
  <si>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</si>
  <si>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</si>
  <si>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</si>
  <si>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</si>
  <si>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</si>
  <si>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</si>
  <si>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</si>
  <si>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</si>
  <si>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</si>
  <si>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</si>
  <si>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</si>
  <si>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</si>
  <si>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</si>
  <si>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</si>
  <si>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</si>
  <si>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</si>
  <si>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</si>
  <si>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</si>
  <si>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</si>
  <si>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</si>
  <si>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</si>
  <si>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</si>
  <si>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</si>
  <si>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</si>
  <si>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</si>
  <si>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</si>
  <si>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</si>
  <si>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</si>
  <si>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</si>
  <si>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</si>
  <si>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</si>
  <si>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</si>
  <si>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</si>
  <si>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</si>
  <si>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</si>
  <si>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</si>
  <si>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</si>
  <si>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</si>
  <si>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</si>
  <si>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</si>
  <si>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</si>
  <si>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</si>
  <si>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</si>
  <si>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</si>
  <si>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</si>
  <si>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</si>
  <si>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</si>
  <si>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</si>
  <si>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</si>
  <si>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</si>
  <si>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</si>
  <si>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</si>
  <si>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</si>
  <si>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</si>
  <si>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</si>
  <si>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</si>
  <si>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</si>
  <si>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</si>
  <si>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</si>
  <si>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</si>
  <si>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</si>
  <si>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</si>
  <si>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</si>
  <si>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</si>
  <si>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</si>
  <si>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</si>
  <si>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</si>
  <si>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</si>
  <si>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</si>
  <si>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</si>
  <si>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</si>
  <si>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</si>
  <si>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</si>
  <si>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</si>
  <si>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</si>
  <si>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</si>
  <si>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</si>
  <si>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</si>
  <si>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</si>
  <si>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</si>
  <si>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</si>
  <si>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</si>
  <si>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</si>
  <si>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</si>
  <si>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</si>
  <si>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</si>
  <si>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</si>
  <si>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</si>
  <si>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</si>
  <si>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</si>
  <si>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</si>
  <si>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</si>
  <si>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</si>
  <si>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</si>
  <si>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</si>
  <si>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</si>
  <si>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</si>
  <si>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</si>
  <si>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</si>
  <si>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</si>
  <si>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</si>
  <si>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</si>
  <si>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</si>
  <si>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</si>
  <si>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</si>
  <si>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</si>
  <si>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</si>
  <si>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</si>
  <si>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</si>
  <si>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</si>
  <si>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</si>
  <si>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</si>
  <si>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</si>
  <si>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</si>
  <si>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</si>
  <si>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</si>
  <si>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</si>
  <si>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</si>
  <si>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</si>
  <si>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</si>
  <si>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</si>
  <si>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</si>
  <si>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</si>
  <si>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</si>
  <si>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</si>
  <si>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</si>
  <si>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</si>
  <si>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</si>
  <si>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</si>
  <si>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</si>
  <si>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</si>
  <si>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</si>
  <si>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</si>
  <si>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</si>
  <si>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</si>
  <si>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</si>
  <si>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</si>
  <si>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</si>
  <si>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</si>
  <si>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</si>
  <si>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</si>
  <si>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</si>
  <si>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</si>
  <si>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</si>
  <si>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</si>
  <si>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</si>
  <si>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</si>
  <si>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</si>
  <si>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</si>
  <si>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</si>
  <si>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</si>
  <si>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</si>
  <si>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</si>
  <si>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</si>
  <si>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</si>
  <si>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</si>
  <si>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</si>
  <si>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</si>
  <si>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</si>
  <si>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</si>
  <si>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</si>
  <si>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</si>
  <si>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</si>
  <si>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</si>
  <si>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</si>
  <si>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</si>
  <si>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</si>
  <si>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</si>
  <si>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</si>
  <si>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</si>
  <si>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</si>
  <si>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</si>
  <si>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</si>
  <si>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</si>
  <si>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</si>
  <si>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</si>
  <si>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</si>
  <si>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</si>
  <si>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</si>
  <si>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</si>
  <si>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</si>
  <si>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</si>
  <si>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</si>
  <si>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</si>
  <si>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</si>
  <si>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</si>
  <si>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</si>
  <si>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</si>
  <si>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</si>
  <si>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</si>
  <si>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</si>
  <si>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</si>
  <si>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</si>
  <si>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</si>
  <si>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</si>
  <si>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</si>
  <si>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</si>
  <si>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</si>
  <si>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</si>
  <si>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</si>
  <si>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</si>
  <si>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</si>
  <si>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</si>
  <si>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</si>
  <si>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</si>
  <si>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</si>
  <si>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</si>
  <si>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</si>
  <si>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</si>
  <si>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</si>
  <si>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</si>
  <si>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</si>
  <si>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</si>
  <si>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</si>
  <si>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</si>
  <si>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</si>
  <si>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</si>
  <si>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</si>
  <si>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</si>
  <si>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</si>
  <si>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</si>
  <si>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</si>
  <si>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</si>
  <si>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</si>
  <si>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</si>
  <si>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</si>
  <si>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</si>
  <si>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</si>
  <si>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</si>
  <si>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</si>
  <si>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</si>
  <si>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</si>
  <si>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</si>
  <si>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</si>
  <si>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</si>
  <si>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</si>
  <si>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</si>
  <si>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</si>
  <si>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</si>
  <si>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</si>
  <si>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</si>
  <si>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</si>
  <si>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</si>
  <si>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</si>
  <si>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</si>
  <si>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</si>
  <si>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</si>
  <si>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</si>
  <si>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</si>
  <si>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</si>
  <si>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</si>
  <si>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</si>
  <si>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</si>
  <si>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</si>
  <si>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</si>
  <si>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</si>
  <si>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</si>
  <si>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</si>
  <si>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</si>
  <si>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</si>
  <si>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</si>
  <si>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</si>
  <si>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</si>
  <si>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</si>
  <si>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</si>
  <si>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</si>
  <si>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</si>
  <si>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</si>
  <si>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</si>
  <si>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</si>
  <si>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</si>
  <si>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</si>
  <si>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</si>
  <si>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</si>
  <si>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</si>
  <si>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</si>
  <si>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</si>
  <si>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</si>
  <si>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</si>
  <si>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</si>
  <si>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</si>
  <si>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</si>
  <si>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</si>
  <si>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</si>
  <si>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</si>
  <si>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</si>
  <si>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</si>
  <si>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</si>
  <si>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</si>
  <si>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</si>
  <si>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</si>
  <si>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</si>
  <si>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</si>
  <si>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</si>
  <si>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</si>
  <si>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</si>
  <si>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</si>
  <si>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</si>
  <si>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</si>
  <si>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</si>
  <si>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</si>
  <si>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</si>
  <si>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</si>
  <si>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</si>
  <si>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</si>
  <si>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</si>
  <si>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</si>
  <si>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</si>
  <si>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</si>
  <si>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</si>
  <si>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</si>
  <si>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</si>
  <si>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</si>
  <si>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</si>
  <si>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</si>
  <si>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</si>
  <si>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</si>
  <si>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</si>
  <si>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</si>
  <si>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</si>
  <si>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</si>
  <si>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</si>
  <si>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</si>
  <si>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</si>
  <si>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</si>
  <si>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</si>
  <si>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</si>
  <si>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</si>
  <si>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</si>
  <si>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</si>
  <si>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</si>
  <si>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</si>
  <si>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</si>
  <si>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</si>
  <si>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</si>
  <si>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</si>
  <si>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</si>
  <si>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</si>
  <si>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</si>
  <si>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</si>
  <si>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</si>
  <si>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</si>
  <si>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</si>
  <si>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</si>
  <si>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</si>
  <si>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</si>
  <si>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</si>
  <si>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</si>
  <si>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</si>
  <si>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</si>
  <si>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</si>
  <si>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</si>
  <si>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</si>
  <si>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</si>
  <si>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</si>
  <si>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</si>
  <si>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</si>
  <si>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</si>
  <si>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</si>
  <si>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</si>
  <si>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</si>
  <si>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</si>
  <si>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</si>
  <si>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</si>
  <si>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</si>
  <si>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</si>
  <si>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</si>
  <si>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</si>
  <si>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</si>
  <si>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</si>
  <si>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</si>
  <si>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</si>
  <si>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</si>
  <si>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</si>
  <si>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</si>
  <si>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</si>
  <si>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</si>
  <si>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</si>
  <si>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</si>
  <si>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</si>
  <si>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</si>
  <si>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</si>
  <si>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</si>
  <si>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</si>
  <si>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</si>
  <si>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</si>
  <si>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</si>
  <si>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</si>
  <si>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</si>
  <si>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</si>
  <si>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</si>
  <si>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</si>
  <si>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</si>
  <si>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</si>
  <si>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</si>
  <si>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</si>
  <si>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</si>
  <si>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</si>
  <si>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</si>
  <si>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</si>
  <si>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</si>
  <si>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</si>
  <si>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</si>
  <si>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</si>
  <si>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</si>
  <si>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</si>
  <si>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</si>
  <si>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</si>
  <si>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</si>
  <si>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</si>
  <si>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</si>
  <si>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</si>
  <si>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</si>
  <si>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</si>
  <si>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</si>
  <si>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</si>
  <si>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</si>
  <si>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</si>
  <si>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</si>
  <si>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</si>
  <si>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</si>
  <si>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</si>
  <si>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</si>
  <si>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</si>
  <si>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</si>
  <si>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</si>
  <si>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</si>
  <si>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</si>
  <si>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</si>
  <si>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</si>
  <si>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</si>
  <si>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</si>
  <si>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</si>
  <si>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</si>
  <si>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</si>
  <si>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</si>
  <si>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</si>
  <si>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</si>
  <si>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</si>
  <si>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</si>
  <si>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</si>
  <si>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</si>
  <si>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</si>
  <si>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</si>
  <si>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</si>
  <si>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</si>
  <si>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</si>
  <si>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</si>
  <si>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</si>
  <si>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</si>
  <si>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</si>
  <si>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</si>
  <si>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</si>
  <si>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</si>
  <si>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</si>
  <si>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</si>
  <si>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</si>
  <si>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</si>
  <si>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</si>
  <si>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</si>
  <si>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</si>
  <si>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</si>
  <si>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</si>
  <si>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</si>
  <si>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</si>
  <si>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</si>
  <si>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</si>
  <si>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</si>
  <si>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</si>
  <si>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</si>
  <si>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</si>
  <si>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</si>
  <si>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</si>
  <si>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</si>
  <si>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</si>
  <si>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</si>
  <si>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</si>
  <si>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</si>
  <si>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</si>
  <si>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</si>
  <si>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</si>
  <si>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</si>
  <si>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</si>
  <si>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</si>
  <si>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</si>
  <si>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</si>
  <si>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</si>
  <si>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</si>
  <si>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</si>
  <si>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</si>
  <si>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</si>
  <si>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</si>
  <si>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</si>
  <si>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</si>
  <si>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</si>
  <si>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</si>
  <si>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</si>
  <si>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</si>
  <si>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</si>
  <si>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</si>
  <si>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</si>
  <si>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</si>
  <si>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</si>
  <si>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</si>
  <si>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</si>
  <si>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</si>
  <si>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</si>
  <si>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</si>
  <si>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</si>
  <si>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</si>
  <si>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</si>
  <si>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</si>
  <si>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</si>
  <si>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</si>
  <si>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</si>
  <si>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</si>
  <si>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</si>
  <si>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</si>
  <si>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</si>
  <si>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</si>
  <si>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</si>
  <si>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</si>
  <si>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</si>
  <si>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</si>
  <si>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</si>
  <si>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</si>
  <si>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</si>
  <si>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</si>
  <si>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</si>
  <si>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</si>
  <si>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</si>
  <si>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</si>
  <si>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</si>
  <si>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</si>
  <si>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</si>
  <si>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</si>
  <si>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</si>
  <si>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</si>
  <si>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</si>
  <si>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</si>
  <si>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</si>
  <si>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</si>
  <si>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</si>
  <si>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</si>
  <si>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</si>
  <si>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</si>
  <si>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</si>
  <si>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</si>
  <si>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</si>
  <si>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</si>
  <si>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</si>
  <si>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</si>
  <si>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</si>
  <si>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</si>
  <si>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</si>
  <si>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</si>
  <si>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</si>
  <si>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</si>
  <si>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</si>
  <si>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</si>
  <si>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</si>
  <si>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</si>
  <si>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</si>
  <si>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</si>
  <si>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</si>
  <si>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</si>
  <si>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</si>
  <si>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</si>
  <si>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</si>
  <si>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</si>
  <si>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</si>
  <si>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</si>
  <si>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</si>
  <si>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</si>
  <si>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</si>
  <si>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</si>
  <si>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</si>
  <si>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</si>
  <si>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</si>
  <si>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</si>
  <si>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</si>
  <si>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</si>
  <si>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</si>
  <si>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</si>
  <si>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</si>
  <si>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</si>
  <si>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</si>
  <si>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</si>
  <si>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</si>
  <si>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</si>
  <si>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</si>
  <si>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</si>
  <si>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</si>
  <si>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</si>
  <si>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</si>
  <si>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</si>
  <si>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</si>
  <si>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</si>
  <si>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</si>
  <si>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</si>
  <si>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</si>
  <si>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</si>
  <si>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</si>
  <si>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</si>
  <si>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</si>
  <si>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</si>
  <si>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</si>
  <si>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</si>
  <si>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</si>
  <si>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</si>
  <si>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</si>
  <si>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</si>
  <si>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</si>
  <si>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</si>
  <si>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</si>
  <si>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</si>
  <si>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</si>
  <si>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</si>
  <si>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</si>
  <si>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</si>
  <si>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</si>
  <si>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</si>
  <si>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</si>
  <si>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</si>
  <si>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</si>
  <si>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</si>
  <si>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</si>
  <si>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</si>
  <si>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</si>
  <si>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</si>
  <si>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</si>
  <si>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</si>
  <si>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</si>
  <si>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</si>
  <si>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</si>
  <si>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</si>
  <si>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</si>
  <si>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</si>
  <si>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</si>
  <si>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</si>
  <si>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</si>
  <si>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</si>
  <si>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</si>
  <si>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</si>
  <si>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</si>
  <si>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</si>
  <si>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</si>
  <si>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</si>
  <si>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</si>
  <si>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</si>
  <si>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</si>
  <si>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</si>
  <si>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</si>
  <si>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</si>
  <si>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</si>
  <si>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</si>
  <si>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</si>
  <si>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</si>
  <si>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</si>
  <si>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</si>
  <si>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</si>
  <si>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</si>
  <si>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</si>
  <si>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</si>
  <si>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</si>
  <si>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</si>
  <si>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</si>
  <si>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</si>
  <si>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</si>
  <si>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</si>
  <si>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</si>
  <si>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</si>
  <si>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</si>
  <si>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</si>
  <si>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</si>
  <si>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</si>
  <si>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</si>
  <si>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</si>
  <si>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</si>
  <si>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</si>
  <si>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</si>
  <si>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</si>
  <si>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</si>
  <si>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</si>
  <si>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</si>
  <si>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</si>
  <si>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</si>
  <si>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</si>
  <si>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</si>
  <si>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</si>
  <si>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</si>
  <si>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</si>
  <si>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</si>
  <si>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</si>
  <si>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</si>
  <si>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</si>
  <si>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</si>
  <si>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</si>
  <si>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</si>
  <si>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</si>
  <si>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</si>
  <si>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</si>
  <si>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</si>
  <si>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</si>
  <si>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</si>
  <si>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</si>
  <si>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</si>
  <si>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</si>
  <si>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</si>
  <si>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</si>
  <si>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</si>
  <si>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</si>
  <si>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</si>
  <si>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</si>
  <si>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</si>
  <si>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</si>
  <si>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</si>
  <si>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</si>
  <si>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</si>
  <si>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</si>
  <si>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</si>
  <si>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</si>
  <si>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</si>
  <si>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</si>
  <si>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</si>
  <si>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</si>
  <si>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</si>
  <si>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</si>
  <si>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</si>
  <si>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</si>
  <si>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</si>
  <si>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</si>
  <si>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</si>
  <si>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</si>
  <si>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</si>
  <si>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</si>
  <si>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</si>
  <si>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</si>
  <si>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</si>
  <si>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</si>
  <si>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</si>
  <si>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</si>
  <si>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</si>
  <si>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</si>
  <si>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</si>
  <si>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</si>
  <si>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</si>
  <si>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</si>
  <si>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</si>
  <si>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</si>
  <si>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</si>
  <si>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</si>
  <si>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</si>
  <si>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</si>
  <si>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</si>
  <si>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</si>
  <si>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</si>
  <si>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</si>
  <si>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</si>
  <si>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</si>
  <si>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</si>
  <si>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</si>
  <si>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</si>
  <si>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</si>
  <si>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</si>
  <si>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</si>
  <si>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</si>
  <si>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</si>
  <si>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</si>
  <si>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</si>
  <si>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</si>
  <si>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</si>
  <si>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</si>
  <si>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</si>
  <si>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</si>
  <si>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</si>
  <si>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</si>
  <si>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</si>
  <si>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</si>
  <si>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</si>
  <si>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</si>
  <si>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</si>
  <si>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</si>
  <si>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</si>
  <si>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</si>
  <si>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</si>
  <si>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</si>
  <si>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</si>
  <si>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</si>
  <si>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</si>
  <si>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</si>
  <si>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</si>
  <si>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</si>
  <si>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</si>
  <si>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</si>
  <si>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</si>
  <si>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</si>
  <si>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</si>
  <si>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</si>
  <si>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</si>
  <si>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</si>
  <si>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</si>
  <si>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</si>
  <si>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</si>
  <si>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</si>
  <si>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</si>
  <si>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</si>
  <si>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</si>
  <si>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</si>
  <si>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</si>
  <si>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</si>
  <si>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</si>
  <si>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</si>
  <si>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</si>
  <si>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</si>
  <si>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</si>
  <si>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</si>
  <si>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</si>
  <si>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</si>
  <si>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</si>
  <si>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</si>
  <si>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</si>
  <si>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</si>
  <si>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</si>
  <si>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</si>
  <si>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</si>
  <si>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</si>
  <si>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</si>
  <si>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</si>
  <si>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</si>
  <si>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</si>
  <si>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</si>
  <si>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</si>
  <si>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</si>
  <si>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</si>
  <si>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</si>
  <si>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</si>
  <si>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</si>
  <si>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</si>
  <si>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</si>
  <si>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</si>
  <si>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</si>
  <si>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</si>
  <si>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</si>
  <si>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</si>
  <si>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</si>
  <si>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</si>
  <si>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</si>
  <si>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</si>
  <si>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</si>
  <si>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</si>
  <si>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</si>
  <si>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</si>
  <si>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</si>
  <si>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</si>
  <si>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</si>
  <si>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</si>
  <si>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</si>
  <si>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</si>
  <si>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</si>
  <si>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</si>
  <si>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</si>
  <si>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</si>
  <si>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</si>
  <si>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</si>
  <si>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</si>
  <si>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</si>
  <si>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</si>
  <si>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</si>
  <si>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</si>
  <si>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</si>
  <si>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</si>
  <si>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</si>
  <si>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</si>
  <si>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</si>
  <si>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</si>
  <si>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</si>
  <si>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</si>
  <si>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</si>
  <si>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</si>
  <si>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</si>
  <si>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</si>
  <si>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</si>
  <si>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</si>
  <si>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</si>
  <si>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</si>
  <si>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</si>
  <si>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</si>
  <si>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</si>
  <si>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</si>
  <si>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</si>
  <si>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</si>
  <si>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</si>
  <si>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</si>
  <si>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</si>
  <si>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</si>
  <si>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</si>
  <si>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</si>
  <si>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</si>
  <si>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</si>
  <si>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</si>
  <si>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</si>
  <si>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</si>
  <si>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</si>
  <si>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</si>
  <si>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</si>
  <si>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</si>
  <si>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</si>
  <si>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</si>
  <si>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</si>
  <si>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</si>
  <si>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</si>
  <si>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</si>
  <si>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</si>
  <si>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</si>
  <si>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</si>
  <si>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</si>
  <si>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</si>
  <si>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</si>
  <si>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</si>
  <si>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</si>
  <si>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</si>
  <si>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</si>
  <si>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</si>
  <si>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</si>
  <si>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</si>
  <si>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</si>
  <si>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</si>
  <si>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</si>
  <si>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</si>
  <si>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</si>
  <si>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</si>
  <si>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</si>
  <si>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</si>
  <si>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</si>
  <si>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</si>
  <si>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</si>
  <si>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</si>
  <si>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</si>
  <si>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</si>
  <si>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</si>
  <si>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</si>
  <si>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</si>
  <si>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</si>
  <si>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</si>
  <si>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</si>
  <si>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</si>
  <si>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</si>
  <si>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</si>
  <si>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</si>
  <si>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</si>
  <si>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</si>
  <si>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</si>
  <si>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</si>
  <si>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</si>
  <si>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</si>
  <si>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</si>
  <si>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</si>
  <si>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</si>
  <si>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</si>
  <si>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</si>
  <si>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</si>
  <si>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</si>
  <si>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</si>
  <si>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</si>
  <si>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</si>
  <si>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</si>
  <si>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</si>
  <si>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</si>
  <si>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</si>
  <si>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</si>
  <si>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</si>
  <si>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</si>
  <si>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</si>
  <si>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</si>
  <si>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</si>
  <si>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</si>
  <si>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</si>
  <si>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</si>
  <si>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</si>
  <si>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</si>
  <si>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</si>
  <si>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</si>
  <si>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</si>
  <si>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</si>
  <si>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</si>
  <si>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</si>
  <si>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</si>
  <si>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</si>
  <si>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</si>
  <si>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</si>
  <si>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</si>
  <si>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</si>
  <si>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</si>
  <si>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</si>
  <si>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</si>
  <si>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</si>
  <si>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</si>
  <si>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</si>
  <si>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</si>
  <si>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</si>
  <si>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</si>
  <si>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</si>
  <si>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</si>
  <si>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</si>
  <si>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</si>
  <si>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</si>
  <si>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</si>
  <si>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</si>
  <si>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</si>
  <si>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</si>
  <si>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</si>
  <si>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</si>
  <si>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</si>
  <si>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</si>
  <si>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</si>
  <si>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</si>
  <si>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</si>
  <si>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</si>
  <si>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</si>
  <si>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</si>
  <si>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</si>
  <si>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</si>
  <si>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</si>
  <si>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</si>
  <si>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</si>
  <si>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</si>
  <si>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</si>
  <si>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</si>
  <si>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</si>
  <si>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</si>
  <si>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</si>
  <si>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</si>
  <si>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</si>
  <si>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</si>
  <si>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</si>
  <si>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</si>
  <si>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</si>
  <si>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</si>
  <si>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</si>
  <si>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</si>
  <si>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</si>
  <si>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</si>
  <si>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</si>
  <si>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</si>
  <si>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</si>
  <si>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</si>
  <si>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</si>
  <si>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</si>
  <si>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</si>
  <si>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</si>
  <si>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</si>
  <si>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</si>
  <si>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</si>
  <si>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</si>
  <si>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</si>
  <si>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</si>
  <si>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</si>
  <si>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</si>
  <si>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</si>
  <si>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</si>
  <si>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</si>
  <si>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</si>
  <si>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</si>
  <si>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</si>
  <si>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</si>
  <si>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</si>
  <si>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</si>
  <si>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</si>
  <si>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</si>
  <si>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</si>
  <si>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</si>
  <si>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</si>
  <si>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</si>
  <si>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</si>
  <si>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</si>
  <si>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</si>
  <si>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</si>
  <si>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</si>
  <si>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</si>
  <si>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</si>
  <si>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</si>
  <si>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</si>
  <si>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</si>
  <si>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</si>
  <si>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</si>
  <si>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</si>
  <si>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</si>
  <si>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</si>
  <si>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</si>
  <si>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</si>
  <si>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</si>
  <si>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</si>
  <si>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</si>
  <si>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</si>
  <si>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</si>
  <si>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</si>
  <si>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</si>
  <si>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</si>
  <si>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</si>
  <si>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</si>
  <si>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</si>
  <si>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</si>
  <si>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</si>
  <si>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</si>
  <si>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</si>
  <si>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</si>
  <si>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</si>
  <si>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</si>
  <si>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</si>
  <si>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</si>
  <si>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</si>
  <si>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</si>
  <si>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</si>
  <si>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</si>
  <si>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</si>
  <si>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</si>
  <si>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</si>
  <si>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</si>
  <si>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</si>
  <si>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</si>
  <si>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</si>
  <si>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</si>
  <si>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</si>
  <si>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</si>
  <si>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</si>
  <si>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</si>
  <si>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</si>
  <si>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</si>
  <si>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</si>
  <si>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</si>
  <si>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</si>
  <si>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</si>
  <si>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</si>
  <si>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</si>
  <si>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</si>
  <si>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</si>
  <si>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</si>
  <si>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</si>
  <si>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</si>
  <si>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</si>
  <si>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</si>
  <si>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</si>
  <si>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</si>
  <si>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</si>
  <si>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</si>
  <si>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</si>
  <si>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</si>
  <si>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</si>
  <si>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</si>
  <si>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</si>
  <si>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</si>
  <si>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</si>
  <si>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</si>
  <si>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</si>
  <si>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</si>
  <si>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</si>
  <si>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</si>
  <si>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</si>
  <si>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</si>
  <si>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</si>
  <si>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</si>
  <si>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</si>
  <si>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</si>
  <si>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</si>
  <si>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</si>
  <si>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</si>
  <si>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</si>
  <si>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</si>
  <si>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</si>
  <si>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</si>
  <si>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</si>
  <si>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</si>
  <si>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</si>
  <si>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</si>
  <si>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</si>
  <si>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</si>
  <si>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</si>
  <si>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</si>
  <si>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</si>
  <si>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</si>
  <si>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</si>
  <si>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</si>
  <si>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</si>
  <si>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</si>
  <si>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</si>
  <si>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</si>
  <si>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</si>
  <si>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</si>
  <si>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</si>
  <si>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</si>
  <si>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</si>
  <si>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</si>
  <si>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</si>
  <si>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</si>
  <si>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</si>
  <si>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</si>
  <si>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</si>
  <si>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</si>
  <si>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</si>
  <si>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</si>
  <si>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</si>
  <si>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</si>
  <si>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</si>
  <si>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</si>
  <si>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</si>
  <si>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</si>
  <si>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</si>
  <si>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</si>
  <si>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</si>
  <si>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</si>
  <si>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</si>
  <si>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</si>
  <si>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</si>
  <si>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</si>
  <si>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</si>
  <si>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</si>
  <si>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</si>
  <si>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</si>
  <si>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</si>
  <si>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</si>
  <si>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</si>
  <si>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</si>
  <si>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</si>
  <si>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</si>
  <si>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</si>
  <si>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</si>
  <si>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</si>
  <si>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</si>
  <si>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</si>
  <si>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</si>
  <si>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</si>
  <si>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</si>
  <si>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</si>
  <si>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</si>
  <si>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</si>
  <si>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</si>
  <si>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</si>
  <si>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</si>
  <si>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</si>
  <si>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</si>
  <si>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</si>
  <si>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</si>
  <si>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</si>
  <si>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</si>
  <si>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</si>
  <si>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</si>
  <si>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</si>
  <si>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</si>
  <si>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</si>
  <si>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</si>
  <si>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</si>
  <si>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</si>
  <si>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</si>
  <si>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</si>
  <si>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</si>
  <si>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</si>
  <si>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</si>
  <si>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</si>
  <si>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</si>
  <si>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</si>
  <si>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</si>
  <si>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</si>
  <si>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</si>
  <si>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</si>
  <si>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</si>
  <si>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</si>
  <si>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</si>
  <si>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</si>
  <si>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</si>
  <si>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</si>
  <si>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</si>
  <si>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</si>
  <si>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</si>
  <si>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</si>
  <si>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</si>
  <si>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</si>
  <si>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</si>
  <si>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</si>
  <si>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</si>
  <si>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</si>
  <si>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</si>
  <si>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</si>
  <si>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</si>
  <si>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</si>
  <si>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</si>
  <si>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</si>
  <si>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</si>
  <si>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</si>
  <si>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</si>
  <si>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</si>
  <si>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</si>
  <si>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</si>
  <si>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</si>
  <si>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</si>
  <si>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</si>
  <si>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</si>
  <si>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</si>
  <si>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</si>
  <si>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</si>
  <si>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</si>
  <si>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</si>
  <si>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</si>
  <si>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</si>
  <si>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</si>
  <si>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</si>
  <si>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</si>
  <si>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</si>
  <si>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</si>
  <si>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</si>
  <si>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</si>
  <si>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</si>
  <si>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</si>
  <si>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</si>
  <si>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</si>
  <si>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</si>
  <si>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</si>
  <si>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</si>
  <si>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</si>
  <si>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</si>
  <si>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</si>
  <si>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</si>
  <si>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</si>
  <si>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</si>
  <si>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</si>
  <si>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</si>
  <si>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</si>
  <si>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</si>
  <si>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</si>
  <si>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</si>
  <si>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</si>
  <si>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</si>
  <si>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</si>
  <si>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</si>
  <si>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</si>
  <si>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</si>
  <si>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</si>
  <si>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</si>
  <si>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</si>
  <si>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</si>
  <si>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</si>
  <si>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</si>
  <si>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</si>
  <si>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</si>
  <si>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</si>
  <si>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</si>
  <si>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</si>
  <si>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</si>
  <si>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</si>
  <si>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</si>
  <si>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</si>
  <si>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</si>
  <si>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</si>
  <si>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</si>
  <si>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</si>
  <si>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</si>
  <si>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</si>
  <si>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</si>
  <si>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</si>
  <si>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</si>
  <si>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</si>
  <si>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</si>
  <si>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</si>
  <si>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</si>
  <si>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</si>
  <si>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</si>
  <si>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</si>
  <si>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</si>
  <si>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</si>
  <si>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</si>
  <si>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</si>
  <si>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</si>
  <si>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</si>
  <si>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</si>
  <si>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</si>
  <si>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</si>
  <si>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</si>
  <si>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</si>
  <si>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</si>
  <si>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</si>
  <si>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</si>
  <si>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</si>
  <si>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</si>
  <si>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</si>
  <si>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</si>
  <si>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</si>
  <si>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</si>
  <si>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</si>
  <si>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</si>
  <si>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</si>
  <si>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</si>
  <si>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</si>
  <si>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</si>
  <si>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</si>
  <si>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</si>
  <si>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</si>
  <si>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</si>
  <si>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</si>
  <si>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</si>
  <si>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</si>
  <si>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</si>
  <si>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</si>
  <si>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</si>
  <si>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</si>
  <si>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</si>
  <si>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</si>
  <si>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</si>
  <si>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</si>
  <si>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</si>
  <si>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</si>
  <si>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</si>
  <si>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</si>
  <si>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</si>
  <si>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</si>
  <si>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</si>
  <si>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</si>
  <si>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</si>
  <si>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</si>
  <si>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</si>
  <si>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</si>
  <si>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</si>
  <si>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</si>
  <si>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</si>
  <si>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</si>
  <si>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</si>
  <si>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</si>
  <si>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</si>
  <si>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</si>
  <si>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</si>
  <si>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</si>
  <si>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</si>
  <si>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</si>
  <si>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</si>
  <si>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</si>
  <si>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</si>
  <si>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</si>
  <si>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</si>
  <si>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</si>
  <si>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</si>
  <si>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</si>
  <si>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</si>
  <si>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</si>
  <si>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</si>
  <si>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</si>
  <si>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</si>
  <si>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</si>
  <si>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</si>
  <si>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</si>
  <si>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</si>
  <si>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</si>
  <si>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</si>
  <si>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</si>
  <si>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</si>
  <si>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</si>
  <si>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</si>
  <si>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</si>
  <si>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</si>
  <si>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</si>
  <si>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</si>
  <si>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</si>
  <si>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</si>
  <si>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</si>
  <si>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</si>
  <si>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</si>
  <si>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</si>
  <si>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</si>
  <si>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</si>
  <si>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</si>
  <si>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</si>
  <si>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</si>
  <si>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</si>
  <si>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</si>
  <si>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</si>
  <si>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</si>
  <si>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</si>
  <si>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</si>
  <si>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</si>
  <si>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</si>
  <si>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</si>
  <si>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</si>
  <si>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</si>
  <si>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</si>
  <si>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</si>
  <si>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</si>
  <si>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</si>
  <si>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</si>
  <si>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</si>
  <si>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</si>
  <si>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</si>
  <si>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</si>
  <si>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</si>
  <si>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</si>
  <si>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</si>
  <si>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</si>
  <si>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</si>
  <si>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</si>
  <si>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</si>
  <si>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</si>
  <si>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</si>
  <si>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</si>
  <si>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</si>
  <si>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</si>
  <si>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</si>
  <si>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</si>
  <si>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</si>
  <si>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</si>
  <si>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</si>
  <si>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</si>
  <si>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</si>
  <si>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</si>
  <si>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</si>
  <si>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</si>
  <si>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</si>
  <si>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</si>
  <si>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</si>
  <si>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</si>
  <si>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</si>
  <si>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</si>
  <si>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</si>
  <si>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</si>
  <si>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</si>
  <si>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</si>
  <si>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</si>
  <si>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</si>
  <si>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</si>
  <si>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</si>
  <si>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</si>
  <si>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</si>
  <si>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</si>
  <si>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</si>
  <si>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</si>
  <si>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</si>
  <si>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</si>
  <si>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</si>
  <si>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</si>
  <si>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</si>
  <si>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</si>
  <si>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</si>
  <si>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</si>
  <si>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</si>
  <si>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</si>
  <si>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</si>
  <si>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</si>
  <si>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</si>
  <si>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</si>
  <si>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</si>
  <si>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</si>
  <si>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</si>
  <si>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</si>
  <si>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</si>
  <si>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</si>
  <si>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</si>
  <si>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</si>
  <si>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</si>
  <si>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</si>
  <si>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</si>
  <si>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</si>
  <si>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</si>
  <si>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</si>
  <si>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</si>
  <si>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</si>
  <si>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</si>
  <si>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</si>
  <si>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</si>
  <si>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</si>
  <si>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</si>
  <si>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</si>
  <si>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</si>
  <si>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</si>
  <si>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</si>
  <si>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</si>
  <si>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</si>
  <si>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</si>
  <si>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</si>
  <si>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</si>
  <si>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</si>
  <si>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</si>
  <si>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</si>
  <si>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</si>
  <si>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</si>
  <si>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</si>
  <si>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</si>
  <si>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</si>
  <si>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</si>
  <si>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</si>
  <si>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</si>
  <si>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</si>
  <si>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</si>
  <si>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</si>
  <si>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</si>
  <si>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</si>
  <si>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</si>
  <si>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</si>
  <si>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</si>
  <si>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</si>
  <si>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</si>
  <si>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</si>
  <si>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</si>
  <si>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</si>
  <si>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</si>
  <si>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</si>
  <si>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</si>
  <si>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</si>
  <si>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</si>
  <si>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</si>
  <si>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</si>
  <si>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</si>
  <si>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</si>
  <si>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</si>
  <si>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</si>
  <si>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</si>
  <si>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</si>
  <si>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</si>
  <si>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</si>
  <si>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</si>
  <si>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</si>
  <si>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</si>
  <si>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</si>
  <si>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</si>
  <si>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</si>
  <si>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</si>
  <si>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</si>
  <si>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</si>
  <si>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</si>
  <si>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</si>
  <si>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</si>
  <si>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</si>
  <si>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</si>
  <si>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</si>
  <si>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</si>
  <si>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</si>
  <si>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</si>
  <si>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</si>
  <si>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</si>
  <si>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</si>
  <si>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</si>
  <si>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</si>
  <si>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</si>
  <si>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</si>
  <si>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</si>
  <si>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</si>
  <si>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</si>
  <si>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</si>
  <si>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</si>
  <si>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</si>
  <si>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</si>
  <si>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</si>
  <si>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</si>
  <si>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</si>
  <si>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</si>
  <si>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</si>
  <si>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</si>
  <si>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</si>
  <si>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</si>
  <si>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</si>
  <si>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</si>
  <si>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</si>
  <si>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</si>
  <si>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</si>
  <si>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</si>
  <si>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</si>
  <si>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</si>
  <si>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</si>
  <si>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</si>
  <si>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</si>
  <si>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</si>
  <si>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</si>
  <si>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</si>
  <si>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</si>
  <si>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</si>
  <si>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</si>
  <si>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</si>
  <si>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</si>
  <si>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</si>
  <si>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</si>
  <si>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</si>
  <si>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</si>
  <si>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</si>
  <si>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</si>
  <si>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</si>
  <si>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</si>
  <si>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</si>
  <si>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</si>
  <si>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</si>
  <si>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</si>
  <si>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</si>
  <si>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</si>
  <si>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</si>
  <si>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</si>
  <si>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</si>
  <si>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</si>
  <si>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</si>
  <si>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</si>
  <si>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</si>
  <si>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</si>
  <si>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</si>
  <si>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</si>
  <si>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</si>
  <si>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</si>
  <si>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</si>
  <si>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</si>
  <si>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</si>
  <si>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</si>
  <si>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</si>
  <si>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</si>
  <si>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</si>
  <si>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</si>
  <si>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</si>
  <si>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</si>
  <si>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</si>
  <si>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</si>
  <si>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</si>
  <si>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</si>
  <si>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</si>
  <si>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</si>
  <si>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</si>
  <si>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</si>
  <si>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</si>
  <si>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</si>
  <si>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</si>
  <si>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</si>
  <si>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</si>
  <si>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</si>
  <si>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</si>
  <si>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</si>
  <si>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</si>
  <si>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</si>
  <si>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</si>
  <si>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</si>
  <si>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</si>
  <si>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</si>
  <si>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</si>
  <si>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</si>
  <si>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</si>
  <si>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</si>
  <si>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</si>
  <si>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</si>
  <si>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</si>
  <si>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</si>
  <si>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</si>
  <si>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</si>
  <si>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</si>
  <si>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</si>
  <si>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</si>
  <si>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</si>
  <si>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</si>
  <si>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</si>
  <si>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</si>
  <si>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</si>
  <si>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</si>
  <si>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</si>
  <si>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</si>
  <si>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</si>
  <si>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</si>
  <si>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</si>
  <si>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</si>
  <si>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</si>
  <si>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</si>
  <si>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</si>
  <si>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</si>
  <si>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</si>
  <si>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</si>
  <si>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</si>
  <si>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</si>
  <si>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</si>
  <si>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</si>
  <si>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</si>
  <si>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</si>
  <si>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</si>
  <si>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</si>
  <si>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</si>
  <si>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</si>
  <si>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</si>
  <si>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</si>
  <si>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</si>
  <si>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</si>
  <si>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</si>
  <si>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</si>
  <si>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</si>
  <si>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</si>
  <si>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</si>
  <si>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</si>
  <si>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</si>
  <si>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</si>
  <si>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</si>
  <si>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</si>
  <si>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</si>
  <si>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</si>
  <si>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</si>
  <si>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</si>
  <si>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</si>
  <si>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</si>
  <si>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</si>
  <si>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</si>
  <si>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</si>
  <si>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</si>
  <si>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</si>
  <si>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</si>
  <si>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</si>
  <si>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</si>
  <si>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</si>
  <si>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</si>
  <si>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</si>
  <si>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</si>
  <si>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</si>
  <si>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</si>
  <si>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</si>
  <si>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</si>
  <si>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</si>
  <si>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</si>
  <si>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</si>
  <si>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</si>
  <si>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</si>
  <si>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</si>
  <si>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</si>
  <si>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</si>
  <si>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</si>
  <si>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</si>
  <si>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</si>
  <si>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</si>
  <si>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</si>
  <si>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</si>
  <si>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</si>
  <si>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</si>
  <si>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</si>
  <si>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</si>
  <si>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</si>
  <si>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</si>
  <si>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</si>
  <si>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</si>
  <si>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</si>
  <si>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</si>
  <si>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</si>
  <si>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</si>
  <si>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</si>
  <si>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</si>
  <si>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</si>
  <si>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</si>
  <si>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</si>
  <si>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</si>
  <si>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</si>
  <si>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</si>
  <si>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</si>
  <si>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</si>
  <si>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</si>
  <si>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</si>
  <si>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</si>
  <si>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</si>
  <si>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</si>
  <si>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</si>
  <si>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</si>
  <si>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</si>
  <si>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</si>
  <si>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</si>
  <si>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</si>
  <si>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</si>
  <si>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</si>
  <si>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</si>
  <si>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</si>
  <si>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</si>
  <si>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</si>
  <si>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</si>
  <si>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</si>
  <si>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</si>
  <si>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</si>
  <si>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</si>
  <si>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</si>
  <si>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</si>
  <si>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</si>
  <si>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</si>
  <si>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</si>
  <si>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</si>
  <si>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</si>
  <si>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</si>
  <si>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</si>
  <si>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</si>
  <si>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</si>
  <si>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</si>
  <si>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</si>
  <si>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</si>
  <si>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</si>
  <si>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</si>
  <si>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</si>
  <si>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</si>
  <si>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</si>
  <si>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</si>
  <si>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</si>
  <si>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</si>
  <si>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</si>
  <si>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</si>
  <si>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</si>
  <si>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</si>
  <si>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</si>
  <si>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</si>
  <si>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</si>
  <si>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</si>
  <si>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</si>
  <si>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</si>
  <si>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</si>
  <si>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</si>
  <si>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</si>
  <si>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</si>
  <si>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</si>
  <si>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</si>
  <si>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</si>
  <si>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</si>
  <si>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</si>
  <si>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</si>
  <si>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</si>
  <si>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</si>
  <si>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</si>
  <si>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</si>
  <si>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</si>
  <si>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</si>
  <si>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</si>
  <si>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</si>
  <si>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</si>
  <si>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</si>
  <si>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</si>
  <si>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</si>
  <si>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</si>
  <si>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</si>
  <si>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</si>
  <si>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</si>
  <si>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</si>
  <si>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</si>
  <si>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</si>
  <si>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</si>
  <si>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</si>
  <si>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</si>
  <si>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</si>
  <si>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</si>
  <si>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</si>
  <si>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</si>
  <si>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</si>
  <si>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</si>
  <si>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</si>
  <si>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</si>
  <si>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</si>
  <si>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</si>
  <si>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</si>
  <si>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</si>
  <si>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</si>
  <si>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</si>
  <si>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</si>
  <si>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</si>
  <si>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</si>
  <si>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</si>
  <si>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</si>
  <si>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</si>
  <si>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</si>
  <si>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</si>
  <si>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</si>
  <si>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</si>
  <si>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</si>
  <si>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</si>
  <si>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</si>
  <si>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</si>
  <si>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</si>
  <si>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</si>
  <si>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</si>
  <si>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</si>
  <si>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</si>
  <si>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</si>
  <si>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</si>
  <si>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</si>
  <si>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</si>
  <si>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</si>
  <si>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</si>
  <si>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</si>
  <si>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</si>
  <si>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</si>
  <si>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</si>
  <si>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</si>
  <si>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</si>
  <si>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</si>
  <si>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</si>
  <si>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</si>
  <si>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</si>
  <si>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</si>
  <si>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</si>
  <si>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</si>
  <si>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</si>
  <si>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</si>
  <si>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</si>
  <si>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</si>
  <si>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</si>
  <si>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</si>
  <si>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</si>
  <si>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</si>
  <si>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</si>
  <si>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</si>
  <si>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</si>
  <si>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</si>
  <si>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</si>
  <si>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</si>
  <si>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</si>
  <si>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</si>
  <si>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</si>
  <si>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</si>
  <si>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</si>
  <si>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</si>
  <si>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</si>
  <si>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</si>
  <si>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</si>
  <si>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</si>
  <si>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</si>
  <si>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</si>
  <si>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</si>
  <si>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</si>
  <si>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</si>
  <si>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</si>
  <si>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</si>
  <si>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</si>
  <si>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</si>
  <si>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</si>
  <si>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</si>
  <si>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</si>
  <si>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</si>
  <si>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</si>
  <si>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</si>
  <si>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</si>
  <si>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</si>
  <si>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</si>
  <si>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</si>
  <si>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</si>
  <si>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</si>
  <si>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</si>
  <si>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</si>
  <si>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</si>
  <si>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</si>
  <si>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</si>
  <si>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</si>
  <si>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</si>
  <si>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</si>
  <si>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</si>
  <si>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</si>
  <si>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</si>
  <si>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</si>
  <si>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</si>
  <si>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</si>
  <si>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</si>
  <si>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</si>
  <si>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</si>
  <si>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</si>
  <si>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</si>
  <si>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</si>
  <si>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</si>
  <si>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</si>
  <si>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</si>
  <si>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</si>
  <si>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</si>
  <si>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</si>
  <si>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</si>
  <si>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</si>
  <si>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</si>
  <si>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</si>
  <si>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</si>
  <si>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</si>
  <si>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</si>
  <si>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</si>
  <si>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</si>
  <si>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</si>
  <si>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</si>
  <si>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</si>
  <si>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</si>
  <si>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</si>
  <si>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</si>
  <si>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</si>
  <si>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</si>
  <si>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</si>
  <si>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</si>
  <si>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</si>
  <si>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</si>
  <si>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</si>
  <si>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</si>
  <si>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</si>
  <si>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</si>
  <si>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</si>
  <si>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</si>
  <si>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</si>
  <si>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</si>
  <si>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</si>
  <si>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</si>
  <si>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</si>
  <si>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</si>
  <si>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</si>
  <si>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</si>
  <si>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</si>
  <si>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</si>
  <si>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</si>
  <si>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</si>
  <si>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</si>
  <si>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</si>
  <si>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</si>
  <si>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</si>
  <si>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</si>
  <si>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</si>
  <si>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</si>
  <si>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</si>
  <si>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</si>
  <si>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</si>
  <si>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</si>
  <si>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</si>
  <si>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</si>
  <si>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</si>
  <si>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</si>
  <si>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</si>
  <si>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</si>
  <si>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</si>
  <si>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</si>
  <si>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</si>
  <si>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</si>
  <si>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</si>
  <si>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</si>
  <si>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</si>
  <si>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</si>
  <si>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</si>
  <si>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</si>
  <si>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</si>
  <si>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</si>
  <si>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</si>
  <si>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</si>
  <si>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</si>
  <si>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</si>
  <si>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</si>
  <si>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</si>
  <si>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</si>
  <si>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</si>
  <si>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</si>
  <si>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</si>
  <si>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</si>
  <si>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</si>
  <si>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</si>
  <si>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</si>
  <si>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</si>
  <si>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</si>
  <si>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</si>
  <si>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</si>
  <si>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</si>
  <si>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</si>
  <si>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</si>
  <si>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</si>
  <si>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</si>
  <si>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</si>
  <si>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</si>
  <si>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</si>
  <si>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</si>
  <si>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</si>
  <si>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</si>
  <si>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</si>
  <si>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</si>
  <si>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</si>
  <si>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</si>
  <si>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</si>
  <si>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</si>
  <si>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</si>
  <si>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</si>
  <si>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</si>
  <si>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</si>
  <si>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</si>
  <si>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</si>
  <si>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</si>
  <si>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</si>
  <si>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</si>
  <si>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</si>
  <si>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</si>
  <si>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</si>
  <si>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</si>
  <si>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</si>
  <si>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</si>
  <si>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</si>
  <si>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</si>
  <si>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</si>
  <si>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</si>
  <si>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</si>
  <si>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</si>
  <si>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</si>
  <si>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</si>
  <si>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</si>
  <si>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</si>
  <si>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</si>
  <si>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</si>
  <si>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</si>
  <si>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</si>
  <si>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</si>
  <si>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</si>
  <si>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</si>
  <si>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</si>
  <si>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</si>
  <si>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</si>
  <si>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</si>
  <si>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</si>
  <si>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</si>
  <si>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</si>
  <si>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</si>
  <si>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</si>
  <si>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</si>
  <si>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</si>
  <si>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</si>
  <si>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</si>
  <si>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</si>
  <si>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</si>
  <si>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</si>
  <si>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</si>
  <si>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</si>
  <si>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</si>
  <si>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</si>
  <si>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</si>
  <si>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</si>
  <si>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</si>
  <si>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</si>
  <si>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</si>
  <si>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</si>
  <si>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</si>
  <si>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</si>
  <si>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</si>
  <si>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</si>
  <si>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</si>
  <si>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</si>
  <si>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</si>
  <si>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</si>
  <si>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</si>
  <si>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</si>
  <si>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</si>
  <si>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</si>
  <si>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</si>
  <si>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</si>
  <si>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</si>
  <si>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</si>
  <si>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</si>
  <si>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</si>
  <si>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</si>
  <si>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</si>
  <si>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</si>
  <si>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</si>
  <si>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</si>
  <si>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</si>
  <si>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</si>
  <si>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</si>
  <si>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</si>
  <si>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</si>
  <si>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</si>
  <si>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</si>
  <si>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</si>
  <si>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</si>
  <si>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</si>
  <si>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</si>
  <si>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</si>
  <si>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</si>
  <si>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</si>
  <si>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</si>
  <si>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</si>
  <si>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</si>
  <si>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</si>
  <si>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</si>
  <si>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</si>
  <si>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</si>
  <si>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</si>
  <si>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</si>
  <si>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</si>
  <si>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</si>
  <si>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</si>
  <si>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</si>
  <si>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</si>
  <si>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</si>
  <si>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</si>
  <si>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</si>
  <si>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</si>
  <si>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</si>
  <si>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</si>
  <si>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</si>
  <si>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</si>
  <si>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</si>
  <si>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</si>
  <si>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</si>
  <si>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</si>
  <si>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</si>
  <si>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</si>
  <si>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</si>
  <si>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</si>
  <si>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</si>
  <si>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</si>
  <si>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</si>
  <si>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</si>
  <si>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</si>
  <si>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</si>
  <si>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</si>
  <si>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</si>
  <si>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</si>
  <si>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</si>
  <si>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</si>
  <si>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</si>
  <si>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</si>
  <si>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</si>
  <si>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</si>
  <si>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</si>
  <si>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</si>
  <si>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</si>
  <si>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</si>
  <si>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</si>
  <si>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</si>
  <si>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</si>
  <si>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</si>
  <si>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</si>
  <si>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</si>
  <si>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</si>
  <si>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</si>
  <si>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</si>
  <si>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</si>
  <si>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</si>
  <si>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</si>
  <si>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</si>
  <si>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</si>
  <si>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</si>
  <si>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</si>
  <si>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</si>
  <si>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</si>
  <si>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</si>
  <si>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</si>
  <si>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</si>
  <si>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</si>
  <si>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</si>
  <si>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</si>
  <si>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</si>
  <si>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</si>
  <si>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</si>
  <si>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</si>
  <si>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</si>
  <si>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</si>
  <si>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</si>
  <si>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</si>
  <si>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</si>
  <si>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</si>
  <si>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</si>
  <si>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</si>
  <si>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</si>
  <si>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</si>
  <si>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</si>
  <si>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</si>
  <si>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</si>
  <si>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</si>
  <si>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</si>
  <si>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</si>
  <si>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</si>
  <si>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</si>
  <si>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</si>
  <si>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</si>
  <si>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</si>
  <si>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</si>
  <si>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</si>
  <si>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</si>
  <si>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</si>
  <si>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</si>
  <si>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</si>
  <si>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</si>
  <si>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</si>
  <si>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</si>
  <si>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</si>
  <si>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</si>
  <si>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</si>
  <si>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</si>
  <si>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</si>
  <si>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</si>
  <si>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</si>
  <si>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</si>
  <si>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</si>
  <si>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</si>
  <si>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</si>
  <si>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</si>
  <si>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</si>
  <si>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</si>
  <si>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</si>
  <si>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</si>
  <si>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</si>
  <si>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</si>
  <si>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</si>
  <si>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</si>
  <si>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</si>
  <si>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</si>
  <si>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</si>
  <si>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</si>
  <si>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</si>
  <si>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</si>
  <si>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</si>
  <si>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</si>
  <si>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</si>
  <si>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</si>
  <si>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</si>
  <si>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</si>
  <si>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</si>
  <si>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</si>
  <si>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</si>
  <si>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</si>
  <si>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</si>
  <si>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</si>
  <si>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</si>
  <si>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</si>
  <si>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</si>
  <si>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</si>
  <si>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</si>
  <si>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</si>
  <si>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</si>
  <si>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</si>
  <si>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</si>
  <si>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</si>
  <si>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</si>
  <si>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</si>
  <si>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</si>
  <si>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</si>
  <si>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</si>
  <si>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</si>
  <si>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</si>
  <si>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</si>
  <si>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</si>
  <si>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</si>
  <si>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</si>
  <si>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</si>
  <si>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</si>
  <si>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</si>
  <si>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</si>
  <si>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</si>
  <si>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</si>
  <si>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</si>
  <si>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</si>
  <si>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</si>
  <si>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</si>
  <si>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</si>
  <si>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</si>
  <si>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</si>
  <si>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</si>
  <si>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</si>
  <si>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</si>
  <si>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</si>
  <si>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</si>
  <si>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</si>
  <si>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</si>
  <si>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</si>
  <si>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</si>
  <si>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</si>
  <si>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</si>
  <si>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</si>
  <si>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</si>
  <si>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</si>
  <si>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</si>
  <si>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</si>
  <si>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</si>
  <si>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</si>
  <si>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</si>
  <si>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</si>
  <si>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</si>
  <si>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</si>
  <si>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</si>
  <si>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</si>
  <si>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</si>
  <si>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</si>
  <si>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</si>
  <si>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</si>
  <si>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</si>
  <si>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</si>
  <si>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</si>
  <si>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</si>
  <si>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</si>
  <si>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</si>
  <si>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</si>
  <si>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</si>
  <si>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</si>
  <si>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</si>
  <si>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</si>
  <si>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</si>
  <si>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</si>
  <si>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</si>
  <si>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</si>
  <si>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</si>
  <si>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</si>
  <si>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</si>
  <si>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</si>
  <si>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</si>
  <si>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</si>
  <si>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</si>
  <si>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</si>
  <si>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</si>
  <si>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</si>
  <si>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</si>
  <si>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</si>
  <si>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</si>
  <si>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</si>
  <si>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</si>
  <si>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</si>
  <si>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</si>
  <si>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</si>
  <si>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</si>
  <si>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</si>
  <si>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</si>
  <si>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</si>
  <si>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</si>
  <si>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</si>
  <si>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</si>
  <si>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</si>
  <si>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</si>
  <si>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</si>
  <si>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</si>
  <si>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</si>
  <si>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</si>
  <si>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</si>
  <si>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</si>
  <si>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</si>
  <si>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</si>
  <si>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</si>
  <si>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</si>
  <si>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</si>
  <si>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</si>
  <si>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</si>
  <si>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</si>
  <si>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</si>
  <si>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</si>
  <si>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</si>
  <si>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</si>
  <si>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</si>
  <si>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</si>
  <si>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</si>
  <si>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</si>
  <si>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</si>
  <si>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</si>
  <si>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</si>
  <si>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</si>
  <si>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</si>
  <si>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</si>
  <si>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</si>
  <si>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</si>
  <si>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</si>
  <si>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</si>
  <si>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</si>
  <si>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</si>
  <si>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</si>
  <si>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</si>
  <si>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</si>
  <si>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</si>
  <si>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</si>
  <si>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</si>
  <si>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</si>
  <si>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</si>
  <si>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</si>
  <si>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</si>
  <si>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</si>
  <si>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</si>
  <si>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</si>
  <si>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</si>
  <si>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</si>
  <si>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</si>
  <si>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</si>
  <si>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</si>
  <si>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</si>
  <si>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</si>
  <si>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</si>
  <si>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</si>
  <si>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</si>
  <si>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</si>
  <si>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</si>
  <si>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</si>
  <si>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</si>
  <si>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</si>
  <si>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</si>
  <si>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</si>
  <si>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</si>
  <si>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</si>
  <si>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</si>
  <si>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</si>
  <si>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</si>
  <si>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</si>
  <si>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</si>
  <si>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</si>
  <si>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</si>
  <si>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</si>
  <si>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</si>
  <si>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</si>
  <si>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</si>
  <si>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</si>
  <si>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</si>
  <si>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</si>
  <si>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</si>
  <si>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</si>
  <si>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</si>
  <si>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</si>
  <si>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</si>
  <si>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</si>
  <si>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</si>
  <si>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</si>
  <si>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</si>
  <si>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</si>
  <si>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</si>
  <si>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</si>
  <si>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</si>
  <si>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</si>
  <si>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</si>
  <si>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</si>
  <si>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</si>
  <si>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</si>
  <si>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</si>
  <si>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</si>
  <si>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</si>
  <si>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</si>
  <si>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</si>
  <si>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</si>
  <si>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</si>
  <si>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</si>
  <si>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</si>
  <si>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</si>
  <si>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</si>
  <si>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</si>
  <si>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</si>
  <si>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</si>
  <si>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</si>
  <si>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</si>
  <si>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</si>
  <si>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</si>
  <si>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</si>
  <si>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</si>
  <si>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</si>
  <si>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</si>
  <si>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</si>
  <si>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</si>
  <si>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</si>
  <si>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</si>
  <si>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</si>
  <si>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</si>
  <si>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</si>
  <si>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</si>
  <si>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</si>
  <si>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</si>
  <si>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</si>
  <si>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</si>
  <si>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</si>
  <si>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</si>
  <si>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</si>
  <si>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</si>
  <si>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</si>
  <si>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</si>
  <si>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</si>
  <si>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</si>
  <si>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</si>
  <si>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</si>
  <si>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</si>
  <si>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</si>
  <si>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</si>
  <si>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</si>
  <si>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</si>
  <si>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</si>
  <si>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</si>
  <si>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</si>
  <si>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</si>
  <si>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</si>
  <si>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</si>
  <si>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</si>
  <si>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</si>
  <si>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</si>
  <si>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</si>
  <si>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</si>
  <si>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</si>
  <si>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</si>
  <si>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</si>
  <si>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</si>
  <si>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</si>
  <si>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</si>
  <si>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</si>
  <si>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</si>
  <si>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</si>
  <si>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</si>
  <si>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</si>
  <si>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</si>
  <si>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</si>
  <si>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</si>
  <si>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</si>
  <si>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</si>
  <si>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</si>
  <si>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</si>
  <si>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</si>
  <si>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</si>
  <si>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</si>
  <si>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</si>
  <si>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</si>
  <si>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</si>
  <si>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</si>
  <si>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</si>
  <si>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</si>
  <si>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</si>
  <si>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</si>
  <si>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</si>
  <si>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</si>
  <si>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</si>
  <si>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</si>
  <si>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</si>
  <si>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</si>
  <si>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</si>
  <si>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</si>
  <si>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</si>
  <si>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</si>
  <si>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</si>
  <si>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</si>
  <si>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</si>
  <si>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</si>
  <si>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</si>
  <si>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</si>
  <si>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</si>
  <si>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</si>
  <si>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</si>
  <si>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</si>
  <si>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</si>
  <si>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</si>
  <si>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</si>
  <si>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</si>
  <si>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</si>
  <si>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</si>
  <si>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</si>
  <si>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</si>
  <si>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</si>
  <si>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</si>
  <si>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</si>
  <si>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</si>
  <si>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</si>
  <si>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</si>
  <si>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</si>
  <si>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</si>
  <si>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</si>
  <si>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</si>
  <si>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</si>
  <si>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</si>
  <si>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</si>
  <si>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</si>
  <si>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</si>
  <si>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</si>
  <si>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</si>
  <si>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</si>
  <si>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</si>
  <si>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</si>
  <si>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</si>
  <si>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</si>
  <si>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</si>
  <si>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</si>
  <si>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</si>
  <si>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</si>
  <si>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</si>
  <si>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</si>
  <si>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</si>
  <si>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</si>
  <si>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</si>
  <si>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</si>
  <si>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</si>
  <si>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</si>
  <si>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</si>
  <si>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</si>
  <si>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</si>
  <si>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</si>
  <si>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</si>
  <si>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</si>
  <si>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</si>
  <si>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</si>
  <si>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</si>
  <si>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</si>
  <si>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</si>
  <si>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</si>
  <si>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</si>
  <si>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</si>
  <si>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</si>
  <si>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</si>
  <si>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</si>
  <si>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</si>
  <si>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</si>
  <si>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</si>
  <si>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</si>
  <si>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</si>
  <si>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</si>
  <si>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</si>
  <si>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</si>
  <si>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</si>
  <si>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</si>
  <si>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</si>
  <si>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</si>
  <si>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</si>
  <si>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</si>
  <si>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</si>
  <si>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</si>
  <si>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</si>
  <si>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</si>
  <si>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</si>
  <si>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</si>
  <si>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</si>
  <si>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</si>
  <si>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</si>
  <si>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</si>
  <si>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</si>
  <si>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</si>
  <si>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</si>
  <si>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</si>
  <si>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</si>
  <si>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</si>
  <si>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</si>
  <si>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</si>
  <si>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</si>
  <si>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</si>
  <si>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</si>
  <si>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</si>
  <si>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</si>
  <si>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</si>
  <si>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</si>
  <si>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</si>
  <si>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</si>
  <si>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</si>
  <si>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</si>
  <si>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</si>
  <si>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</si>
  <si>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</si>
  <si>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</si>
  <si>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</si>
  <si>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</si>
  <si>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</si>
  <si>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</si>
  <si>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</si>
  <si>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</si>
  <si>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</si>
  <si>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</si>
  <si>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</si>
  <si>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</si>
  <si>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</si>
  <si>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</si>
  <si>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</si>
  <si>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</si>
  <si>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</si>
  <si>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</si>
  <si>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</si>
  <si>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</si>
  <si>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</si>
  <si>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</si>
  <si>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</si>
  <si>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</si>
  <si>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</si>
  <si>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</si>
  <si>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</si>
  <si>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</si>
  <si>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</si>
  <si>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</si>
  <si>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</si>
  <si>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</si>
  <si>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</si>
  <si>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</si>
  <si>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</si>
  <si>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</si>
  <si>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</si>
  <si>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</si>
  <si>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</si>
  <si>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</si>
  <si>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</si>
  <si>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</si>
  <si>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</si>
  <si>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</si>
  <si>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</si>
  <si>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</si>
  <si>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</si>
  <si>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</si>
  <si>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</si>
  <si>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</si>
  <si>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</si>
  <si>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</si>
  <si>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</si>
  <si>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</si>
  <si>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</si>
  <si>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</si>
  <si>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</si>
  <si>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</si>
  <si>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</si>
  <si>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</si>
  <si>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</si>
  <si>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</si>
  <si>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</si>
  <si>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</si>
  <si>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</si>
  <si>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</si>
  <si>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</si>
  <si>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</si>
  <si>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</si>
  <si>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</si>
  <si>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</si>
  <si>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</si>
  <si>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</si>
  <si>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</si>
  <si>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</si>
  <si>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</si>
  <si>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</si>
  <si>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</si>
  <si>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</si>
  <si>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</si>
  <si>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</si>
  <si>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</si>
  <si>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</si>
  <si>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</si>
  <si>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</si>
  <si>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</si>
  <si>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</si>
  <si>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</si>
  <si>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</si>
  <si>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</si>
  <si>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</si>
  <si>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</si>
  <si>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</si>
  <si>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</si>
  <si>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</si>
  <si>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</si>
  <si>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</si>
  <si>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</si>
  <si>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</si>
  <si>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</si>
  <si>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</si>
  <si>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</si>
  <si>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</si>
  <si>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</si>
  <si>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</si>
  <si>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</si>
  <si>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</si>
  <si>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</si>
  <si>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</si>
  <si>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</si>
  <si>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</si>
  <si>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</si>
  <si>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</si>
  <si>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</si>
  <si>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</si>
  <si>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</si>
  <si>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</si>
  <si>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</si>
  <si>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</si>
  <si>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</si>
  <si>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</si>
  <si>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</si>
  <si>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</si>
  <si>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</si>
  <si>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</si>
  <si>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</si>
  <si>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</si>
  <si>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</si>
  <si>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</si>
  <si>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</si>
  <si>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</si>
  <si>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</si>
  <si>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</si>
  <si>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</si>
  <si>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</si>
  <si>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</si>
  <si>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</si>
  <si>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</si>
  <si>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</si>
  <si>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</si>
  <si>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</si>
  <si>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</si>
  <si>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</si>
  <si>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</si>
  <si>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</si>
  <si>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</si>
  <si>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</si>
  <si>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</si>
  <si>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</si>
  <si>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</si>
  <si>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</si>
  <si>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</si>
  <si>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</si>
  <si>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</si>
  <si>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</si>
  <si>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</si>
  <si>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</si>
  <si>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</si>
  <si>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</si>
  <si>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</si>
  <si>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</si>
  <si>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</si>
  <si>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</si>
  <si>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</si>
  <si>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</si>
  <si>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</si>
  <si>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</si>
  <si>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</si>
  <si>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</si>
  <si>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</si>
  <si>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</si>
  <si>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</si>
  <si>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</si>
  <si>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</si>
  <si>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</si>
  <si>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</si>
  <si>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</si>
  <si>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</si>
  <si>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</si>
  <si>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</si>
  <si>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</si>
  <si>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</si>
  <si>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</si>
  <si>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</si>
  <si>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</si>
  <si>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</si>
  <si>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</si>
  <si>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</si>
  <si>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</si>
  <si>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</si>
  <si>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</si>
  <si>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</si>
  <si>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</si>
  <si>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</si>
  <si>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</si>
  <si>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</si>
  <si>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</si>
  <si>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</si>
  <si>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</si>
  <si>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</si>
  <si>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</si>
  <si>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</si>
  <si>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</si>
  <si>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</si>
  <si>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</si>
  <si>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</si>
  <si>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</si>
  <si>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</si>
  <si>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</si>
  <si>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</si>
  <si>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</si>
  <si>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</si>
  <si>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</si>
  <si>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</si>
  <si>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</si>
  <si>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</si>
  <si>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</si>
  <si>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</si>
  <si>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</si>
  <si>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</si>
  <si>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</si>
  <si>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</si>
  <si>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</si>
  <si>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</si>
  <si>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</si>
  <si>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</si>
  <si>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</si>
  <si>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</si>
  <si>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</si>
  <si>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</si>
  <si>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</si>
  <si>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</si>
  <si>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</si>
  <si>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</si>
  <si>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</si>
  <si>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</si>
  <si>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</si>
  <si>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</si>
  <si>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</si>
  <si>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</si>
  <si>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</si>
  <si>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</si>
  <si>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</si>
  <si>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自然人</t>
  </si>
  <si>
    <t>北京市</t>
  </si>
  <si>
    <t>核定资产</t>
  </si>
  <si>
    <t>房地产市场价值</t>
  </si>
  <si>
    <t>住宅</t>
  </si>
  <si>
    <t>不临65条商业街</t>
  </si>
  <si>
    <t>有</t>
  </si>
  <si>
    <t>成新度</t>
  </si>
  <si>
    <t>收益法 (元)</t>
  </si>
  <si>
    <t>利息：取LPR加浮动点数</t>
  </si>
  <si>
    <t>是</t>
  </si>
  <si>
    <t>地上</t>
  </si>
  <si>
    <t>双拼</t>
  </si>
  <si>
    <t>押一</t>
  </si>
  <si>
    <t>钢混</t>
  </si>
  <si>
    <t>非生产用房</t>
  </si>
  <si>
    <t>较好</t>
  </si>
  <si>
    <t>一般</t>
  </si>
  <si>
    <t>好</t>
  </si>
  <si>
    <t>自定义容积率</t>
  </si>
  <si>
    <t>雪梨澳乡</t>
    <phoneticPr fontId="3" type="noConversion"/>
  </si>
  <si>
    <t>正常</t>
  </si>
  <si>
    <t>双拼</t>
    <phoneticPr fontId="24" type="noConversion"/>
  </si>
  <si>
    <t>南北</t>
    <phoneticPr fontId="24" type="noConversion"/>
  </si>
  <si>
    <t>钢混</t>
    <phoneticPr fontId="24" type="noConversion"/>
  </si>
  <si>
    <t>高档</t>
  </si>
  <si>
    <t>高档</t>
    <phoneticPr fontId="24" type="noConversion"/>
  </si>
  <si>
    <t>精装修</t>
  </si>
  <si>
    <t>精装修</t>
    <phoneticPr fontId="24" type="noConversion"/>
  </si>
  <si>
    <t>物业公司管理</t>
  </si>
  <si>
    <t>物业公司管理</t>
    <phoneticPr fontId="24" type="noConversion"/>
  </si>
  <si>
    <t>七通</t>
  </si>
  <si>
    <t>七通</t>
    <phoneticPr fontId="24" type="noConversion"/>
  </si>
  <si>
    <t>单套模式</t>
  </si>
  <si>
    <t>售价</t>
  </si>
  <si>
    <t>边户</t>
    <phoneticPr fontId="24" type="noConversion"/>
  </si>
  <si>
    <t>非边户</t>
    <phoneticPr fontId="24" type="noConversion"/>
  </si>
  <si>
    <t>成本法 (元)</t>
  </si>
  <si>
    <t>普通装修</t>
  </si>
  <si>
    <t>普通装修</t>
    <phoneticPr fontId="24" type="noConversion"/>
  </si>
  <si>
    <t>无</t>
  </si>
  <si>
    <t>2003</t>
    <phoneticPr fontId="6" type="noConversion"/>
  </si>
  <si>
    <t>2001</t>
    <phoneticPr fontId="6" type="noConversion"/>
  </si>
  <si>
    <t>位置</t>
    <phoneticPr fontId="24" type="noConversion"/>
  </si>
  <si>
    <t>住宅</t>
    <phoneticPr fontId="24" type="noConversion"/>
  </si>
  <si>
    <t>办公楼</t>
  </si>
  <si>
    <t>办公</t>
    <phoneticPr fontId="7" type="noConversion"/>
  </si>
  <si>
    <t>商务金融用地</t>
  </si>
  <si>
    <t>与级别开发程度不一致</t>
  </si>
  <si>
    <t>通路</t>
  </si>
  <si>
    <t>通电</t>
  </si>
  <si>
    <t>通讯</t>
  </si>
  <si>
    <t>通上水</t>
  </si>
  <si>
    <t>通下水</t>
  </si>
  <si>
    <t>平整</t>
  </si>
  <si>
    <t>比较法-办公</t>
  </si>
  <si>
    <t>项目名称</t>
    <phoneticPr fontId="247" type="noConversion"/>
  </si>
  <si>
    <t>面积</t>
    <phoneticPr fontId="247" type="noConversion"/>
  </si>
  <si>
    <t>楼层</t>
    <phoneticPr fontId="247" type="noConversion"/>
  </si>
  <si>
    <t>朝向</t>
    <phoneticPr fontId="247" type="noConversion"/>
  </si>
  <si>
    <t>售价</t>
    <phoneticPr fontId="247" type="noConversion"/>
  </si>
  <si>
    <t>交易日期</t>
    <phoneticPr fontId="247" type="noConversion"/>
  </si>
  <si>
    <t>数码大厦</t>
    <phoneticPr fontId="247" type="noConversion"/>
  </si>
  <si>
    <t>低/16</t>
    <phoneticPr fontId="247" type="noConversion"/>
  </si>
  <si>
    <t>东</t>
    <phoneticPr fontId="247" type="noConversion"/>
  </si>
  <si>
    <t>中/16</t>
    <phoneticPr fontId="247" type="noConversion"/>
  </si>
  <si>
    <t>西</t>
    <phoneticPr fontId="247" type="noConversion"/>
  </si>
  <si>
    <t>高/16</t>
    <phoneticPr fontId="247" type="noConversion"/>
  </si>
  <si>
    <t>长远天地</t>
    <phoneticPr fontId="247" type="noConversion"/>
  </si>
  <si>
    <t>低/21</t>
    <phoneticPr fontId="247" type="noConversion"/>
  </si>
  <si>
    <t>西北</t>
    <phoneticPr fontId="247" type="noConversion"/>
  </si>
  <si>
    <t>高/21</t>
    <phoneticPr fontId="247" type="noConversion"/>
  </si>
  <si>
    <t>东北</t>
    <phoneticPr fontId="247" type="noConversion"/>
  </si>
  <si>
    <t>中/21</t>
    <phoneticPr fontId="247" type="noConversion"/>
  </si>
  <si>
    <t>西南</t>
    <phoneticPr fontId="247" type="noConversion"/>
  </si>
  <si>
    <t>东南</t>
    <phoneticPr fontId="247" type="noConversion"/>
  </si>
  <si>
    <t>高/9</t>
    <phoneticPr fontId="247" type="noConversion"/>
  </si>
  <si>
    <t>南北</t>
    <phoneticPr fontId="247" type="noConversion"/>
  </si>
  <si>
    <t>北</t>
    <phoneticPr fontId="247" type="noConversion"/>
  </si>
  <si>
    <t>知春大厦</t>
    <phoneticPr fontId="247" type="noConversion"/>
  </si>
  <si>
    <t>中/20</t>
    <phoneticPr fontId="247" type="noConversion"/>
  </si>
  <si>
    <t>低/20</t>
    <phoneticPr fontId="247" type="noConversion"/>
  </si>
  <si>
    <t>南</t>
    <phoneticPr fontId="247" type="noConversion"/>
  </si>
  <si>
    <t>盈都大厦</t>
    <phoneticPr fontId="247" type="noConversion"/>
  </si>
  <si>
    <t>高/18</t>
    <phoneticPr fontId="247" type="noConversion"/>
  </si>
  <si>
    <t>中/18</t>
    <phoneticPr fontId="247" type="noConversion"/>
  </si>
  <si>
    <t>中/14</t>
    <phoneticPr fontId="247" type="noConversion"/>
  </si>
  <si>
    <t>低/18</t>
    <phoneticPr fontId="247" type="noConversion"/>
  </si>
  <si>
    <t>地下/14</t>
    <phoneticPr fontId="247" type="noConversion"/>
  </si>
  <si>
    <t>车库</t>
    <phoneticPr fontId="247" type="noConversion"/>
  </si>
  <si>
    <t>盈都大厦</t>
    <phoneticPr fontId="3" type="noConversion"/>
  </si>
  <si>
    <t>办公</t>
    <phoneticPr fontId="31" type="noConversion"/>
  </si>
  <si>
    <t>高层塔楼</t>
  </si>
  <si>
    <t>高层塔楼</t>
    <phoneticPr fontId="31" type="noConversion"/>
  </si>
  <si>
    <t>钢混</t>
    <phoneticPr fontId="31" type="noConversion"/>
  </si>
  <si>
    <t>精装修</t>
    <phoneticPr fontId="31" type="noConversion"/>
  </si>
  <si>
    <t>甲级</t>
    <phoneticPr fontId="31" type="noConversion"/>
  </si>
  <si>
    <t>乙级</t>
  </si>
  <si>
    <t>乙级</t>
    <phoneticPr fontId="31" type="noConversion"/>
  </si>
  <si>
    <t>物业公司管理</t>
    <phoneticPr fontId="31" type="noConversion"/>
  </si>
  <si>
    <t>七通</t>
    <phoneticPr fontId="31" type="noConversion"/>
  </si>
  <si>
    <t>六通</t>
    <phoneticPr fontId="31" type="noConversion"/>
  </si>
  <si>
    <t>五通</t>
  </si>
  <si>
    <t>五通</t>
    <phoneticPr fontId="31" type="noConversion"/>
  </si>
  <si>
    <t>一般装修</t>
  </si>
  <si>
    <t>一般装修</t>
    <phoneticPr fontId="31" type="noConversion"/>
  </si>
  <si>
    <t>高楼层</t>
  </si>
  <si>
    <t>高楼层</t>
    <phoneticPr fontId="31" type="noConversion"/>
  </si>
  <si>
    <t>中楼层</t>
  </si>
  <si>
    <t>中楼层</t>
    <phoneticPr fontId="31" type="noConversion"/>
  </si>
  <si>
    <t>低楼层</t>
    <phoneticPr fontId="31" type="noConversion"/>
  </si>
  <si>
    <t>南</t>
  </si>
  <si>
    <t>南</t>
    <phoneticPr fontId="31" type="noConversion"/>
  </si>
  <si>
    <t>北</t>
  </si>
  <si>
    <t>北</t>
    <phoneticPr fontId="31" type="noConversion"/>
  </si>
  <si>
    <t>东南</t>
  </si>
  <si>
    <t>东南</t>
    <phoneticPr fontId="31" type="noConversion"/>
  </si>
  <si>
    <t>城市主干道</t>
  </si>
  <si>
    <t>城市主干道</t>
    <phoneticPr fontId="31" type="noConversion"/>
  </si>
  <si>
    <t>城市次干道-大钟寺东路</t>
    <phoneticPr fontId="31" type="noConversion"/>
  </si>
  <si>
    <t>估价对象位于知春路商圈，周边办公楼项目有希格玛大厦、资金数码园、厦门大厦、卫星大厦、金仪科技大厦，入驻率高，办公集聚程度较好</t>
    <phoneticPr fontId="24" type="noConversion"/>
  </si>
  <si>
    <t>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t>
    <phoneticPr fontId="40" type="noConversion"/>
  </si>
  <si>
    <t>估价对象所在区域基础设施水平-七通</t>
    <phoneticPr fontId="2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</si>
  <si>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知春路</t>
    </r>
    <phoneticPr fontId="24" type="noConversion"/>
  </si>
  <si>
    <t>区域自然环境：知春公园、双榆树公园；人文环境；首体足球场、大运村网球场；
综合评价环境状况较好</t>
    <phoneticPr fontId="40" type="noConversion"/>
  </si>
  <si>
    <t>估价对象临近知春路，距离地铁10、13号线知春路站约100米，周边有专168路、311路、319路、630路等公交车通达，停车便捷程度较好，综合评价交通便捷度好</t>
    <phoneticPr fontId="40" type="noConversion"/>
  </si>
  <si>
    <r>
      <rPr>
        <sz val="11"/>
        <rFont val="宋体"/>
        <family val="3"/>
        <charset val="134"/>
      </rPr>
      <t>城市主干道</t>
    </r>
    <r>
      <rPr>
        <sz val="11"/>
        <rFont val="Arial"/>
        <family val="2"/>
      </rPr>
      <t>-</t>
    </r>
    <r>
      <rPr>
        <sz val="11"/>
        <rFont val="宋体"/>
        <family val="3"/>
        <charset val="134"/>
      </rPr>
      <t>知春路</t>
    </r>
    <phoneticPr fontId="31" type="noConversion"/>
  </si>
  <si>
    <t>建筑面积</t>
    <phoneticPr fontId="134" type="noConversion"/>
  </si>
  <si>
    <t>商业</t>
    <phoneticPr fontId="134" type="noConversion"/>
  </si>
  <si>
    <t>办公及公寓</t>
    <phoneticPr fontId="134" type="noConversion"/>
  </si>
  <si>
    <t>土地面积</t>
    <phoneticPr fontId="134" type="noConversion"/>
  </si>
  <si>
    <t>500米范围内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</si>
</sst>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scheme val="minor"/>
    </font>
    <font>
      <sz val="11"/>
      <color rgb="FF333333"/>
      <name val="宋体"/>
      <family val="3"/>
      <charset val="134"/>
      <scheme val="minor"/>
    </font>
    <font>
      <sz val="11"/>
      <color rgb="FFFF0000"/>
      <name val="宋体"/>
      <family val="2"/>
      <charset val="134"/>
      <scheme val="minor"/>
    </font>
    <font>
      <sz val="11"/>
      <color theme="1"/>
      <name val="宋体"/>
      <family val="2"/>
      <charset val="134"/>
      <scheme val="minor"/>
    </font>
    <font>
      <sz val="11"/>
      <color rgb="FFFF0000"/>
      <name val="宋体"/>
      <family val="3"/>
      <charset val="134"/>
      <scheme val="minor"/>
    </font>
    <font>
      <sz val="10"/>
      <color theme="9" tint="-0.249977111117893"/>
      <name val="Arial"/>
      <family val="3"/>
      <charset val="134"/>
    </font>
    <font>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alignment vertical="center"/>
    </xf>
  </cellStyleXfs>
  <cellXfs count="38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269" fillId="0" borderId="0" xfId="0" applyFont="1" applyFill="1" applyBorder="1" applyAlignment="1">
      <alignment horizontal="center" vertical="center" wrapText="1"/>
    </xf>
    <xf numFmtId="0" fontId="0" fillId="0" borderId="0" xfId="0" applyFill="1" applyBorder="1">
      <alignment vertical="center"/>
    </xf>
    <xf numFmtId="0" fontId="270" fillId="0" borderId="0" xfId="0" applyFont="1" applyFill="1" applyBorder="1" applyAlignment="1">
      <alignment horizontal="center" vertical="center" wrapText="1"/>
    </xf>
    <xf numFmtId="0" fontId="95" fillId="0" borderId="0" xfId="0" applyFont="1" applyFill="1" applyBorder="1">
      <alignment vertical="center"/>
    </xf>
    <xf numFmtId="176" fontId="270" fillId="0" borderId="0" xfId="0" applyNumberFormat="1" applyFont="1" applyFill="1" applyBorder="1" applyAlignment="1">
      <alignment horizontal="center" vertical="center" wrapText="1"/>
    </xf>
    <xf numFmtId="176" fontId="0" fillId="0" borderId="0" xfId="0" applyNumberFormat="1" applyFill="1" applyBorder="1">
      <alignment vertical="center"/>
    </xf>
    <xf numFmtId="176" fontId="0" fillId="0" borderId="0" xfId="0" applyNumberFormat="1">
      <alignment vertical="center"/>
    </xf>
    <xf numFmtId="0" fontId="272" fillId="0" borderId="1" xfId="19" applyBorder="1" applyAlignment="1">
      <alignment horizontal="center" vertical="center"/>
    </xf>
    <xf numFmtId="0" fontId="272" fillId="0" borderId="0" xfId="19">
      <alignment vertical="center"/>
    </xf>
    <xf numFmtId="0" fontId="272" fillId="22" borderId="1" xfId="19" applyFill="1" applyBorder="1" applyAlignment="1">
      <alignment horizontal="center" vertical="center"/>
    </xf>
    <xf numFmtId="14" fontId="272" fillId="22" borderId="1" xfId="19" applyNumberFormat="1" applyFill="1" applyBorder="1" applyAlignment="1">
      <alignment horizontal="center" vertical="center"/>
    </xf>
    <xf numFmtId="14" fontId="272" fillId="0" borderId="1" xfId="19" applyNumberFormat="1" applyBorder="1" applyAlignment="1">
      <alignment horizontal="center" vertical="center"/>
    </xf>
    <xf numFmtId="58" fontId="272" fillId="0" borderId="0" xfId="19" applyNumberFormat="1">
      <alignment vertical="center"/>
    </xf>
    <xf numFmtId="0" fontId="271" fillId="5" borderId="1" xfId="19" applyFont="1" applyFill="1" applyBorder="1" applyAlignment="1">
      <alignment horizontal="center" vertical="center"/>
    </xf>
    <xf numFmtId="0" fontId="273" fillId="5" borderId="1" xfId="19" applyFont="1" applyFill="1" applyBorder="1" applyAlignment="1">
      <alignment horizontal="center" vertical="center"/>
    </xf>
    <xf numFmtId="14" fontId="273" fillId="5" borderId="1" xfId="19" applyNumberFormat="1" applyFont="1" applyFill="1" applyBorder="1" applyAlignment="1">
      <alignment horizontal="center"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74" fillId="0" borderId="49" xfId="0" applyFont="1" applyBorder="1" applyAlignment="1" applyProtection="1">
      <alignment vertical="center"/>
      <protection locked="0"/>
    </xf>
    <xf numFmtId="0" fontId="275" fillId="0" borderId="54" xfId="0" applyNumberFormat="1" applyFont="1" applyFill="1" applyBorder="1" applyAlignment="1" applyProtection="1">
      <alignment horizontal="center" vertical="center" wrapText="1"/>
      <protection locked="0"/>
    </xf>
    <xf numFmtId="0" fontId="95" fillId="0" borderId="0" xfId="0" applyFont="1">
      <alignment vertical="center"/>
    </xf>
    <xf numFmtId="179" fontId="51" fillId="9" borderId="1" xfId="0" applyNumberFormat="1"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0" xfId="0" applyAlignment="1">
      <alignment horizontal="center" vertical="center"/>
    </xf>
    <xf numFmtId="0" fontId="272" fillId="22" borderId="1" xfId="19" applyFill="1" applyBorder="1" applyAlignment="1">
      <alignment horizontal="center" vertical="center"/>
    </xf>
    <xf numFmtId="0" fontId="272" fillId="0" borderId="13" xfId="19" applyBorder="1" applyAlignment="1">
      <alignment horizontal="center" vertical="center"/>
    </xf>
    <xf numFmtId="0" fontId="272" fillId="0" borderId="15" xfId="19" applyBorder="1" applyAlignment="1">
      <alignment horizontal="center" vertical="center"/>
    </xf>
    <xf numFmtId="0" fontId="272" fillId="0" borderId="2" xfId="19" applyBorder="1" applyAlignment="1">
      <alignment horizontal="center" vertical="center"/>
    </xf>
    <xf numFmtId="0" fontId="272" fillId="22" borderId="13" xfId="19" applyFill="1" applyBorder="1" applyAlignment="1">
      <alignment horizontal="center" vertical="center"/>
    </xf>
    <xf numFmtId="0" fontId="272" fillId="22" borderId="15" xfId="19" applyFill="1" applyBorder="1" applyAlignment="1">
      <alignment horizontal="center" vertical="center"/>
    </xf>
    <xf numFmtId="0" fontId="272" fillId="22" borderId="2" xfId="19" applyFill="1" applyBorder="1" applyAlignment="1">
      <alignment horizontal="center" vertical="center"/>
    </xf>
  </cellXfs>
  <cellStyles count="20">
    <cellStyle name="百分比" xfId="17" builtinId="5"/>
    <cellStyle name="百分比 2" xfId="14" xr:uid="{00000000-0005-0000-0000-000001000000}"/>
    <cellStyle name="常规" xfId="0" builtinId="0"/>
    <cellStyle name="常规 10"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114300</xdr:colOff>
      <xdr:row>27</xdr:row>
      <xdr:rowOff>13399</xdr:rowOff>
    </xdr:to>
    <xdr:pic>
      <xdr:nvPicPr>
        <xdr:cNvPr id="2" name="图片 1">
          <a:extLst>
            <a:ext uri="{FF2B5EF4-FFF2-40B4-BE49-F238E27FC236}">
              <a16:creationId xmlns:a16="http://schemas.microsoft.com/office/drawing/2014/main" id="{700C093B-7AEA-47FC-916A-A19FCFD00871}"/>
            </a:ext>
          </a:extLst>
        </xdr:cNvPr>
        <xdr:cNvPicPr>
          <a:picLocks noChangeAspect="1"/>
        </xdr:cNvPicPr>
      </xdr:nvPicPr>
      <xdr:blipFill>
        <a:blip xmlns:r="http://schemas.openxmlformats.org/officeDocument/2006/relationships" r:embed="rId1"/>
        <a:stretch>
          <a:fillRect/>
        </a:stretch>
      </xdr:blipFill>
      <xdr:spPr>
        <a:xfrm>
          <a:off x="2428875" y="0"/>
          <a:ext cx="4933950" cy="4642549"/>
        </a:xfrm>
        <a:prstGeom prst="rect">
          <a:avLst/>
        </a:prstGeom>
      </xdr:spPr>
    </xdr:pic>
    <xdr:clientData/>
  </xdr:twoCellAnchor>
  <xdr:twoCellAnchor editAs="oneCell">
    <xdr:from>
      <xdr:col>6</xdr:col>
      <xdr:colOff>666750</xdr:colOff>
      <xdr:row>6</xdr:row>
      <xdr:rowOff>142875</xdr:rowOff>
    </xdr:from>
    <xdr:to>
      <xdr:col>15</xdr:col>
      <xdr:colOff>468557</xdr:colOff>
      <xdr:row>26</xdr:row>
      <xdr:rowOff>94733</xdr:rowOff>
    </xdr:to>
    <xdr:pic>
      <xdr:nvPicPr>
        <xdr:cNvPr id="3" name="图片 2">
          <a:extLst>
            <a:ext uri="{FF2B5EF4-FFF2-40B4-BE49-F238E27FC236}">
              <a16:creationId xmlns:a16="http://schemas.microsoft.com/office/drawing/2014/main" id="{071B3E59-1B5D-41A9-8B80-0BD6779B20E4}"/>
            </a:ext>
          </a:extLst>
        </xdr:cNvPr>
        <xdr:cNvPicPr>
          <a:picLocks noChangeAspect="1"/>
        </xdr:cNvPicPr>
      </xdr:nvPicPr>
      <xdr:blipFill>
        <a:blip xmlns:r="http://schemas.openxmlformats.org/officeDocument/2006/relationships" r:embed="rId2"/>
        <a:stretch>
          <a:fillRect/>
        </a:stretch>
      </xdr:blipFill>
      <xdr:spPr>
        <a:xfrm>
          <a:off x="4781550" y="1171575"/>
          <a:ext cx="6107357" cy="3380858"/>
        </a:xfrm>
        <a:prstGeom prst="rect">
          <a:avLst/>
        </a:prstGeom>
      </xdr:spPr>
    </xdr:pic>
    <xdr:clientData/>
  </xdr:twoCellAnchor>
  <xdr:twoCellAnchor editAs="oneCell">
    <xdr:from>
      <xdr:col>7</xdr:col>
      <xdr:colOff>85725</xdr:colOff>
      <xdr:row>24</xdr:row>
      <xdr:rowOff>78357</xdr:rowOff>
    </xdr:from>
    <xdr:to>
      <xdr:col>15</xdr:col>
      <xdr:colOff>76200</xdr:colOff>
      <xdr:row>42</xdr:row>
      <xdr:rowOff>28105</xdr:rowOff>
    </xdr:to>
    <xdr:pic>
      <xdr:nvPicPr>
        <xdr:cNvPr id="4" name="图片 3">
          <a:extLst>
            <a:ext uri="{FF2B5EF4-FFF2-40B4-BE49-F238E27FC236}">
              <a16:creationId xmlns:a16="http://schemas.microsoft.com/office/drawing/2014/main" id="{EFA8DE25-DB9C-4CF8-B328-C2898CBC9C68}"/>
            </a:ext>
          </a:extLst>
        </xdr:cNvPr>
        <xdr:cNvPicPr>
          <a:picLocks noChangeAspect="1"/>
        </xdr:cNvPicPr>
      </xdr:nvPicPr>
      <xdr:blipFill>
        <a:blip xmlns:r="http://schemas.openxmlformats.org/officeDocument/2006/relationships" r:embed="rId3"/>
        <a:stretch>
          <a:fillRect/>
        </a:stretch>
      </xdr:blipFill>
      <xdr:spPr>
        <a:xfrm>
          <a:off x="4924425" y="4193157"/>
          <a:ext cx="5572125" cy="3035848"/>
        </a:xfrm>
        <a:prstGeom prst="rect">
          <a:avLst/>
        </a:prstGeom>
      </xdr:spPr>
    </xdr:pic>
    <xdr:clientData/>
  </xdr:twoCellAnchor>
  <xdr:twoCellAnchor editAs="oneCell">
    <xdr:from>
      <xdr:col>11</xdr:col>
      <xdr:colOff>647701</xdr:colOff>
      <xdr:row>16</xdr:row>
      <xdr:rowOff>161924</xdr:rowOff>
    </xdr:from>
    <xdr:to>
      <xdr:col>19</xdr:col>
      <xdr:colOff>456461</xdr:colOff>
      <xdr:row>48</xdr:row>
      <xdr:rowOff>64479</xdr:rowOff>
    </xdr:to>
    <xdr:pic>
      <xdr:nvPicPr>
        <xdr:cNvPr id="5" name="图片 4">
          <a:extLst>
            <a:ext uri="{FF2B5EF4-FFF2-40B4-BE49-F238E27FC236}">
              <a16:creationId xmlns:a16="http://schemas.microsoft.com/office/drawing/2014/main" id="{196A3395-2B66-4E79-A2AA-F1F67D0EFEB6}"/>
            </a:ext>
          </a:extLst>
        </xdr:cNvPr>
        <xdr:cNvPicPr>
          <a:picLocks noChangeAspect="1"/>
        </xdr:cNvPicPr>
      </xdr:nvPicPr>
      <xdr:blipFill>
        <a:blip xmlns:r="http://schemas.openxmlformats.org/officeDocument/2006/relationships" r:embed="rId4"/>
        <a:stretch>
          <a:fillRect/>
        </a:stretch>
      </xdr:blipFill>
      <xdr:spPr>
        <a:xfrm>
          <a:off x="8324851" y="2905124"/>
          <a:ext cx="5295160" cy="5388955"/>
        </a:xfrm>
        <a:prstGeom prst="rect">
          <a:avLst/>
        </a:prstGeom>
      </xdr:spPr>
    </xdr:pic>
    <xdr:clientData/>
  </xdr:twoCellAnchor>
  <xdr:twoCellAnchor editAs="oneCell">
    <xdr:from>
      <xdr:col>0</xdr:col>
      <xdr:colOff>28575</xdr:colOff>
      <xdr:row>41</xdr:row>
      <xdr:rowOff>104775</xdr:rowOff>
    </xdr:from>
    <xdr:to>
      <xdr:col>9</xdr:col>
      <xdr:colOff>104290</xdr:colOff>
      <xdr:row>71</xdr:row>
      <xdr:rowOff>18273</xdr:rowOff>
    </xdr:to>
    <xdr:pic>
      <xdr:nvPicPr>
        <xdr:cNvPr id="6" name="图片 5">
          <a:extLst>
            <a:ext uri="{FF2B5EF4-FFF2-40B4-BE49-F238E27FC236}">
              <a16:creationId xmlns:a16="http://schemas.microsoft.com/office/drawing/2014/main" id="{44955B2D-20E2-4273-B5EF-65D6FB610058}"/>
            </a:ext>
          </a:extLst>
        </xdr:cNvPr>
        <xdr:cNvPicPr>
          <a:picLocks noChangeAspect="1"/>
        </xdr:cNvPicPr>
      </xdr:nvPicPr>
      <xdr:blipFill>
        <a:blip xmlns:r="http://schemas.openxmlformats.org/officeDocument/2006/relationships" r:embed="rId5"/>
        <a:stretch>
          <a:fillRect/>
        </a:stretch>
      </xdr:blipFill>
      <xdr:spPr>
        <a:xfrm>
          <a:off x="28575" y="7134225"/>
          <a:ext cx="6381265" cy="5056998"/>
        </a:xfrm>
        <a:prstGeom prst="rect">
          <a:avLst/>
        </a:prstGeom>
      </xdr:spPr>
    </xdr:pic>
    <xdr:clientData/>
  </xdr:twoCellAnchor>
  <xdr:twoCellAnchor editAs="oneCell">
    <xdr:from>
      <xdr:col>7</xdr:col>
      <xdr:colOff>504825</xdr:colOff>
      <xdr:row>50</xdr:row>
      <xdr:rowOff>6151</xdr:rowOff>
    </xdr:from>
    <xdr:to>
      <xdr:col>21</xdr:col>
      <xdr:colOff>360632</xdr:colOff>
      <xdr:row>71</xdr:row>
      <xdr:rowOff>47122</xdr:rowOff>
    </xdr:to>
    <xdr:pic>
      <xdr:nvPicPr>
        <xdr:cNvPr id="7" name="图片 6">
          <a:extLst>
            <a:ext uri="{FF2B5EF4-FFF2-40B4-BE49-F238E27FC236}">
              <a16:creationId xmlns:a16="http://schemas.microsoft.com/office/drawing/2014/main" id="{725B8BE3-0D58-4054-A5A4-95CD9B496523}"/>
            </a:ext>
          </a:extLst>
        </xdr:cNvPr>
        <xdr:cNvPicPr>
          <a:picLocks noChangeAspect="1"/>
        </xdr:cNvPicPr>
      </xdr:nvPicPr>
      <xdr:blipFill>
        <a:blip xmlns:r="http://schemas.openxmlformats.org/officeDocument/2006/relationships" r:embed="rId6"/>
        <a:stretch>
          <a:fillRect/>
        </a:stretch>
      </xdr:blipFill>
      <xdr:spPr>
        <a:xfrm>
          <a:off x="5343525" y="8578651"/>
          <a:ext cx="9552257" cy="3641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96;/&#26700;&#38754;/2022-1-0649&#19968;&#20307;&#21270;&#24179;&#21488;&#28023;&#28096;/F01&#38634;&#26792;&#28595;&#20065;&#24066;&#22330;&#20215;&#20540;/&#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受贵公司委托，我公司对北京市房地产市场价值进行了预评估。</v>
      </c>
    </row>
    <row r="7" spans="1:2" s="1202" customFormat="1">
      <c r="A7" s="1200" t="s">
        <v>566</v>
      </c>
      <c r="B7" s="1201" t="str">
        <f>'预评函-1'!A7</f>
        <v>估价对象为北京市房地产，为所有。根据《国有土地使用证》[]，估价对象（分摊）出让国有建设用地使用权面积为0平方米，建筑面积为459.68平方米。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估价对象为北京市房地产,属开发建设的，该项目尚在开发建设中。根据《国有土地使用证》[]，估价对象（分摊）出让国有建设用地使用权面积为0平方米，规划建筑面积为459.68平方米。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2022年10月11日</v>
      </c>
    </row>
    <row r="13" spans="1:2" s="1202" customFormat="1">
      <c r="A13" s="1200" t="s">
        <v>529</v>
      </c>
      <c r="B13" s="1201" t="str">
        <f>'预评函-1'!A18</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本次评估采用的主估价方法为比较法和成本法。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459.68</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5" t="str">
        <f>项目基本情况!B1</f>
        <v>北京市房地产市场价值预评估</v>
      </c>
      <c r="C37" s="3475"/>
      <c r="D37" s="3475"/>
      <c r="E37" s="3475"/>
      <c r="F37" s="3475"/>
      <c r="G37" s="3475"/>
      <c r="H37" s="3475"/>
      <c r="I37" s="3475"/>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受贵公司委托，我公司对北京市房地产市场价值进行了预评估。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估价对象为北京市房地产，为所有。根据《国有土地使用证》[]，估价对象（分摊）出让国有建设用地使用权面积为0平方米，建筑面积为459.68平方米。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估价对象为北京市房地产,属开发建设的，该项目尚在开发建设中。根据《国有土地使用证》[]，估价对象（分摊）出让国有建设用地使用权面积为0平方米，规划建筑面积为459.68平方米。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2022年10月11日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本次评估采用的主估价方法为比较法和成本法。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估价结果一览表（市场价值不需“结果表-1”）</v>
      </c>
      <c r="B3" s="3481"/>
      <c r="C3" s="3481"/>
      <c r="D3" s="3481"/>
      <c r="E3" s="3481"/>
    </row>
    <row r="4" spans="1:5" ht="19.5" thickBot="1">
      <c r="A4" s="1492"/>
      <c r="B4" s="3479" t="s">
        <v>917</v>
      </c>
      <c r="C4" s="3479"/>
      <c r="D4" s="3479"/>
      <c r="E4" s="1492"/>
    </row>
    <row r="5" spans="1:5" ht="16.5" thickTop="1">
      <c r="A5" s="1490"/>
      <c r="B5" s="3477" t="s">
        <v>909</v>
      </c>
      <c r="C5" s="1493" t="s">
        <v>910</v>
      </c>
      <c r="D5" s="850" t="e">
        <f ca="1">结果表!H101</f>
        <v>#REF!</v>
      </c>
      <c r="E5" s="1490"/>
    </row>
    <row r="6" spans="1:5" ht="15.75">
      <c r="A6" s="1490"/>
      <c r="B6" s="3477"/>
      <c r="C6" s="1493" t="s">
        <v>911</v>
      </c>
      <c r="D6" s="850" t="e">
        <f ca="1">NUMBERSTRING(INT(D5*10000),2)&amp;"元整"</f>
        <v>#REF!</v>
      </c>
      <c r="E6" s="1490"/>
    </row>
    <row r="7" spans="1:5" ht="15.75">
      <c r="A7" s="1490"/>
      <c r="B7" s="3482"/>
      <c r="C7" s="1494" t="s">
        <v>912</v>
      </c>
      <c r="D7" s="851" t="e">
        <f ca="1">结果表!H102</f>
        <v>#REF!</v>
      </c>
      <c r="E7" s="1490"/>
    </row>
    <row r="8" spans="1:5" ht="15.75">
      <c r="A8" s="1490"/>
      <c r="B8" s="3483" t="str">
        <f>结果表!E103</f>
        <v>2.估价师知悉的法定优先受偿款</v>
      </c>
      <c r="C8" s="1495" t="s">
        <v>913</v>
      </c>
      <c r="D8" s="851">
        <f>结果表!H103</f>
        <v>0</v>
      </c>
      <c r="E8" s="1490"/>
    </row>
    <row r="9" spans="1:5" ht="15.75">
      <c r="A9" s="1490"/>
      <c r="B9" s="3485"/>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76" t="str">
        <f>结果表!E107</f>
        <v>3.房地产抵押价值</v>
      </c>
      <c r="C13" s="1498" t="s">
        <v>910</v>
      </c>
      <c r="D13" s="853" t="e">
        <f ca="1">结果表!H107</f>
        <v>#REF!</v>
      </c>
      <c r="E13" s="1490"/>
    </row>
    <row r="14" spans="1:5" ht="15.75">
      <c r="A14" s="1490"/>
      <c r="B14" s="3477"/>
      <c r="C14" s="1493" t="s">
        <v>911</v>
      </c>
      <c r="D14" s="850" t="e">
        <f ca="1">NUMBERSTRING(INT(D13*10000),2)&amp;"元整"</f>
        <v>#REF!</v>
      </c>
      <c r="E14" s="1490"/>
    </row>
    <row r="15" spans="1:5" ht="15">
      <c r="A15" s="1490"/>
      <c r="B15" s="3482"/>
      <c r="C15" s="1494" t="s">
        <v>921</v>
      </c>
      <c r="D15" s="859" t="e">
        <f ca="1">结果表!H108</f>
        <v>#REF!</v>
      </c>
      <c r="E15" s="1490"/>
    </row>
    <row r="16" spans="1:5" ht="15">
      <c r="A16" s="1490"/>
      <c r="B16" s="3483" t="str">
        <f>结果表!E109</f>
        <v>——</v>
      </c>
      <c r="C16" s="1498" t="s">
        <v>922</v>
      </c>
      <c r="D16" s="1499" t="str">
        <f>结果表!H109</f>
        <v>——</v>
      </c>
      <c r="E16" s="1490"/>
    </row>
    <row r="17" spans="1:5" ht="15.75">
      <c r="A17" s="1490"/>
      <c r="B17" s="3484"/>
      <c r="C17" s="1493" t="s">
        <v>923</v>
      </c>
      <c r="D17" s="850" t="e">
        <f>NUMBERSTRING(INT(D16*10000),2)&amp;"元整"</f>
        <v>#VALUE!</v>
      </c>
      <c r="E17" s="1490"/>
    </row>
    <row r="18" spans="1:5" ht="15">
      <c r="A18" s="1490"/>
      <c r="B18" s="3485"/>
      <c r="C18" s="1494" t="s">
        <v>912</v>
      </c>
      <c r="D18" s="859" t="str">
        <f>结果表!H110</f>
        <v>——</v>
      </c>
      <c r="E18" s="1490"/>
    </row>
    <row r="19" spans="1:5" ht="15.75">
      <c r="A19" s="1490"/>
      <c r="B19" s="3476" t="str">
        <f>结果表!E111</f>
        <v>——</v>
      </c>
      <c r="C19" s="1498" t="s">
        <v>910</v>
      </c>
      <c r="D19" s="851" t="str">
        <f>结果表!H111</f>
        <v>——</v>
      </c>
      <c r="E19" s="1490"/>
    </row>
    <row r="20" spans="1:5" ht="15.75">
      <c r="A20" s="1490"/>
      <c r="B20" s="3477"/>
      <c r="C20" s="1493" t="s">
        <v>923</v>
      </c>
      <c r="D20" s="850" t="e">
        <f>NUMBERSTRING(INT(D19*10000),2)&amp;"元整"</f>
        <v>#VALUE!</v>
      </c>
      <c r="E20" s="1490"/>
    </row>
    <row r="21" spans="1:5" ht="15.75" thickBot="1">
      <c r="A21" s="1490"/>
      <c r="B21" s="3478"/>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6" t="str">
        <f>IF(项目基本情况!B9="房地产市场价值","估价结果一览表","结果表-2")</f>
        <v>估价结果一览表</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房地产市场价值</v>
      </c>
      <c r="I2" s="3487"/>
    </row>
    <row r="3" spans="1:9" ht="15">
      <c r="A3" s="3488"/>
      <c r="B3" s="3488"/>
      <c r="C3" s="3488"/>
      <c r="D3" s="854" t="s">
        <v>925</v>
      </c>
      <c r="E3" s="854" t="s">
        <v>931</v>
      </c>
      <c r="F3" s="854" t="s">
        <v>925</v>
      </c>
      <c r="G3" s="854" t="s">
        <v>926</v>
      </c>
      <c r="H3" s="854" t="s">
        <v>925</v>
      </c>
      <c r="I3" s="854" t="s">
        <v>926</v>
      </c>
    </row>
    <row r="4" spans="1:9" ht="15">
      <c r="A4" s="1504" t="str">
        <f>项目基本情况!S2</f>
        <v>北京市房地产</v>
      </c>
      <c r="B4" s="854">
        <f>项目基本情况!C17</f>
        <v>459.68</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8" t="s">
        <v>927</v>
      </c>
      <c r="B5" s="3488"/>
      <c r="C5" s="3488"/>
      <c r="D5" s="3488" t="e">
        <f ca="1">结果表!D119</f>
        <v>#REF!</v>
      </c>
      <c r="E5" s="3488"/>
      <c r="F5" s="3488" t="e">
        <f ca="1">结果表!F119</f>
        <v>#REF!</v>
      </c>
      <c r="G5" s="3488"/>
      <c r="H5" s="3488" t="e">
        <f ca="1">结果表!H119</f>
        <v>#REF!</v>
      </c>
      <c r="I5" s="3488"/>
    </row>
    <row r="6" spans="1:9" ht="15.75">
      <c r="A6" s="3489" t="str">
        <f>结果表!A120</f>
        <v/>
      </c>
      <c r="B6" s="3489"/>
      <c r="C6" s="3489"/>
      <c r="D6" s="3489">
        <f>结果表!D120</f>
        <v>0</v>
      </c>
      <c r="E6" s="3489"/>
      <c r="F6" s="3489"/>
      <c r="G6" s="3489"/>
      <c r="H6" s="3489"/>
      <c r="I6" s="3489"/>
    </row>
    <row r="7" spans="1:9" ht="15">
      <c r="A7" s="3488" t="s">
        <v>927</v>
      </c>
      <c r="B7" s="3488"/>
      <c r="C7" s="3488"/>
      <c r="D7" s="3490" t="str">
        <f>结果表!D121</f>
        <v>零元整</v>
      </c>
      <c r="E7" s="3491"/>
      <c r="F7" s="3491"/>
      <c r="G7" s="3491"/>
      <c r="H7" s="3491"/>
      <c r="I7" s="3492"/>
    </row>
    <row r="8" spans="1:9" ht="15.75">
      <c r="A8" s="3489" t="str">
        <f>结果表!A122</f>
        <v/>
      </c>
      <c r="B8" s="3489"/>
      <c r="C8" s="3489"/>
      <c r="D8" s="3489" t="e">
        <f ca="1">结果表!D122</f>
        <v>#REF!</v>
      </c>
      <c r="E8" s="3489"/>
      <c r="F8" s="3489"/>
      <c r="G8" s="3489"/>
      <c r="H8" s="3489"/>
      <c r="I8" s="3489"/>
    </row>
    <row r="9" spans="1:9" ht="15">
      <c r="A9" s="3488" t="s">
        <v>927</v>
      </c>
      <c r="B9" s="3488"/>
      <c r="C9" s="3488"/>
      <c r="D9" s="3488" t="e">
        <f ca="1">结果表!D123</f>
        <v>#REF!</v>
      </c>
      <c r="E9" s="3488"/>
      <c r="F9" s="3488"/>
      <c r="G9" s="3488"/>
      <c r="H9" s="3488"/>
      <c r="I9" s="3488"/>
    </row>
    <row r="10" spans="1:9" ht="15.75">
      <c r="A10" s="3489" t="str">
        <f>结果表!A124</f>
        <v/>
      </c>
      <c r="B10" s="3489"/>
      <c r="C10" s="3489"/>
      <c r="D10" s="3489" t="str">
        <f>结果表!D124</f>
        <v>——</v>
      </c>
      <c r="E10" s="3489"/>
      <c r="F10" s="3489"/>
      <c r="G10" s="3489"/>
      <c r="H10" s="3489"/>
      <c r="I10" s="3489"/>
    </row>
    <row r="11" spans="1:9" ht="15">
      <c r="A11" s="3488" t="s">
        <v>927</v>
      </c>
      <c r="B11" s="3488"/>
      <c r="C11" s="3488"/>
      <c r="D11" s="3488" t="e">
        <f>结果表!D125</f>
        <v>#VALUE!</v>
      </c>
      <c r="E11" s="3488"/>
      <c r="F11" s="3488"/>
      <c r="G11" s="3488"/>
      <c r="H11" s="3488"/>
      <c r="I11" s="3488"/>
    </row>
    <row r="12" spans="1:9" ht="15.75">
      <c r="A12" s="3489" t="str">
        <f>结果表!A126</f>
        <v/>
      </c>
      <c r="B12" s="3489"/>
      <c r="C12" s="3489"/>
      <c r="D12" s="3489" t="str">
        <f>结果表!D126</f>
        <v>——</v>
      </c>
      <c r="E12" s="3489"/>
      <c r="F12" s="3489"/>
      <c r="G12" s="3489"/>
      <c r="H12" s="3489"/>
      <c r="I12" s="3489"/>
    </row>
    <row r="13" spans="1:9" ht="15.75" thickBot="1">
      <c r="A13" s="3493" t="s">
        <v>927</v>
      </c>
      <c r="B13" s="3493"/>
      <c r="C13" s="3493"/>
      <c r="D13" s="3493" t="e">
        <f>结果表!D127</f>
        <v>#VALUE!</v>
      </c>
      <c r="E13" s="3493"/>
      <c r="F13" s="3493"/>
      <c r="G13" s="3493"/>
      <c r="H13" s="3493"/>
      <c r="I13" s="3493"/>
    </row>
    <row r="14" spans="1:9" ht="15" thickTop="1">
      <c r="A14" s="3494" t="s">
        <v>932</v>
      </c>
      <c r="B14" s="3494"/>
      <c r="C14" s="3494"/>
      <c r="D14" s="3494"/>
      <c r="E14" s="3494"/>
      <c r="F14" s="3494"/>
      <c r="G14" s="3494"/>
      <c r="H14" s="3494"/>
      <c r="I14" s="349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5" t="s">
        <v>949</v>
      </c>
      <c r="B1" s="3495"/>
      <c r="C1" s="3495"/>
      <c r="D1" s="3495"/>
    </row>
    <row r="2" spans="1:4" ht="18">
      <c r="A2" s="3496" t="s">
        <v>933</v>
      </c>
      <c r="B2" s="3496"/>
      <c r="C2" s="3496"/>
      <c r="D2" s="3496"/>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6" t="s">
        <v>939</v>
      </c>
      <c r="B6" s="3496"/>
      <c r="C6" s="3496"/>
      <c r="D6" s="3496"/>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97" t="s">
        <v>942</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9"/>
      <c r="C12" s="3499"/>
      <c r="D12" s="3499"/>
    </row>
    <row r="13" spans="1:4" ht="30" customHeight="1">
      <c r="A13" s="3498" t="str">
        <f>IF(项目基本情况!B8="抵押","3.抵押双方在办理抵押登记手续时，应使用本公司出具的正式《房地产评估报告》，特提醒报告使用者注意。","——")</f>
        <v>——</v>
      </c>
      <c r="B13" s="3499"/>
      <c r="C13" s="3499"/>
      <c r="D13" s="3499"/>
    </row>
    <row r="14" spans="1:4" ht="15.75" customHeight="1">
      <c r="A14" s="3498" t="str">
        <f>IF(项目基本情况!B8="抵押","4.本次评估估价师所知悉的法定优先受偿款情况说明如下：","——")</f>
        <v>——</v>
      </c>
      <c r="B14" s="3499"/>
      <c r="C14" s="3499"/>
      <c r="D14" s="3499"/>
    </row>
    <row r="15" spans="1:4" ht="42" customHeight="1">
      <c r="A15" s="3498" t="str">
        <f>IF(项目基本情况!B8="抵押","（1）"&amp;CONCATENATE(项目基本情况!L20,项目基本情况!L21,项目基本情况!L22),"——")</f>
        <v>——</v>
      </c>
      <c r="B15" s="3498"/>
      <c r="C15" s="3498"/>
      <c r="D15" s="3498"/>
    </row>
    <row r="16" spans="1:4" ht="30" customHeight="1">
      <c r="A16" s="3501" t="s">
        <v>943</v>
      </c>
      <c r="B16" s="3501"/>
      <c r="C16" s="3501"/>
      <c r="D16" s="3501"/>
    </row>
    <row r="17" spans="1:4" ht="144" customHeight="1">
      <c r="A17" s="3501" t="s">
        <v>944</v>
      </c>
      <c r="B17" s="3501"/>
      <c r="C17" s="3501"/>
      <c r="D17" s="3501"/>
    </row>
    <row r="18" spans="1:4" ht="15.75" customHeight="1">
      <c r="A18" s="3498" t="str">
        <f>IF(项目基本情况!B8="抵押",结果表!K120,"——")</f>
        <v>——</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8"/>
      <c r="C20" s="3498"/>
      <c r="D20" s="3498"/>
    </row>
    <row r="21" spans="1:4" ht="57.75" customHeight="1">
      <c r="A21" s="35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2"/>
      <c r="C21" s="3502"/>
      <c r="D21" s="3502"/>
    </row>
    <row r="22" spans="1:4" ht="18.75" customHeight="1">
      <c r="A22" s="3503" t="s">
        <v>945</v>
      </c>
      <c r="B22" s="3503"/>
      <c r="C22" s="3503"/>
      <c r="D22" s="350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0">
        <v>42551</v>
      </c>
      <c r="D31" s="35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9" t="s">
        <v>956</v>
      </c>
      <c r="B15" s="3504" t="s">
        <v>109</v>
      </c>
      <c r="C15" s="3505"/>
    </row>
    <row r="16" spans="1:7" ht="13.5">
      <c r="A16" s="3510"/>
      <c r="B16" s="3504" t="s">
        <v>42</v>
      </c>
      <c r="C16" s="3505"/>
    </row>
    <row r="17" spans="1:3" ht="13.5">
      <c r="A17" s="3510"/>
      <c r="B17" s="3507" t="s">
        <v>957</v>
      </c>
      <c r="C17" s="1531" t="s">
        <v>956</v>
      </c>
    </row>
    <row r="18" spans="1:3" ht="13.5">
      <c r="A18" s="3510"/>
      <c r="B18" s="3507"/>
      <c r="C18" s="1531" t="s">
        <v>958</v>
      </c>
    </row>
    <row r="19" spans="1:3" ht="13.5">
      <c r="A19" s="3510"/>
      <c r="B19" s="3507"/>
      <c r="C19" s="1531" t="s">
        <v>959</v>
      </c>
    </row>
    <row r="20" spans="1:3" ht="13.5">
      <c r="A20" s="3511"/>
      <c r="B20" s="3506" t="s">
        <v>960</v>
      </c>
      <c r="C20" s="3505"/>
    </row>
    <row r="21" spans="1:3" ht="13.5">
      <c r="A21" s="1532" t="s">
        <v>961</v>
      </c>
      <c r="B21" s="1533"/>
      <c r="C21" s="1534"/>
    </row>
    <row r="22" spans="1:3" ht="13.5">
      <c r="A22" s="3508" t="s">
        <v>962</v>
      </c>
      <c r="B22" s="3506" t="s">
        <v>963</v>
      </c>
      <c r="C22" s="3505"/>
    </row>
    <row r="23" spans="1:3" ht="13.5">
      <c r="A23" s="3508"/>
      <c r="B23" s="3506" t="s">
        <v>964</v>
      </c>
      <c r="C23" s="3505"/>
    </row>
    <row r="24" spans="1:3" ht="13.5">
      <c r="A24" s="3508"/>
      <c r="B24" s="3506" t="s">
        <v>965</v>
      </c>
      <c r="C24" s="3505"/>
    </row>
    <row r="25" spans="1:3" ht="13.5">
      <c r="A25" s="3508"/>
      <c r="B25" s="3507" t="s">
        <v>966</v>
      </c>
      <c r="C25" s="1531" t="s">
        <v>967</v>
      </c>
    </row>
    <row r="26" spans="1:3" ht="13.5">
      <c r="A26" s="3508"/>
      <c r="B26" s="3507"/>
      <c r="C26" s="1531" t="s">
        <v>968</v>
      </c>
    </row>
    <row r="27" spans="1:3" ht="13.5">
      <c r="A27" s="3508"/>
      <c r="B27" s="3507"/>
      <c r="C27" s="1531" t="s">
        <v>969</v>
      </c>
    </row>
    <row r="28" spans="1:3" ht="13.5">
      <c r="A28" s="3508"/>
      <c r="B28" s="3507"/>
      <c r="C28" s="1531" t="s">
        <v>970</v>
      </c>
    </row>
    <row r="29" spans="1:3" ht="13.5">
      <c r="A29" s="3508"/>
      <c r="B29" s="3507"/>
      <c r="C29" s="1531" t="s">
        <v>971</v>
      </c>
    </row>
    <row r="30" spans="1:3" ht="13.5">
      <c r="A30" s="3508"/>
      <c r="B30" s="3507"/>
      <c r="C30" s="1531" t="s">
        <v>972</v>
      </c>
    </row>
    <row r="31" spans="1:3" ht="13.5">
      <c r="A31" s="3508"/>
      <c r="B31" s="3507"/>
      <c r="C31" s="1531" t="s">
        <v>973</v>
      </c>
    </row>
    <row r="32" spans="1:3" ht="13.5">
      <c r="A32" s="3508"/>
      <c r="B32" s="3507"/>
      <c r="C32" s="1531" t="s">
        <v>974</v>
      </c>
    </row>
    <row r="33" spans="1:3" ht="13.5">
      <c r="A33" s="3508"/>
      <c r="B33" s="350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44992</v>
      </c>
      <c r="C2" s="2336" t="s">
        <v>2140</v>
      </c>
      <c r="D2" s="2336"/>
      <c r="E2" s="2336"/>
      <c r="F2" s="2332"/>
      <c r="G2" s="2332"/>
      <c r="H2" s="2332"/>
    </row>
    <row r="3" spans="1:8" ht="24" customHeight="1">
      <c r="A3" s="2337" t="s">
        <v>2141</v>
      </c>
      <c r="B3" s="2338" t="s">
        <v>2142</v>
      </c>
      <c r="C3" s="2338" t="s">
        <v>2143</v>
      </c>
      <c r="D3" s="2339" t="s">
        <v>2144</v>
      </c>
      <c r="E3" s="2340" t="s">
        <v>2145</v>
      </c>
      <c r="F3" s="1303" t="s">
        <v>2146</v>
      </c>
      <c r="G3" s="2338" t="s">
        <v>2143</v>
      </c>
      <c r="H3" s="2339" t="s">
        <v>2147</v>
      </c>
    </row>
    <row r="4" spans="1:8" ht="24" customHeight="1">
      <c r="A4" s="1303" t="s">
        <v>2148</v>
      </c>
      <c r="B4" s="1303">
        <f ca="1">IF(C4&lt;B2,"已过期",1119970066)</f>
        <v>1119970066</v>
      </c>
      <c r="C4" s="2341">
        <v>45937</v>
      </c>
      <c r="D4" s="2342" t="str">
        <f ca="1">A4&amp;"（注册号："&amp;B4&amp;"）"</f>
        <v>梁津（注册号：1119970066）</v>
      </c>
      <c r="E4" s="2343" t="s">
        <v>2148</v>
      </c>
      <c r="F4" s="1303">
        <f ca="1">IF(G4&lt;B2,"已过期",96010014)</f>
        <v>96010014</v>
      </c>
      <c r="G4" s="2344">
        <v>47118</v>
      </c>
      <c r="H4" s="2345" t="str">
        <f ca="1">E4&amp;"（注册号："&amp;F4&amp;"）"</f>
        <v>梁津（注册号：96010014）</v>
      </c>
    </row>
    <row r="5" spans="1:8" ht="24" customHeight="1">
      <c r="A5" s="1303" t="s">
        <v>2149</v>
      </c>
      <c r="B5" s="1303">
        <f ca="1">IF(C5&lt;B2,"已过期",1119970111)</f>
        <v>1119970111</v>
      </c>
      <c r="C5" s="2341">
        <v>45937</v>
      </c>
      <c r="D5" s="2342" t="str">
        <f t="shared" ref="D5:D15" ca="1" si="0">A5&amp;"（注册号："&amp;B5&amp;"）"</f>
        <v>叶凌（注册号：1119970111）</v>
      </c>
      <c r="E5" s="2343" t="s">
        <v>2149</v>
      </c>
      <c r="F5" s="1303">
        <f ca="1">IF(G5&lt;B2,"已过期",94010078)</f>
        <v>94010078</v>
      </c>
      <c r="G5" s="2344">
        <v>46387</v>
      </c>
      <c r="H5" s="2345" t="str">
        <f t="shared" ref="H5:H16" ca="1" si="1">E5&amp;"（注册号："&amp;F5&amp;"）"</f>
        <v>叶凌（注册号：94010078）</v>
      </c>
    </row>
    <row r="6" spans="1:8" ht="24" customHeight="1">
      <c r="A6" s="1303" t="s">
        <v>2150</v>
      </c>
      <c r="B6" s="1303">
        <f ca="1">IF(C6&lt;B2,"已过期",1120050019)</f>
        <v>1120050019</v>
      </c>
      <c r="C6" s="2341">
        <v>45410</v>
      </c>
      <c r="D6" s="2342" t="str">
        <f t="shared" ca="1" si="0"/>
        <v>王鹏（注册号：1120050019）</v>
      </c>
      <c r="E6" s="2343" t="s">
        <v>2150</v>
      </c>
      <c r="F6" s="1303">
        <f ca="1">IF(G6&lt;B2,"已过期",2002110030)</f>
        <v>2002110030</v>
      </c>
      <c r="G6" s="2344">
        <v>46387</v>
      </c>
      <c r="H6" s="2345" t="str">
        <f t="shared" ca="1" si="1"/>
        <v>王鹏（注册号：2002110030）</v>
      </c>
    </row>
    <row r="7" spans="1:8" ht="24" customHeight="1">
      <c r="A7" s="1303" t="s">
        <v>2151</v>
      </c>
      <c r="B7" s="1303">
        <f ca="1">IF(C7&lt;B2,"已过期",1120000080)</f>
        <v>1120000080</v>
      </c>
      <c r="C7" s="2341">
        <v>45937</v>
      </c>
      <c r="D7" s="2342" t="str">
        <f t="shared" ca="1" si="0"/>
        <v>欧红伟（注册号：1120000080）</v>
      </c>
      <c r="E7" s="2343" t="s">
        <v>2151</v>
      </c>
      <c r="F7" s="1303">
        <f ca="1">IF(G7&lt;B2,"已过期",2000110082)</f>
        <v>2000110082</v>
      </c>
      <c r="G7" s="2344">
        <v>46387</v>
      </c>
      <c r="H7" s="2345" t="str">
        <f t="shared" ca="1" si="1"/>
        <v>欧红伟（注册号：2000110082）</v>
      </c>
    </row>
    <row r="8" spans="1:8" ht="24" customHeight="1">
      <c r="A8" s="1303" t="s">
        <v>2152</v>
      </c>
      <c r="B8" s="1303">
        <f ca="1">IF(C8&lt;B2,"已过期",1419970001)</f>
        <v>1419970001</v>
      </c>
      <c r="C8" s="2341">
        <v>45937</v>
      </c>
      <c r="D8" s="2342" t="str">
        <f t="shared" ca="1" si="0"/>
        <v>吴薇（注册号：1419970001）</v>
      </c>
      <c r="E8" s="2343" t="s">
        <v>2152</v>
      </c>
      <c r="F8" s="1303">
        <f ca="1">IF(G8&lt;B2,"已过期",2002110125)</f>
        <v>2002110125</v>
      </c>
      <c r="G8" s="2344">
        <v>47118</v>
      </c>
      <c r="H8" s="2345" t="str">
        <f t="shared" ca="1" si="1"/>
        <v>吴薇（注册号：2002110125）</v>
      </c>
    </row>
    <row r="9" spans="1:8" ht="24" customHeight="1">
      <c r="A9" s="1303" t="s">
        <v>2153</v>
      </c>
      <c r="B9" s="1303">
        <f ca="1">IF(C9&lt;B2,"已过期",1120060040)</f>
        <v>1120060040</v>
      </c>
      <c r="C9" s="2346">
        <v>45592</v>
      </c>
      <c r="D9" s="2342" t="str">
        <f t="shared" ca="1" si="0"/>
        <v>陈颖（注册号：1120060040）</v>
      </c>
      <c r="E9" s="2343" t="s">
        <v>2153</v>
      </c>
      <c r="F9" s="1303">
        <f ca="1">IF(G9&lt;B2,"已过期",2004110096)</f>
        <v>2004110096</v>
      </c>
      <c r="G9" s="2344">
        <v>47118</v>
      </c>
      <c r="H9" s="2345" t="str">
        <f t="shared" ca="1" si="1"/>
        <v>陈颖（注册号：2004110096）</v>
      </c>
    </row>
    <row r="10" spans="1:8" ht="24" customHeight="1">
      <c r="A10" s="1303" t="s">
        <v>2154</v>
      </c>
      <c r="B10" s="1303">
        <f ca="1">IF(C10&lt;B2,"已过期",1120100036)</f>
        <v>1120100036</v>
      </c>
      <c r="C10" s="2346">
        <v>45752</v>
      </c>
      <c r="D10" s="2342" t="str">
        <f t="shared" ca="1" si="0"/>
        <v>崔锴（注册号：1120100036）</v>
      </c>
      <c r="E10" s="2343" t="s">
        <v>2154</v>
      </c>
      <c r="F10" s="1303">
        <f ca="1">IF(G10&lt;B2,"已过期",2010110070)</f>
        <v>2010110070</v>
      </c>
      <c r="G10" s="2344">
        <v>47907</v>
      </c>
      <c r="H10" s="2345" t="str">
        <f t="shared" ca="1" si="1"/>
        <v>崔锴（注册号：2010110070）</v>
      </c>
    </row>
    <row r="11" spans="1:8" ht="24" customHeight="1">
      <c r="A11" s="1303" t="s">
        <v>2155</v>
      </c>
      <c r="B11" s="1303">
        <f ca="1">IF(C11&lt;B2,"已过期",1120070131)</f>
        <v>1120070131</v>
      </c>
      <c r="C11" s="2341">
        <v>45937</v>
      </c>
      <c r="D11" s="2342" t="str">
        <f t="shared" ca="1" si="0"/>
        <v>郑燚（注册号：1120070131）</v>
      </c>
      <c r="E11" s="2343" t="s">
        <v>2155</v>
      </c>
      <c r="F11" s="1303">
        <f ca="1">IF(G11&lt;B2,"已过期",2014110011)</f>
        <v>2014110011</v>
      </c>
      <c r="G11" s="2344">
        <v>49302</v>
      </c>
      <c r="H11" s="2345" t="str">
        <f t="shared" ca="1" si="1"/>
        <v>郑燚（注册号：2014110011）</v>
      </c>
    </row>
    <row r="12" spans="1:8" ht="24" customHeight="1">
      <c r="A12" s="1303" t="s">
        <v>2156</v>
      </c>
      <c r="B12" s="1303">
        <f ca="1">IF(C12&lt;B2,"已过期",1120040230)</f>
        <v>1120040230</v>
      </c>
      <c r="C12" s="2346">
        <v>45937</v>
      </c>
      <c r="D12" s="2342" t="str">
        <f t="shared" ca="1" si="0"/>
        <v>苏海（注册号：1120040230）</v>
      </c>
      <c r="E12" s="2343" t="s">
        <v>2156</v>
      </c>
      <c r="F12" s="1303">
        <f ca="1">IF(G12&lt;B2,"已过期",98030020)</f>
        <v>98030020</v>
      </c>
      <c r="G12" s="2344">
        <v>47118</v>
      </c>
      <c r="H12" s="2345" t="str">
        <f t="shared" ca="1" si="1"/>
        <v>苏海（注册号：98030020）</v>
      </c>
    </row>
    <row r="13" spans="1:8" ht="24" customHeight="1">
      <c r="A13" s="1303" t="s">
        <v>2157</v>
      </c>
      <c r="B13" s="1303">
        <f ca="1">IF(C13&lt;B2,"已过期",1120020033)</f>
        <v>1120020033</v>
      </c>
      <c r="C13" s="2341">
        <v>45375</v>
      </c>
      <c r="D13" s="2342" t="str">
        <f t="shared" ca="1" si="0"/>
        <v>刘敬东（注册号：1120020033）</v>
      </c>
      <c r="E13" s="2343" t="s">
        <v>2157</v>
      </c>
      <c r="F13" s="1303">
        <f ca="1">IF(G13&lt;B2,"已过期",2000110137)</f>
        <v>2000110137</v>
      </c>
      <c r="G13" s="2344">
        <v>46387</v>
      </c>
      <c r="H13" s="2345" t="str">
        <f t="shared" ca="1" si="1"/>
        <v>刘敬东（注册号：2000110137）</v>
      </c>
    </row>
    <row r="14" spans="1:8" ht="24" customHeight="1">
      <c r="A14" s="1303" t="s">
        <v>2158</v>
      </c>
      <c r="B14" s="1303" t="str">
        <f ca="1">IF(C14&lt;B2,"已过期",1119980106)</f>
        <v>已过期</v>
      </c>
      <c r="C14" s="2346">
        <v>44969</v>
      </c>
      <c r="D14" s="2342" t="str">
        <f t="shared" ca="1" si="0"/>
        <v>刘俊财（注册号：已过期）</v>
      </c>
      <c r="E14" s="2343" t="s">
        <v>2158</v>
      </c>
      <c r="F14" s="1303">
        <f ca="1">IF(G14&lt;B2,"已过期",96010063)</f>
        <v>96010063</v>
      </c>
      <c r="G14" s="2344">
        <v>47483</v>
      </c>
      <c r="H14" s="2345" t="str">
        <f t="shared" ca="1" si="1"/>
        <v>刘俊财（注册号：96010063）</v>
      </c>
    </row>
    <row r="15" spans="1:8" ht="24" customHeight="1">
      <c r="A15" s="1303" t="s">
        <v>2438</v>
      </c>
      <c r="B15" s="1303">
        <v>1120210056</v>
      </c>
      <c r="C15" s="2346">
        <v>45410</v>
      </c>
      <c r="D15" s="2342" t="str">
        <f t="shared" si="0"/>
        <v>宁小鳗（注册号：1120210056）</v>
      </c>
      <c r="E15" s="2343" t="s">
        <v>2159</v>
      </c>
      <c r="F15" s="1303">
        <f ca="1">IF(G15&lt;B2,"已过期",2011110090)</f>
        <v>2011110090</v>
      </c>
      <c r="G15" s="2344">
        <v>48302</v>
      </c>
      <c r="H15" s="2345" t="str">
        <f t="shared" ca="1" si="1"/>
        <v>赵雯（注册号：2011110090）</v>
      </c>
    </row>
    <row r="16" spans="1:8" s="2348" customFormat="1" ht="24" customHeight="1">
      <c r="A16" s="1303"/>
      <c r="B16" s="1303"/>
      <c r="C16" s="1303"/>
      <c r="D16" s="2342" t="str">
        <f>A16&amp;"（注册号："&amp;B16&amp;"）"</f>
        <v>（注册号：）</v>
      </c>
      <c r="E16" s="2343"/>
      <c r="F16" s="1303"/>
      <c r="G16" s="1303"/>
      <c r="H16" s="2347"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9"/>
      <c r="E18" s="3514" t="s">
        <v>2162</v>
      </c>
      <c r="F18" s="3513"/>
      <c r="G18" s="3513"/>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2439</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2578</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2579</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2291</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3" t="s">
        <v>385</v>
      </c>
      <c r="C54" s="1550" t="s">
        <v>583</v>
      </c>
    </row>
    <row r="55" spans="1:4">
      <c r="A55" s="3515"/>
      <c r="B55" s="1553" t="s">
        <v>386</v>
      </c>
      <c r="C55" s="1550" t="s">
        <v>584</v>
      </c>
    </row>
    <row r="56" spans="1:4">
      <c r="A56" s="3515"/>
      <c r="B56" s="1553" t="s">
        <v>387</v>
      </c>
      <c r="C56" s="1550" t="s">
        <v>588</v>
      </c>
    </row>
    <row r="57" spans="1:4">
      <c r="A57" s="351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2501</v>
      </c>
      <c r="B1" s="3009"/>
      <c r="C1" s="3009"/>
      <c r="D1" s="3009"/>
      <c r="E1" s="3009"/>
      <c r="F1" s="3010"/>
      <c r="I1" s="3432" t="s">
        <v>2594</v>
      </c>
      <c r="J1" s="3221"/>
      <c r="K1" s="3221"/>
      <c r="L1" s="3221"/>
      <c r="M1" s="3221"/>
      <c r="N1" s="3433"/>
      <c r="O1" s="3433"/>
      <c r="P1" s="3433"/>
      <c r="Q1" s="3433"/>
      <c r="R1" s="3433"/>
    </row>
    <row r="2" spans="1:18">
      <c r="A2" s="3012"/>
      <c r="B2" s="3013"/>
      <c r="C2" s="3013"/>
      <c r="D2" s="3013"/>
      <c r="E2" s="3013"/>
      <c r="F2" s="3014"/>
      <c r="I2" s="3516" t="s">
        <v>2581</v>
      </c>
      <c r="J2" s="3516"/>
      <c r="K2" s="3516"/>
      <c r="L2" s="3516"/>
      <c r="M2" s="3516"/>
      <c r="N2" s="3516"/>
      <c r="O2" s="3516"/>
      <c r="P2" s="3516"/>
      <c r="Q2" s="3516"/>
      <c r="R2" s="3516"/>
    </row>
    <row r="3" spans="1:18">
      <c r="A3" s="3015" t="s">
        <v>2502</v>
      </c>
      <c r="B3" s="3016">
        <f>项目基本情况!D3</f>
        <v>44845</v>
      </c>
      <c r="C3" s="3018"/>
      <c r="D3" s="3018"/>
      <c r="E3" s="3018"/>
      <c r="F3" s="3014"/>
      <c r="I3" s="3434"/>
      <c r="J3" s="3434" t="s">
        <v>2585</v>
      </c>
      <c r="K3" s="3434" t="s">
        <v>2586</v>
      </c>
      <c r="L3" s="3434" t="s">
        <v>2587</v>
      </c>
      <c r="M3" s="3434" t="s">
        <v>2588</v>
      </c>
      <c r="N3" s="3435" t="s">
        <v>2589</v>
      </c>
      <c r="O3" s="3435" t="s">
        <v>2590</v>
      </c>
      <c r="P3" s="3435" t="s">
        <v>2591</v>
      </c>
      <c r="Q3" s="3435" t="s">
        <v>2592</v>
      </c>
      <c r="R3" s="3435" t="s">
        <v>2593</v>
      </c>
    </row>
    <row r="4" spans="1:18">
      <c r="A4" s="3015" t="s">
        <v>2503</v>
      </c>
      <c r="B4" s="3018" t="s">
        <v>2504</v>
      </c>
      <c r="C4" s="3018" t="s">
        <v>2505</v>
      </c>
      <c r="D4" s="3018" t="s">
        <v>2506</v>
      </c>
      <c r="E4" s="3018" t="s">
        <v>2507</v>
      </c>
      <c r="F4" s="3014"/>
      <c r="I4" s="3434" t="s">
        <v>2582</v>
      </c>
      <c r="J4" s="3434">
        <v>80</v>
      </c>
      <c r="K4" s="3434">
        <v>70</v>
      </c>
      <c r="L4" s="3434">
        <v>20</v>
      </c>
      <c r="M4" s="3434">
        <v>30</v>
      </c>
      <c r="N4" s="3018">
        <v>45</v>
      </c>
      <c r="O4" s="3018">
        <v>60</v>
      </c>
      <c r="P4" s="3018">
        <v>50</v>
      </c>
      <c r="Q4" s="3018">
        <v>20</v>
      </c>
      <c r="R4" s="3018">
        <v>375</v>
      </c>
    </row>
    <row r="5" spans="1:18">
      <c r="A5" s="3019">
        <v>40</v>
      </c>
      <c r="B5" s="3016">
        <v>46375</v>
      </c>
      <c r="C5" s="3018">
        <f>ROUNDDOWN(MIN((B5-B3)/365,A5),2)</f>
        <v>4.1900000000000004</v>
      </c>
      <c r="D5" s="3020">
        <f>IF(ISERROR(ROUND(POWER(1+E5,A5-C5)*(POWER(1+E5,C5)-1)/(POWER(1+E5,A5)-1),3)),0,ROUND(POWER(1+E5,A5-C5)*(POWER(1+E5,C5)-1)/(POWER(1+E5,A5)-1),4))</f>
        <v>0.19139999999999999</v>
      </c>
      <c r="E5" s="3021">
        <v>0.04</v>
      </c>
      <c r="F5" s="3014"/>
      <c r="I5" s="3434" t="s">
        <v>2583</v>
      </c>
      <c r="J5" s="3434">
        <v>70</v>
      </c>
      <c r="K5" s="3434">
        <v>60</v>
      </c>
      <c r="L5" s="3434">
        <v>15</v>
      </c>
      <c r="M5" s="3434">
        <v>25</v>
      </c>
      <c r="N5" s="3018">
        <v>40</v>
      </c>
      <c r="O5" s="3018">
        <v>50</v>
      </c>
      <c r="P5" s="3018">
        <v>40</v>
      </c>
      <c r="Q5" s="3018">
        <v>15</v>
      </c>
      <c r="R5" s="3018">
        <v>315</v>
      </c>
    </row>
    <row r="6" spans="1:18">
      <c r="A6" s="3019">
        <v>50</v>
      </c>
      <c r="B6" s="3016">
        <v>50028</v>
      </c>
      <c r="C6" s="3018">
        <f>ROUNDDOWN(MIN((B6-B3)/365,A6),2)</f>
        <v>14.2</v>
      </c>
      <c r="D6" s="3020">
        <f>IF(ISERROR(ROUND(POWER(1+E6,A6-C6)*(POWER(1+E6,C6)-1)/(POWER(1+E6,A6)-1),3)),0,ROUND(POWER(1+E6,A6-C6)*(POWER(1+E6,C6)-1)/(POWER(1+E6,A6)-1),4))</f>
        <v>0.497</v>
      </c>
      <c r="E6" s="3021">
        <v>0.04</v>
      </c>
      <c r="F6" s="3014"/>
      <c r="I6" s="3434" t="s">
        <v>2584</v>
      </c>
      <c r="J6" s="3434">
        <v>60</v>
      </c>
      <c r="K6" s="3434">
        <v>50</v>
      </c>
      <c r="L6" s="3434">
        <v>10</v>
      </c>
      <c r="M6" s="3434">
        <v>20</v>
      </c>
      <c r="N6" s="3018">
        <v>35</v>
      </c>
      <c r="O6" s="3018">
        <v>40</v>
      </c>
      <c r="P6" s="3018">
        <v>30</v>
      </c>
      <c r="Q6" s="3018">
        <v>10</v>
      </c>
      <c r="R6" s="3018">
        <v>255</v>
      </c>
    </row>
    <row r="7" spans="1:18">
      <c r="A7" s="3019">
        <v>70</v>
      </c>
      <c r="B7" s="3016">
        <v>57333</v>
      </c>
      <c r="C7" s="3018">
        <f>ROUNDDOWN(MIN((B7-B3)/365,A7),2)</f>
        <v>34.21</v>
      </c>
      <c r="D7" s="3020">
        <f>IF(ISERROR(ROUND(POWER(1+E7,A7-C7)*(POWER(1+E7,C7)-1)/(POWER(1+E7,A7)-1),3)),0,ROUND(POWER(1+E7,A7-C7)*(POWER(1+E7,C7)-1)/(POWER(1+E7,A7)-1),4))</f>
        <v>0.7893</v>
      </c>
      <c r="E7" s="3021">
        <v>0.04</v>
      </c>
      <c r="F7" s="3014"/>
    </row>
    <row r="8" spans="1:18">
      <c r="A8" s="3012"/>
      <c r="B8" s="3013"/>
      <c r="C8" s="3013"/>
      <c r="D8" s="3013"/>
      <c r="E8" s="3013"/>
      <c r="F8" s="3014"/>
    </row>
    <row r="9" spans="1:18">
      <c r="A9" s="3015" t="s">
        <v>2508</v>
      </c>
      <c r="B9" s="3018"/>
      <c r="C9" s="3018"/>
      <c r="D9" s="3018"/>
      <c r="E9" s="3018"/>
      <c r="F9" s="3022"/>
    </row>
    <row r="10" spans="1:18">
      <c r="A10" s="3015" t="s">
        <v>2509</v>
      </c>
      <c r="B10" s="3018"/>
      <c r="C10" s="3018"/>
      <c r="D10" s="3018" t="s">
        <v>2507</v>
      </c>
      <c r="E10" s="3018"/>
      <c r="F10" s="3022" t="s">
        <v>2506</v>
      </c>
    </row>
    <row r="11" spans="1:18">
      <c r="A11" s="3015" t="s">
        <v>2510</v>
      </c>
      <c r="B11" s="3023">
        <v>70</v>
      </c>
      <c r="C11" s="3018" t="s">
        <v>2511</v>
      </c>
      <c r="D11" s="3024">
        <v>4.4999999999999998E-2</v>
      </c>
      <c r="E11" s="3018" t="s">
        <v>2512</v>
      </c>
      <c r="F11" s="3025">
        <f>ROUND(1-(1/(POWER(1+D11,B11))),4)</f>
        <v>0.95409999999999995</v>
      </c>
    </row>
    <row r="12" spans="1:18">
      <c r="A12" s="3015" t="s">
        <v>2513</v>
      </c>
      <c r="B12" s="3023">
        <v>40</v>
      </c>
      <c r="C12" s="3018" t="s">
        <v>2514</v>
      </c>
      <c r="D12" s="3024">
        <v>4.4999999999999998E-2</v>
      </c>
      <c r="E12" s="3018" t="s">
        <v>2515</v>
      </c>
      <c r="F12" s="3025">
        <f>ROUND(1-(1/(POWER(1+D12,B12))),4)</f>
        <v>0.82809999999999995</v>
      </c>
    </row>
    <row r="13" spans="1:18">
      <c r="A13" s="3015" t="s">
        <v>2516</v>
      </c>
      <c r="B13" s="3018"/>
      <c r="C13" s="3018"/>
      <c r="D13" s="3013"/>
      <c r="E13" s="3013"/>
      <c r="F13" s="3014"/>
    </row>
    <row r="14" spans="1:18">
      <c r="A14" s="3015" t="s">
        <v>2517</v>
      </c>
      <c r="B14" s="3023">
        <v>5000</v>
      </c>
      <c r="C14" s="3017"/>
      <c r="D14" s="3013"/>
      <c r="E14" s="3013"/>
      <c r="F14" s="3014"/>
    </row>
    <row r="15" spans="1:18">
      <c r="A15" s="3015" t="s">
        <v>2518</v>
      </c>
      <c r="B15" s="3018">
        <f>ROUND(B14*F12/F11,2)</f>
        <v>4339.6899999999996</v>
      </c>
      <c r="C15" s="3018">
        <f>ROUND(F12/F11,4)</f>
        <v>0.8679</v>
      </c>
      <c r="D15" s="3013"/>
      <c r="E15" s="3013"/>
      <c r="F15" s="3014"/>
    </row>
    <row r="16" spans="1:18">
      <c r="A16" s="3015" t="s">
        <v>2519</v>
      </c>
      <c r="B16" s="3018"/>
      <c r="C16" s="3018"/>
      <c r="D16" s="3013"/>
      <c r="E16" s="3013"/>
      <c r="F16" s="3014"/>
    </row>
    <row r="17" spans="1:13">
      <c r="A17" s="3015" t="s">
        <v>2518</v>
      </c>
      <c r="B17" s="3024">
        <v>4810</v>
      </c>
      <c r="C17" s="3017"/>
      <c r="D17" s="3013"/>
      <c r="E17" s="3013"/>
      <c r="F17" s="3014"/>
    </row>
    <row r="18" spans="1:13" ht="14.25" thickBot="1">
      <c r="A18" s="3026" t="s">
        <v>2517</v>
      </c>
      <c r="B18" s="3027">
        <f>ROUND(B17*F11/F12,2)</f>
        <v>5541.87</v>
      </c>
      <c r="C18" s="3027">
        <f>ROUND(F11/F12,4)</f>
        <v>1.1521999999999999</v>
      </c>
      <c r="D18" s="3028"/>
      <c r="E18" s="3028"/>
      <c r="F18" s="3029"/>
    </row>
    <row r="19" spans="1:13" ht="14.25" thickBot="1"/>
    <row r="20" spans="1:13" s="3064" customFormat="1" ht="14.25" thickTop="1">
      <c r="A20" s="3061" t="s">
        <v>2520</v>
      </c>
      <c r="B20" s="3062"/>
      <c r="C20" s="3062"/>
      <c r="D20" s="3062"/>
      <c r="E20" s="3062"/>
      <c r="F20" s="3062"/>
      <c r="G20" s="3063"/>
      <c r="I20" s="3065" t="s">
        <v>2565</v>
      </c>
      <c r="J20" s="3065" t="s">
        <v>2570</v>
      </c>
      <c r="K20" s="3065"/>
      <c r="L20" s="3065"/>
      <c r="M20" s="3065"/>
    </row>
    <row r="21" spans="1:13">
      <c r="A21" s="3030"/>
      <c r="B21" s="3031" t="s">
        <v>2521</v>
      </c>
      <c r="C21" s="3031" t="s">
        <v>2522</v>
      </c>
      <c r="D21" s="3031" t="s">
        <v>2523</v>
      </c>
      <c r="E21" s="3031" t="s">
        <v>2524</v>
      </c>
      <c r="F21" s="3031" t="s">
        <v>2525</v>
      </c>
      <c r="G21" s="3032" t="s">
        <v>2526</v>
      </c>
      <c r="I21" s="3053">
        <v>5</v>
      </c>
      <c r="J21" s="3053">
        <v>54.2</v>
      </c>
    </row>
    <row r="22" spans="1:13">
      <c r="A22" s="3030" t="s">
        <v>2527</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2528</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2568</v>
      </c>
      <c r="M23" s="3053" t="s">
        <v>2569</v>
      </c>
    </row>
    <row r="24" spans="1:13">
      <c r="A24" s="3030" t="s">
        <v>2529</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2567</v>
      </c>
      <c r="M24" s="3053">
        <v>10</v>
      </c>
    </row>
    <row r="25" spans="1:13">
      <c r="A25" s="3030" t="s">
        <v>2530</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2571</v>
      </c>
      <c r="M25" s="3053">
        <v>8</v>
      </c>
    </row>
    <row r="26" spans="1:13">
      <c r="A26" s="3035"/>
      <c r="B26" s="3036"/>
      <c r="C26" s="3036"/>
      <c r="D26" s="3036"/>
      <c r="E26" s="3036"/>
      <c r="F26" s="3036"/>
      <c r="G26" s="3037"/>
      <c r="I26" s="3053">
        <v>30</v>
      </c>
      <c r="J26" s="3053">
        <v>90.5</v>
      </c>
      <c r="K26" s="3053">
        <f t="shared" si="2"/>
        <v>4.2000000000000028</v>
      </c>
      <c r="L26" s="3053" t="s">
        <v>2572</v>
      </c>
      <c r="M26" s="3053">
        <v>5</v>
      </c>
    </row>
    <row r="27" spans="1:13">
      <c r="A27" s="3035" t="s">
        <v>2531</v>
      </c>
      <c r="B27" s="3036"/>
      <c r="C27" s="3036"/>
      <c r="D27" s="3036"/>
      <c r="E27" s="3036"/>
      <c r="F27" s="3036"/>
      <c r="G27" s="3037"/>
      <c r="I27" s="3053">
        <v>35</v>
      </c>
      <c r="J27" s="3053">
        <v>93.8</v>
      </c>
      <c r="K27" s="3053">
        <f t="shared" si="2"/>
        <v>3.2999999999999972</v>
      </c>
      <c r="L27" s="3053" t="s">
        <v>2573</v>
      </c>
      <c r="M27" s="3053">
        <v>3</v>
      </c>
    </row>
    <row r="28" spans="1:13">
      <c r="A28" s="3035" t="s">
        <v>2532</v>
      </c>
      <c r="B28" s="3036"/>
      <c r="C28" s="3036"/>
      <c r="D28" s="3036"/>
      <c r="E28" s="3036"/>
      <c r="F28" s="3036"/>
      <c r="G28" s="3037"/>
      <c r="I28" s="3053">
        <v>40</v>
      </c>
      <c r="J28" s="3053">
        <v>96.4</v>
      </c>
      <c r="K28" s="3053">
        <f t="shared" si="2"/>
        <v>2.6000000000000085</v>
      </c>
      <c r="L28" s="3053" t="s">
        <v>2574</v>
      </c>
      <c r="M28" s="3053">
        <v>2</v>
      </c>
    </row>
    <row r="29" spans="1:13">
      <c r="A29" s="3035" t="s">
        <v>2533</v>
      </c>
      <c r="B29" s="3036"/>
      <c r="C29" s="3036"/>
      <c r="D29" s="3036"/>
      <c r="E29" s="3036"/>
      <c r="F29" s="3036"/>
      <c r="G29" s="3037"/>
      <c r="I29" s="3053">
        <v>45</v>
      </c>
      <c r="J29" s="3053">
        <v>98.4</v>
      </c>
      <c r="K29" s="3053">
        <f t="shared" si="2"/>
        <v>2</v>
      </c>
    </row>
    <row r="30" spans="1:13">
      <c r="A30" s="3035" t="s">
        <v>2534</v>
      </c>
      <c r="B30" s="3036"/>
      <c r="C30" s="3036"/>
      <c r="D30" s="3036"/>
      <c r="E30" s="3036"/>
      <c r="F30" s="3036"/>
      <c r="G30" s="3037"/>
      <c r="I30" s="3053">
        <v>50</v>
      </c>
      <c r="J30" s="3053">
        <v>100</v>
      </c>
      <c r="K30" s="3053">
        <f t="shared" si="2"/>
        <v>1.5999999999999943</v>
      </c>
    </row>
    <row r="31" spans="1:13">
      <c r="A31" s="3035" t="s">
        <v>2535</v>
      </c>
      <c r="B31" s="3036"/>
      <c r="C31" s="3036"/>
      <c r="D31" s="3036"/>
      <c r="E31" s="3036"/>
      <c r="F31" s="3036"/>
      <c r="G31" s="3037"/>
      <c r="I31" s="3053" t="s">
        <v>2566</v>
      </c>
    </row>
    <row r="32" spans="1:13">
      <c r="A32" s="3035" t="s">
        <v>2536</v>
      </c>
      <c r="B32" s="3036"/>
      <c r="C32" s="3036"/>
      <c r="D32" s="3036"/>
      <c r="E32" s="3036"/>
      <c r="F32" s="3036"/>
      <c r="G32" s="3037"/>
    </row>
    <row r="33" spans="1:13">
      <c r="A33" s="3035" t="s">
        <v>2537</v>
      </c>
      <c r="B33" s="3036"/>
      <c r="C33" s="3036"/>
      <c r="D33" s="3036"/>
      <c r="E33" s="3036"/>
      <c r="F33" s="3036"/>
      <c r="G33" s="3037"/>
      <c r="I33" s="3053" t="s">
        <v>2565</v>
      </c>
      <c r="J33" s="3053" t="s">
        <v>2575</v>
      </c>
    </row>
    <row r="34" spans="1:13">
      <c r="A34" s="3035" t="s">
        <v>2538</v>
      </c>
      <c r="B34" s="3036"/>
      <c r="C34" s="3036"/>
      <c r="D34" s="3036"/>
      <c r="E34" s="3036"/>
      <c r="F34" s="3036"/>
      <c r="G34" s="3037"/>
      <c r="I34" s="3053">
        <v>5</v>
      </c>
      <c r="J34" s="3053">
        <v>55.1</v>
      </c>
    </row>
    <row r="35" spans="1:13">
      <c r="A35" s="3035" t="s">
        <v>2539</v>
      </c>
      <c r="B35" s="3036"/>
      <c r="C35" s="3036"/>
      <c r="D35" s="3036"/>
      <c r="E35" s="3036"/>
      <c r="F35" s="3036"/>
      <c r="G35" s="3037"/>
      <c r="I35" s="3053">
        <v>10</v>
      </c>
      <c r="J35" s="3053">
        <v>67</v>
      </c>
      <c r="K35" s="3053">
        <f>J35-J34</f>
        <v>11.899999999999999</v>
      </c>
    </row>
    <row r="36" spans="1:13">
      <c r="A36" s="3035" t="s">
        <v>2540</v>
      </c>
      <c r="B36" s="3036"/>
      <c r="C36" s="3036"/>
      <c r="D36" s="3036"/>
      <c r="E36" s="3036"/>
      <c r="F36" s="3036"/>
      <c r="G36" s="3037"/>
      <c r="I36" s="3053">
        <v>15</v>
      </c>
      <c r="J36" s="3053">
        <v>76.3</v>
      </c>
      <c r="K36" s="3053">
        <f t="shared" ref="K36:K41" si="3">J36-J35</f>
        <v>9.2999999999999972</v>
      </c>
      <c r="L36" s="3053" t="s">
        <v>2568</v>
      </c>
      <c r="M36" s="3053" t="s">
        <v>2569</v>
      </c>
    </row>
    <row r="37" spans="1:13">
      <c r="A37" s="3035" t="s">
        <v>2541</v>
      </c>
      <c r="B37" s="3036"/>
      <c r="C37" s="3036"/>
      <c r="D37" s="3036"/>
      <c r="E37" s="3036"/>
      <c r="F37" s="3036"/>
      <c r="G37" s="3037"/>
      <c r="I37" s="3053">
        <v>20</v>
      </c>
      <c r="J37" s="3053">
        <v>83.6</v>
      </c>
      <c r="K37" s="3053">
        <f t="shared" si="3"/>
        <v>7.2999999999999972</v>
      </c>
      <c r="L37" s="3053" t="s">
        <v>2567</v>
      </c>
      <c r="M37" s="3053">
        <v>10</v>
      </c>
    </row>
    <row r="38" spans="1:13">
      <c r="A38" s="3035" t="s">
        <v>2542</v>
      </c>
      <c r="B38" s="3036"/>
      <c r="C38" s="3036"/>
      <c r="D38" s="3036"/>
      <c r="E38" s="3036"/>
      <c r="F38" s="3036"/>
      <c r="G38" s="3037"/>
      <c r="I38" s="3053">
        <v>25</v>
      </c>
      <c r="J38" s="3053">
        <v>89.3</v>
      </c>
      <c r="K38" s="3053">
        <f t="shared" si="3"/>
        <v>5.7000000000000028</v>
      </c>
      <c r="L38" s="3053" t="s">
        <v>2571</v>
      </c>
      <c r="M38" s="3053">
        <v>8</v>
      </c>
    </row>
    <row r="39" spans="1:13">
      <c r="A39" s="3035"/>
      <c r="B39" s="3036"/>
      <c r="C39" s="3036"/>
      <c r="D39" s="3036"/>
      <c r="E39" s="3036"/>
      <c r="F39" s="3036"/>
      <c r="G39" s="3037"/>
      <c r="I39" s="3053">
        <v>30</v>
      </c>
      <c r="J39" s="3053">
        <v>93.8</v>
      </c>
      <c r="K39" s="3053">
        <f t="shared" si="3"/>
        <v>4.5</v>
      </c>
      <c r="L39" s="3053" t="s">
        <v>2572</v>
      </c>
      <c r="M39" s="3053">
        <v>6</v>
      </c>
    </row>
    <row r="40" spans="1:13">
      <c r="A40" s="3038" t="s">
        <v>2543</v>
      </c>
      <c r="B40" s="3039"/>
      <c r="C40" s="3039"/>
      <c r="D40" s="3039"/>
      <c r="E40" s="3039"/>
      <c r="F40" s="3039"/>
      <c r="G40" s="3040"/>
      <c r="I40" s="3053">
        <v>35</v>
      </c>
      <c r="J40" s="3053">
        <v>97.2</v>
      </c>
      <c r="K40" s="3053">
        <f t="shared" si="3"/>
        <v>3.4000000000000057</v>
      </c>
      <c r="L40" s="3053" t="s">
        <v>2573</v>
      </c>
      <c r="M40" s="3053">
        <v>3</v>
      </c>
    </row>
    <row r="41" spans="1:13">
      <c r="A41" s="3041" t="s">
        <v>2544</v>
      </c>
      <c r="B41" s="3042" t="s">
        <v>2545</v>
      </c>
      <c r="C41" s="3043" t="s">
        <v>2546</v>
      </c>
      <c r="D41" s="3043" t="s">
        <v>2547</v>
      </c>
      <c r="E41" s="3044"/>
      <c r="F41" s="3045"/>
      <c r="G41" s="3046"/>
      <c r="I41" s="3053">
        <v>40</v>
      </c>
      <c r="J41" s="3053">
        <v>100</v>
      </c>
      <c r="K41" s="3053">
        <f t="shared" si="3"/>
        <v>2.7999999999999972</v>
      </c>
    </row>
    <row r="42" spans="1:13">
      <c r="A42" s="3041" t="s">
        <v>2548</v>
      </c>
      <c r="B42" s="3042" t="s">
        <v>2549</v>
      </c>
      <c r="C42" s="3043" t="s">
        <v>2550</v>
      </c>
      <c r="D42" s="3047" t="s">
        <v>2551</v>
      </c>
      <c r="E42" s="3039" t="s">
        <v>2552</v>
      </c>
      <c r="F42" s="3039"/>
      <c r="G42" s="3040"/>
    </row>
    <row r="43" spans="1:13">
      <c r="A43" s="3041" t="s">
        <v>2553</v>
      </c>
      <c r="B43" s="3042" t="s">
        <v>2554</v>
      </c>
      <c r="C43" s="3043" t="s">
        <v>2555</v>
      </c>
      <c r="D43" s="3043" t="s">
        <v>2556</v>
      </c>
      <c r="E43" s="3044" t="s">
        <v>2557</v>
      </c>
      <c r="F43" s="3045"/>
      <c r="G43" s="3046"/>
      <c r="I43" s="3053" t="s">
        <v>2565</v>
      </c>
      <c r="J43" s="3053" t="s">
        <v>2576</v>
      </c>
    </row>
    <row r="44" spans="1:13">
      <c r="A44" s="3041" t="s">
        <v>2558</v>
      </c>
      <c r="B44" s="3042" t="s">
        <v>2559</v>
      </c>
      <c r="C44" s="3043" t="s">
        <v>2560</v>
      </c>
      <c r="D44" s="3047">
        <v>0.5</v>
      </c>
      <c r="E44" s="3044" t="s">
        <v>2561</v>
      </c>
      <c r="F44" s="3045"/>
      <c r="G44" s="3046"/>
      <c r="I44" s="3053">
        <v>30</v>
      </c>
      <c r="J44" s="3053">
        <v>81.7</v>
      </c>
    </row>
    <row r="45" spans="1:13" ht="14.25" thickBot="1">
      <c r="A45" s="3048" t="s">
        <v>2562</v>
      </c>
      <c r="B45" s="3049" t="s">
        <v>2549</v>
      </c>
      <c r="C45" s="3050" t="s">
        <v>2549</v>
      </c>
      <c r="D45" s="3050" t="s">
        <v>2563</v>
      </c>
      <c r="E45" s="3051" t="s">
        <v>2564</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45" sqref="G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3" customWidth="1"/>
    <col min="12" max="13" width="10" style="2624"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2" t="s">
        <v>2168</v>
      </c>
      <c r="B1" s="3517" t="str">
        <f>IF(B10="北京市","北京市",C10)&amp;F10&amp;IF(结果表!G1="在建","出让国有建设用地使用权及在建建筑物",IF(结果表!G1="土地","出让国有建设用地使用权",))&amp;B9&amp;"预评估"</f>
        <v>北京市房地产市场价值预评估</v>
      </c>
      <c r="C1" s="3518"/>
      <c r="D1" s="3518"/>
      <c r="E1" s="3518"/>
      <c r="F1" s="3518"/>
      <c r="G1" s="3518"/>
      <c r="H1" s="3518"/>
      <c r="I1" s="3519"/>
      <c r="J1" s="2467"/>
      <c r="K1" s="2364"/>
      <c r="L1" s="2365"/>
      <c r="M1" s="2365"/>
      <c r="N1" s="2366"/>
      <c r="O1" s="1575"/>
      <c r="P1" s="2366"/>
      <c r="Q1" s="2366"/>
      <c r="R1" s="2366"/>
      <c r="S1" s="1681" t="str">
        <f>IF(B10="北京市","北京市",C10)&amp;F10&amp;IF(结果表!G1="在建","出让国有建设用地使用权及在建建筑物房地产抵押价值",IF(结果表!G1="土地","出让国有建设用地使用权抵押价值",B9))</f>
        <v>北京市房地产市场价值</v>
      </c>
      <c r="T1" s="1744"/>
      <c r="U1" s="1744"/>
      <c r="V1" s="1744"/>
      <c r="W1" s="1744"/>
      <c r="X1" s="1744"/>
      <c r="Y1" s="1744"/>
      <c r="Z1" s="1744"/>
      <c r="AA1" s="1744"/>
      <c r="AB1" s="1744"/>
    </row>
    <row r="2" spans="1:30">
      <c r="A2" s="2363" t="s">
        <v>2169</v>
      </c>
      <c r="B2" s="2367"/>
      <c r="C2" s="2368"/>
      <c r="D2" s="2665"/>
      <c r="E2" s="2657"/>
      <c r="F2" s="2657"/>
      <c r="G2" s="2658"/>
      <c r="H2" s="2658"/>
      <c r="I2" s="2658"/>
      <c r="J2" s="2467"/>
      <c r="K2" s="2364"/>
      <c r="L2" s="2365"/>
      <c r="M2" s="2365"/>
      <c r="N2" s="2366"/>
      <c r="O2" s="1575"/>
      <c r="P2" s="2366"/>
      <c r="Q2" s="2366"/>
      <c r="R2" s="2366"/>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69">
        <v>44971</v>
      </c>
      <c r="C3" s="2370" t="s">
        <v>2171</v>
      </c>
      <c r="D3" s="2369">
        <v>44845</v>
      </c>
      <c r="E3" s="2658"/>
      <c r="F3" s="2658"/>
      <c r="G3" s="2658"/>
      <c r="H3" s="2658"/>
      <c r="I3" s="2658"/>
      <c r="J3" s="2467"/>
      <c r="K3" s="2364"/>
      <c r="L3" s="2365"/>
      <c r="M3" s="2365"/>
      <c r="N3" s="2366"/>
      <c r="O3" s="1575"/>
      <c r="P3" s="2366"/>
      <c r="Q3" s="2366"/>
      <c r="R3" s="2366"/>
      <c r="S3" s="1681"/>
      <c r="T3" s="1744"/>
      <c r="U3" s="1744"/>
      <c r="V3" s="1744"/>
      <c r="W3" s="1744"/>
      <c r="X3" s="1744"/>
      <c r="Y3" s="1744"/>
      <c r="Z3" s="1744"/>
      <c r="AA3" s="1744"/>
      <c r="AB3" s="1744"/>
    </row>
    <row r="4" spans="1:30" ht="13.5" thickBot="1">
      <c r="A4" s="1090"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5"/>
      <c r="P4" s="2366"/>
      <c r="Q4" s="2366"/>
      <c r="R4" s="2366"/>
      <c r="S4" s="1681"/>
      <c r="T4" s="1744"/>
      <c r="U4" s="1744"/>
      <c r="V4" s="1744"/>
      <c r="W4" s="1744"/>
      <c r="X4" s="1744"/>
      <c r="Y4" s="1744"/>
      <c r="Z4" s="1744"/>
      <c r="AA4" s="1744"/>
      <c r="AB4" s="1744"/>
    </row>
    <row r="5" spans="1:30" ht="13.5" thickTop="1">
      <c r="A5" s="2375" t="s">
        <v>2173</v>
      </c>
      <c r="B5" s="2376"/>
      <c r="C5" s="2377"/>
      <c r="D5" s="2378"/>
      <c r="E5" s="2659"/>
      <c r="F5" s="2659"/>
      <c r="G5" s="2659"/>
      <c r="H5" s="2659"/>
      <c r="I5" s="2659"/>
      <c r="J5" s="2435"/>
      <c r="K5" s="2374" t="str">
        <f>IF(F4="——","",IF(H4="——",F4&amp;"（注册号："&amp;G4&amp;")",CONCATENATE(F4,"（注册号：",G4,")、",H4,"（注册号：",I4,")")))</f>
        <v>（注册号：0)、（注册号：0)</v>
      </c>
      <c r="L5" s="2365"/>
      <c r="M5" s="2365"/>
      <c r="N5" s="2366"/>
      <c r="O5" s="1575"/>
      <c r="P5" s="2366"/>
      <c r="Q5" s="2366"/>
      <c r="R5" s="2366"/>
      <c r="S5" s="1744"/>
      <c r="T5" s="1744"/>
      <c r="U5" s="1744"/>
      <c r="V5" s="1744"/>
      <c r="W5" s="1744"/>
      <c r="X5" s="1744"/>
      <c r="Y5" s="1744"/>
      <c r="Z5" s="1744"/>
      <c r="AA5" s="1744"/>
      <c r="AB5" s="1744"/>
    </row>
    <row r="6" spans="1:30">
      <c r="A6" s="2379" t="s">
        <v>2174</v>
      </c>
      <c r="B6" s="2380"/>
      <c r="C6" s="2381"/>
      <c r="D6" s="2382"/>
      <c r="E6" s="2657"/>
      <c r="F6" s="2659"/>
      <c r="G6" s="2659"/>
      <c r="H6" s="2659"/>
      <c r="I6" s="2659"/>
      <c r="J6" s="2435"/>
      <c r="K6" s="2610" t="str">
        <f>IF(COUNTIF(B6,"*上海银行*"),"上海银行","")</f>
        <v/>
      </c>
      <c r="L6" s="2608"/>
      <c r="M6" s="2608"/>
      <c r="N6" s="2435"/>
      <c r="O6" s="2446"/>
      <c r="P6" s="2435"/>
      <c r="Q6" s="2435"/>
      <c r="R6" s="2435"/>
    </row>
    <row r="7" spans="1:30">
      <c r="A7" s="2379" t="s">
        <v>2175</v>
      </c>
      <c r="B7" s="2383"/>
      <c r="C7" s="2381"/>
      <c r="D7" s="2382"/>
      <c r="E7" s="2657"/>
      <c r="F7" s="2659"/>
      <c r="G7" s="2659"/>
      <c r="H7" s="2659"/>
      <c r="I7" s="2659"/>
      <c r="J7" s="2435"/>
      <c r="K7" s="2611"/>
      <c r="L7" s="2608"/>
      <c r="M7" s="2608"/>
      <c r="N7" s="2435"/>
      <c r="O7" s="2446"/>
      <c r="P7" s="2435"/>
      <c r="Q7" s="2435"/>
      <c r="R7" s="2435"/>
    </row>
    <row r="8" spans="1:30">
      <c r="A8" s="2384" t="s">
        <v>2176</v>
      </c>
      <c r="B8" s="2385" t="s">
        <v>3379</v>
      </c>
      <c r="C8" s="2386"/>
      <c r="D8" s="3520" t="s">
        <v>2177</v>
      </c>
      <c r="E8" s="2387"/>
      <c r="F8" s="2388"/>
      <c r="G8" s="2658"/>
      <c r="H8" s="2658"/>
      <c r="I8" s="2658"/>
      <c r="J8" s="2435"/>
      <c r="K8" s="2609"/>
      <c r="L8" s="2608"/>
      <c r="M8" s="2608"/>
      <c r="N8" s="2435"/>
      <c r="O8" s="2446"/>
      <c r="P8" s="2435"/>
      <c r="Q8" s="2435"/>
      <c r="R8" s="2435"/>
    </row>
    <row r="9" spans="1:30" ht="13.5" thickBot="1">
      <c r="A9" s="2389" t="s">
        <v>2178</v>
      </c>
      <c r="B9" s="2390" t="s">
        <v>3380</v>
      </c>
      <c r="C9" s="2391"/>
      <c r="D9" s="3521"/>
      <c r="E9" s="2390"/>
      <c r="F9" s="2392"/>
      <c r="G9" s="2660"/>
      <c r="H9" s="2660"/>
      <c r="I9" s="2660"/>
      <c r="J9" s="2435"/>
      <c r="K9" s="2611"/>
      <c r="L9" s="2608"/>
      <c r="M9" s="2608"/>
      <c r="N9" s="2435"/>
      <c r="O9" s="2446"/>
      <c r="P9" s="2435"/>
      <c r="Q9" s="2435"/>
      <c r="R9" s="2435"/>
    </row>
    <row r="10" spans="1:30" ht="13.5" thickTop="1">
      <c r="A10" s="2393" t="s">
        <v>2179</v>
      </c>
      <c r="B10" s="2394" t="s">
        <v>3378</v>
      </c>
      <c r="C10" s="2395"/>
      <c r="D10" s="2378"/>
      <c r="E10" s="2396" t="s">
        <v>2180</v>
      </c>
      <c r="F10" s="2661"/>
      <c r="G10" s="2662"/>
      <c r="H10" s="2663"/>
      <c r="I10" s="2664"/>
      <c r="J10" s="3450">
        <f>K10+70</f>
        <v>2071</v>
      </c>
      <c r="K10" s="2611" t="s">
        <v>3419</v>
      </c>
      <c r="L10" s="2608"/>
      <c r="M10" s="2608"/>
      <c r="N10" s="2435"/>
      <c r="O10" s="2446"/>
      <c r="P10" s="2435"/>
      <c r="Q10" s="2435"/>
      <c r="R10" s="2435"/>
    </row>
    <row r="11" spans="1:30">
      <c r="A11" s="2397" t="s">
        <v>2181</v>
      </c>
      <c r="B11" s="2398" t="s">
        <v>3377</v>
      </c>
      <c r="C11" s="2399"/>
      <c r="D11" s="2400"/>
      <c r="E11" s="2366"/>
      <c r="F11" s="2366"/>
      <c r="G11" s="2366"/>
      <c r="H11" s="2366"/>
      <c r="I11" s="2366"/>
      <c r="J11" s="3056"/>
      <c r="K11" s="3055" t="s">
        <v>3418</v>
      </c>
      <c r="L11" s="2608"/>
      <c r="M11" s="2608"/>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4" t="s">
        <v>2577</v>
      </c>
      <c r="J12" s="3057"/>
      <c r="K12" s="2608"/>
      <c r="L12" s="2608"/>
      <c r="M12" s="2435"/>
      <c r="N12" s="2446"/>
      <c r="O12" s="2435"/>
      <c r="P12" s="2435"/>
      <c r="Q12" s="2435"/>
      <c r="AD12" s="1744"/>
    </row>
    <row r="13" spans="1:30">
      <c r="A13" s="3418" t="s">
        <v>3337</v>
      </c>
      <c r="B13" s="2403" t="s">
        <v>2190</v>
      </c>
      <c r="C13" s="856">
        <v>62732</v>
      </c>
      <c r="D13" s="856"/>
      <c r="E13" s="856">
        <v>55652</v>
      </c>
      <c r="F13" s="856"/>
      <c r="G13" s="856"/>
      <c r="H13" s="856"/>
      <c r="I13" s="856"/>
      <c r="J13" s="3057"/>
      <c r="K13" s="2608"/>
      <c r="L13" s="2608"/>
      <c r="M13" s="2435"/>
      <c r="N13" s="2446"/>
      <c r="O13" s="2435"/>
      <c r="P13" s="2435"/>
      <c r="Q13" s="2435"/>
      <c r="AD13" s="1744"/>
    </row>
    <row r="14" spans="1:30">
      <c r="A14" s="1081"/>
      <c r="B14" s="2403" t="s">
        <v>2191</v>
      </c>
      <c r="C14" s="2404">
        <v>70</v>
      </c>
      <c r="D14" s="2404"/>
      <c r="E14" s="2404">
        <v>50</v>
      </c>
      <c r="F14" s="2404"/>
      <c r="G14" s="2404"/>
      <c r="H14" s="2404"/>
      <c r="I14" s="2404"/>
      <c r="J14" s="3058"/>
      <c r="K14" s="2608"/>
      <c r="L14" s="2608"/>
      <c r="M14" s="2435"/>
      <c r="N14" s="2446"/>
      <c r="O14" s="2435"/>
      <c r="P14" s="2435"/>
      <c r="Q14" s="2435"/>
      <c r="AD14" s="1744"/>
    </row>
    <row r="15" spans="1:30">
      <c r="A15" s="320"/>
      <c r="B15" s="2405" t="s">
        <v>2192</v>
      </c>
      <c r="C15" s="2406">
        <f>IF(A13="出让",IF(C13="","",ROUNDDOWN(MIN((C13-$D$3)/365,C14),2)),C14)</f>
        <v>49</v>
      </c>
      <c r="D15" s="2406" t="str">
        <f>IF(A13="出让",IF(D13="","",ROUNDDOWN(MIN((D13-$D$3)/365,D14),2)),D14)</f>
        <v/>
      </c>
      <c r="E15" s="2406">
        <f>IF(A13="出让",IF(E13="","",ROUNDDOWN(MIN((E13-$D$3)/365,E14),2)),E14)</f>
        <v>29.6</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9"/>
      <c r="K15" s="2447"/>
      <c r="L15" s="2447"/>
      <c r="M15" s="2504"/>
      <c r="N15" s="2447"/>
      <c r="O15" s="2504"/>
      <c r="P15" s="2435"/>
      <c r="Q15" s="2435"/>
      <c r="AD15" s="1744"/>
    </row>
    <row r="16" spans="1:30">
      <c r="A16" s="2396" t="s">
        <v>2193</v>
      </c>
      <c r="B16" s="3527"/>
      <c r="C16" s="3528"/>
      <c r="D16" s="3529"/>
      <c r="E16" s="2409" t="s">
        <v>2194</v>
      </c>
      <c r="F16" s="3530"/>
      <c r="G16" s="3531"/>
      <c r="H16" s="3531"/>
      <c r="I16" s="3532"/>
      <c r="J16" s="2435"/>
      <c r="K16" s="2612"/>
      <c r="L16" s="2447"/>
      <c r="M16" s="2447"/>
      <c r="N16" s="2504"/>
      <c r="O16" s="2447"/>
      <c r="P16" s="2504"/>
      <c r="Q16" s="2435"/>
      <c r="R16" s="2435"/>
    </row>
    <row r="17" spans="1:28">
      <c r="A17" s="313" t="s">
        <v>2195</v>
      </c>
      <c r="B17" s="302" t="s">
        <v>2196</v>
      </c>
      <c r="C17" s="8">
        <f>'数据-汇总表'!E3</f>
        <v>459.68</v>
      </c>
      <c r="D17" s="2318" t="s">
        <v>2197</v>
      </c>
      <c r="E17" s="3533" t="s">
        <v>2198</v>
      </c>
      <c r="F17" s="3534"/>
      <c r="G17" s="3534"/>
      <c r="H17" s="3534"/>
      <c r="I17" s="3535"/>
      <c r="J17" s="2435"/>
      <c r="K17" s="2613"/>
      <c r="L17" s="2447"/>
      <c r="M17" s="2447"/>
      <c r="N17" s="2504"/>
      <c r="O17" s="2447"/>
      <c r="P17" s="2504"/>
      <c r="Q17" s="2435"/>
      <c r="R17" s="2435"/>
      <c r="S17" s="2435"/>
      <c r="T17" s="2435"/>
      <c r="U17" s="2435"/>
      <c r="V17" s="2435"/>
    </row>
    <row r="18" spans="1:28" ht="24.75" thickBot="1">
      <c r="A18" s="2410" t="s">
        <v>2199</v>
      </c>
      <c r="B18" s="1090" t="s">
        <v>2200</v>
      </c>
      <c r="C18" s="2411">
        <f>'数据-汇总表'!D3</f>
        <v>0</v>
      </c>
      <c r="D18" s="1092" t="s">
        <v>2201</v>
      </c>
      <c r="E18" s="3536" t="s">
        <v>2202</v>
      </c>
      <c r="F18" s="3537"/>
      <c r="G18" s="3537"/>
      <c r="H18" s="3537"/>
      <c r="I18" s="3538"/>
      <c r="J18" s="2435"/>
      <c r="K18" s="2613"/>
      <c r="L18" s="2447"/>
      <c r="M18" s="2447"/>
      <c r="N18" s="2504"/>
      <c r="O18" s="2447"/>
      <c r="P18" s="2504"/>
      <c r="Q18" s="2435"/>
      <c r="R18" s="2435"/>
      <c r="S18" s="2435"/>
      <c r="T18" s="2435"/>
      <c r="U18" s="2435"/>
      <c r="V18" s="2435"/>
    </row>
    <row r="19" spans="1:28" ht="37.5" thickTop="1" thickBot="1">
      <c r="A19" s="327" t="s">
        <v>1055</v>
      </c>
      <c r="B19" s="307" t="s">
        <v>2203</v>
      </c>
      <c r="C19" s="1562"/>
      <c r="D19" s="1563" t="s">
        <v>2204</v>
      </c>
      <c r="E19" s="1564"/>
      <c r="F19" s="1565" t="str">
        <f>IF(AND(C19="是",E19="否"),"是否提供他项权证或相关说明","")</f>
        <v/>
      </c>
      <c r="G19" s="1566"/>
      <c r="H19" s="2659"/>
      <c r="I19" s="2659"/>
      <c r="J19" s="2435"/>
      <c r="K19" s="2611"/>
      <c r="L19" s="2608"/>
      <c r="M19" s="2608"/>
      <c r="N19" s="2504"/>
      <c r="O19" s="2447"/>
      <c r="P19" s="2504"/>
      <c r="Q19" s="2435"/>
      <c r="R19" s="2435"/>
      <c r="S19" s="2435"/>
      <c r="T19" s="2435"/>
      <c r="U19" s="2435"/>
      <c r="V19" s="2435"/>
    </row>
    <row r="20" spans="1:28">
      <c r="A20" s="2627" t="s">
        <v>2205</v>
      </c>
      <c r="B20" s="3523" t="s">
        <v>2206</v>
      </c>
      <c r="C20" s="3524"/>
      <c r="D20" s="3525" t="s">
        <v>2207</v>
      </c>
      <c r="E20" s="3526"/>
      <c r="F20" s="2642" t="s">
        <v>1056</v>
      </c>
      <c r="G20" s="2659"/>
      <c r="H20" s="2659"/>
      <c r="I20" s="2659"/>
      <c r="J20" s="2435"/>
      <c r="K20" s="352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4"/>
      <c r="X20" s="1744"/>
      <c r="Y20" s="1744"/>
      <c r="Z20" s="1744"/>
      <c r="AA20" s="1744"/>
      <c r="AB20" s="1744"/>
    </row>
    <row r="21" spans="1:28" ht="24.75" thickBot="1">
      <c r="A21" s="2627"/>
      <c r="B21" s="2628" t="s">
        <v>2209</v>
      </c>
      <c r="C21" s="2629" t="s">
        <v>1057</v>
      </c>
      <c r="D21" s="1567" t="s">
        <v>2210</v>
      </c>
      <c r="E21" s="2630" t="s">
        <v>1057</v>
      </c>
      <c r="F21" s="2643"/>
      <c r="G21" s="2659"/>
      <c r="H21" s="2659"/>
      <c r="I21" s="2659"/>
      <c r="J21" s="2435"/>
      <c r="K21" s="352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4"/>
      <c r="X21" s="1744"/>
      <c r="Y21" s="1744"/>
      <c r="Z21" s="1744"/>
      <c r="AA21" s="1744"/>
      <c r="AB21" s="1744"/>
    </row>
    <row r="22" spans="1:28" ht="24.75" thickBot="1">
      <c r="A22" s="2627"/>
      <c r="B22" s="2631" t="s">
        <v>2211</v>
      </c>
      <c r="C22" s="2629" t="s">
        <v>1058</v>
      </c>
      <c r="D22" s="2658"/>
      <c r="E22" s="2658"/>
      <c r="F22" s="2658"/>
      <c r="G22" s="2659"/>
      <c r="H22" s="2659"/>
      <c r="I22" s="2659"/>
      <c r="J22" s="2435"/>
      <c r="K22" s="352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4"/>
      <c r="X22" s="1744"/>
      <c r="Y22" s="1744"/>
      <c r="Z22" s="1744"/>
      <c r="AA22" s="1744"/>
      <c r="AB22" s="1744"/>
    </row>
    <row r="23" spans="1:28">
      <c r="A23" s="2632" t="s">
        <v>2212</v>
      </c>
      <c r="B23" s="2497" t="s">
        <v>2213</v>
      </c>
      <c r="C23" s="2633"/>
      <c r="D23" s="2634" t="s">
        <v>2213</v>
      </c>
      <c r="E23" s="2635"/>
      <c r="F23" s="2658"/>
      <c r="G23" s="2659"/>
      <c r="H23" s="2659"/>
      <c r="I23" s="2659"/>
      <c r="J23" s="2435"/>
      <c r="K23" s="2614"/>
      <c r="L23" s="2471"/>
      <c r="M23" s="2608"/>
      <c r="N23" s="2504"/>
      <c r="O23" s="2447"/>
      <c r="P23" s="2504"/>
      <c r="Q23" s="2435"/>
      <c r="R23" s="2435"/>
      <c r="S23" s="2435"/>
      <c r="T23" s="2435"/>
      <c r="U23" s="2435"/>
      <c r="V23" s="2435"/>
    </row>
    <row r="24" spans="1:28">
      <c r="A24" s="2632"/>
      <c r="B24" s="2497" t="s">
        <v>1059</v>
      </c>
      <c r="C24" s="2636"/>
      <c r="D24" s="2632" t="s">
        <v>1059</v>
      </c>
      <c r="E24" s="2637"/>
      <c r="F24" s="2658"/>
      <c r="G24" s="2659"/>
      <c r="H24" s="2659"/>
      <c r="I24" s="2659"/>
      <c r="J24" s="2435"/>
      <c r="K24" s="2614"/>
      <c r="L24" s="2471"/>
      <c r="M24" s="2608"/>
      <c r="N24" s="2504"/>
      <c r="O24" s="2447"/>
      <c r="P24" s="2504"/>
      <c r="Q24" s="2435"/>
      <c r="R24" s="2435"/>
      <c r="S24" s="2435"/>
      <c r="T24" s="2435"/>
      <c r="U24" s="2435"/>
      <c r="V24" s="2435"/>
    </row>
    <row r="25" spans="1:28">
      <c r="A25" s="2632"/>
      <c r="B25" s="2497" t="s">
        <v>1060</v>
      </c>
      <c r="C25" s="2636"/>
      <c r="D25" s="2632" t="s">
        <v>1060</v>
      </c>
      <c r="E25" s="2637"/>
      <c r="F25" s="2658"/>
      <c r="G25" s="2659"/>
      <c r="H25" s="2659"/>
      <c r="I25" s="2659"/>
      <c r="J25" s="2435"/>
      <c r="K25" s="2611"/>
      <c r="L25" s="2608"/>
      <c r="M25" s="2608"/>
      <c r="N25" s="2504"/>
      <c r="O25" s="2447"/>
      <c r="P25" s="2504"/>
      <c r="Q25" s="2435"/>
      <c r="R25" s="2435"/>
      <c r="S25" s="2435"/>
      <c r="T25" s="2435"/>
      <c r="U25" s="2435"/>
      <c r="V25" s="2435"/>
    </row>
    <row r="26" spans="1:28" ht="13.5" thickBot="1">
      <c r="A26" s="2638"/>
      <c r="B26" s="2639" t="s">
        <v>1061</v>
      </c>
      <c r="C26" s="2640"/>
      <c r="D26" s="2638" t="s">
        <v>1061</v>
      </c>
      <c r="E26" s="2641"/>
      <c r="F26" s="2660"/>
      <c r="G26" s="2660"/>
      <c r="H26" s="2660"/>
      <c r="I26" s="2660"/>
      <c r="J26" s="2435"/>
      <c r="K26" s="2611"/>
      <c r="L26" s="2608"/>
      <c r="M26" s="2608"/>
      <c r="N26" s="2504"/>
      <c r="O26" s="2447"/>
      <c r="P26" s="2504"/>
      <c r="Q26" s="2435"/>
      <c r="R26" s="2435"/>
      <c r="S26" s="2435"/>
      <c r="T26" s="2435"/>
      <c r="U26" s="2435"/>
      <c r="V26" s="2435"/>
    </row>
    <row r="27" spans="1:28" ht="13.5" thickTop="1">
      <c r="A27" s="3540" t="s">
        <v>2214</v>
      </c>
      <c r="B27" s="320" t="s">
        <v>2215</v>
      </c>
      <c r="C27" s="2412"/>
      <c r="D27" s="2413"/>
      <c r="E27" s="2659"/>
      <c r="F27" s="2659"/>
      <c r="G27" s="2659"/>
      <c r="H27" s="2659"/>
      <c r="I27" s="2659"/>
      <c r="J27" s="2435"/>
      <c r="K27" s="2612"/>
      <c r="L27" s="2447"/>
      <c r="M27" s="2447"/>
      <c r="N27" s="2504"/>
      <c r="O27" s="2447"/>
      <c r="P27" s="2504"/>
      <c r="Q27" s="2435"/>
      <c r="R27" s="2435"/>
      <c r="S27" s="2435"/>
      <c r="T27" s="2435"/>
      <c r="U27" s="2435"/>
      <c r="V27" s="2435"/>
    </row>
    <row r="28" spans="1:28">
      <c r="A28" s="3540"/>
      <c r="B28" s="302" t="s">
        <v>2216</v>
      </c>
      <c r="C28" s="2414"/>
      <c r="D28" s="2415"/>
      <c r="E28" s="2659"/>
      <c r="F28" s="2659"/>
      <c r="G28" s="2659"/>
      <c r="H28" s="2659"/>
      <c r="I28" s="2659"/>
      <c r="J28" s="2435"/>
      <c r="K28" s="2611"/>
      <c r="L28" s="2608"/>
      <c r="M28" s="2608"/>
      <c r="N28" s="2435"/>
      <c r="O28" s="2446"/>
      <c r="P28" s="2435"/>
      <c r="Q28" s="2435"/>
      <c r="R28" s="2435"/>
      <c r="S28" s="2435"/>
      <c r="T28" s="2435"/>
      <c r="U28" s="2435"/>
      <c r="V28" s="2435"/>
    </row>
    <row r="29" spans="1:28">
      <c r="A29" s="3540"/>
      <c r="B29" s="302" t="s">
        <v>2217</v>
      </c>
      <c r="C29" s="2416"/>
      <c r="D29" s="2417"/>
      <c r="E29" s="2659"/>
      <c r="F29" s="2659"/>
      <c r="G29" s="2659"/>
      <c r="H29" s="2659"/>
      <c r="I29" s="2659"/>
      <c r="J29" s="2435"/>
      <c r="K29" s="2611"/>
      <c r="L29" s="2608"/>
      <c r="M29" s="2608"/>
      <c r="N29" s="2435"/>
      <c r="O29" s="2446"/>
      <c r="P29" s="2435"/>
      <c r="Q29" s="2435"/>
      <c r="R29" s="2435"/>
      <c r="S29" s="2435"/>
      <c r="T29" s="2435"/>
      <c r="U29" s="2435"/>
      <c r="V29" s="2435"/>
    </row>
    <row r="30" spans="1:28">
      <c r="A30" s="3541"/>
      <c r="B30" s="302" t="s">
        <v>2218</v>
      </c>
      <c r="C30" s="3542"/>
      <c r="D30" s="3543"/>
      <c r="E30" s="2659"/>
      <c r="F30" s="2659"/>
      <c r="G30" s="2659"/>
      <c r="H30" s="2659"/>
      <c r="I30" s="2659"/>
      <c r="J30" s="2435"/>
      <c r="K30" s="2611"/>
      <c r="L30" s="2608"/>
      <c r="M30" s="2608"/>
      <c r="N30" s="2435"/>
      <c r="O30" s="2446"/>
      <c r="P30" s="2435"/>
      <c r="Q30" s="2435"/>
      <c r="R30" s="2435"/>
      <c r="S30" s="2435"/>
      <c r="T30" s="2435"/>
      <c r="U30" s="2435"/>
      <c r="V30" s="2435"/>
    </row>
    <row r="31" spans="1:28">
      <c r="A31" s="3544" t="s">
        <v>2219</v>
      </c>
      <c r="B31" s="2418"/>
      <c r="C31" s="2319" t="str">
        <f>IF(B31="现房","成新及维护状况正常否",IF(B31="在建","工程状态是否正常",IF(B31="土地","是否闲置","-")))</f>
        <v>-</v>
      </c>
      <c r="D31" s="1372"/>
      <c r="E31" s="2419"/>
      <c r="F31" s="2659"/>
      <c r="G31" s="2659"/>
      <c r="H31" s="2659"/>
      <c r="I31" s="2659"/>
      <c r="J31" s="2435"/>
      <c r="K31" s="2610"/>
      <c r="L31" s="2608"/>
      <c r="M31" s="2608"/>
      <c r="N31" s="2435"/>
      <c r="O31" s="2446"/>
      <c r="P31" s="2435"/>
      <c r="Q31" s="2435"/>
      <c r="R31" s="2435"/>
      <c r="S31" s="2435"/>
      <c r="T31" s="2435"/>
      <c r="U31" s="2435"/>
      <c r="V31" s="2435"/>
    </row>
    <row r="32" spans="1:28">
      <c r="A32" s="3545"/>
      <c r="B32" s="2418"/>
      <c r="C32" s="2319" t="str">
        <f>IF(B32="现房","成新及维护状况是否正常",IF(B32="在建","工程状态是否正常",IF(B32="土地","是否闲置","-")))</f>
        <v>-</v>
      </c>
      <c r="D32" s="1372"/>
      <c r="E32" s="2419"/>
      <c r="F32" s="2659"/>
      <c r="G32" s="2659"/>
      <c r="H32" s="2659"/>
      <c r="I32" s="2659"/>
      <c r="J32" s="2435"/>
      <c r="K32" s="2611"/>
      <c r="L32" s="2608"/>
      <c r="M32" s="2608"/>
      <c r="N32" s="2435"/>
      <c r="O32" s="2446"/>
      <c r="P32" s="2435"/>
      <c r="Q32" s="2435"/>
      <c r="R32" s="2435"/>
      <c r="S32" s="2435"/>
      <c r="T32" s="2435"/>
      <c r="U32" s="2435"/>
      <c r="V32" s="2435"/>
    </row>
    <row r="33" spans="1:30">
      <c r="A33" s="3545"/>
      <c r="B33" s="2421"/>
      <c r="C33" s="1589" t="str">
        <f>IF(B33="现房","成新及维护状况是否正常",IF(B33="在建","工程状态是否正常",IF(B33="土地","是否闲置","-")))</f>
        <v>-</v>
      </c>
      <c r="D33" s="1364"/>
      <c r="E33" s="2422"/>
      <c r="F33" s="2659"/>
      <c r="G33" s="2659"/>
      <c r="H33" s="2659"/>
      <c r="I33" s="2659"/>
      <c r="J33" s="2435"/>
      <c r="K33" s="2611"/>
      <c r="L33" s="2608"/>
      <c r="M33" s="2608"/>
      <c r="N33" s="2435"/>
      <c r="O33" s="2446"/>
      <c r="P33" s="2435"/>
      <c r="Q33" s="2435"/>
      <c r="R33" s="2435"/>
      <c r="S33" s="2435"/>
      <c r="T33" s="2435"/>
      <c r="U33" s="2435"/>
      <c r="V33" s="2435"/>
    </row>
    <row r="34" spans="1:30">
      <c r="A34" s="302" t="s">
        <v>2220</v>
      </c>
      <c r="B34" s="2022"/>
      <c r="C34" s="2022"/>
      <c r="D34" s="2022"/>
      <c r="E34" s="2022"/>
      <c r="F34" s="2022"/>
      <c r="G34" s="2022"/>
      <c r="H34" s="2022"/>
      <c r="I34" s="2659"/>
      <c r="J34" s="2435"/>
      <c r="K34" s="2423">
        <f>COUNTIF(B34:H34,"——")</f>
        <v>0</v>
      </c>
      <c r="L34" s="323" t="s">
        <v>2221</v>
      </c>
      <c r="M34" s="323" t="s">
        <v>2222</v>
      </c>
      <c r="N34" s="323" t="s">
        <v>2223</v>
      </c>
      <c r="O34" s="323" t="s">
        <v>2224</v>
      </c>
      <c r="P34" s="323" t="s">
        <v>2225</v>
      </c>
      <c r="Q34" s="323" t="s">
        <v>2226</v>
      </c>
      <c r="R34" s="323" t="s">
        <v>2227</v>
      </c>
      <c r="S34" s="3539" t="s">
        <v>2228</v>
      </c>
      <c r="T34" s="2424" t="str">
        <f>NUMBERSTRING(7-K34,1)&amp;"通"</f>
        <v>七通</v>
      </c>
      <c r="U34" s="2435"/>
      <c r="V34" s="2435"/>
    </row>
    <row r="35" spans="1:30">
      <c r="A35" s="2425"/>
      <c r="B35" s="3546" t="s">
        <v>2229</v>
      </c>
      <c r="C35" s="3546"/>
      <c r="D35" s="3546"/>
      <c r="E35" s="3546"/>
      <c r="F35" s="664">
        <f>C10</f>
        <v>0</v>
      </c>
      <c r="G35" s="2659"/>
      <c r="H35" s="2659"/>
      <c r="I35" s="2659"/>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9"/>
      <c r="T35" s="329" t="str">
        <f>IF(T34="一通",L35,IF(T34="二通",M35,IF(T34="三通",N35,IF(T34="四通",O35,IF(T34="五通",P35,IF(T34="六通",Q35,R35))))))</f>
        <v>、、、、、、</v>
      </c>
      <c r="U35" s="2435"/>
      <c r="V35" s="2435"/>
    </row>
    <row r="36" spans="1:30">
      <c r="A36" s="2426"/>
      <c r="B36" s="664" t="s">
        <v>2185</v>
      </c>
      <c r="C36" s="664" t="s">
        <v>2186</v>
      </c>
      <c r="D36" s="664" t="s">
        <v>2184</v>
      </c>
      <c r="E36" s="664" t="s">
        <v>2189</v>
      </c>
      <c r="F36" s="3060" t="s">
        <v>2580</v>
      </c>
      <c r="G36" s="2659"/>
      <c r="H36" s="2659"/>
      <c r="I36" s="2659"/>
      <c r="J36" s="2435"/>
      <c r="K36" s="2611"/>
      <c r="L36" s="2608"/>
      <c r="M36" s="2608"/>
      <c r="N36" s="2435"/>
      <c r="O36" s="2446"/>
      <c r="P36" s="2435"/>
      <c r="Q36" s="2435"/>
      <c r="R36" s="2435"/>
      <c r="S36" s="2435"/>
      <c r="T36" s="2435"/>
      <c r="U36" s="2435"/>
      <c r="V36" s="2435"/>
    </row>
    <row r="37" spans="1:30">
      <c r="A37" s="2625" t="s">
        <v>2230</v>
      </c>
      <c r="B37" s="2427"/>
      <c r="C37" s="2427" t="s">
        <v>296</v>
      </c>
      <c r="D37" s="2427"/>
      <c r="E37" s="2427"/>
      <c r="F37" s="2427"/>
      <c r="G37" s="2659"/>
      <c r="H37" s="2659"/>
      <c r="I37" s="2659"/>
      <c r="J37" s="2435"/>
      <c r="K37" s="2611"/>
      <c r="L37" s="2608"/>
      <c r="M37" s="2608"/>
      <c r="N37" s="2435"/>
      <c r="O37" s="2446"/>
      <c r="P37" s="2435"/>
      <c r="Q37" s="2435"/>
      <c r="R37" s="2435"/>
      <c r="S37" s="2435"/>
      <c r="T37" s="2435"/>
      <c r="U37" s="2435"/>
      <c r="V37" s="2435"/>
    </row>
    <row r="38" spans="1:30" ht="13.5" thickBot="1">
      <c r="A38" s="2626" t="s">
        <v>2231</v>
      </c>
      <c r="B38" s="2428"/>
      <c r="C38" s="2428" t="s">
        <v>129</v>
      </c>
      <c r="D38" s="2428"/>
      <c r="E38" s="2428"/>
      <c r="F38" s="2428"/>
      <c r="G38" s="2660"/>
      <c r="H38" s="2660"/>
      <c r="I38" s="2660"/>
      <c r="J38" s="2435"/>
      <c r="K38" s="2611"/>
      <c r="L38" s="2608"/>
      <c r="M38" s="2608"/>
      <c r="N38" s="2435"/>
      <c r="O38" s="2446"/>
      <c r="P38" s="2435"/>
      <c r="Q38" s="2435"/>
      <c r="R38" s="2435"/>
      <c r="S38" s="2435"/>
      <c r="T38" s="2435"/>
      <c r="U38" s="2435"/>
      <c r="V38" s="2435"/>
    </row>
    <row r="39" spans="1:30" s="2431" customFormat="1" ht="14.25" thickTop="1" thickBot="1">
      <c r="A39" s="2429" t="s">
        <v>2232</v>
      </c>
      <c r="B39" s="2430"/>
      <c r="C39" s="2430"/>
      <c r="D39" s="2430"/>
      <c r="E39" s="2430"/>
      <c r="F39" s="2430"/>
      <c r="G39" s="2430"/>
      <c r="H39" s="2430"/>
      <c r="I39" s="2430"/>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6"/>
      <c r="B40" s="2366"/>
      <c r="C40" s="2366"/>
      <c r="D40" s="2366"/>
      <c r="E40" s="2366"/>
      <c r="F40" s="2366"/>
      <c r="G40" s="2366"/>
      <c r="H40" s="2366"/>
      <c r="I40" s="1577"/>
      <c r="J40" s="2504"/>
      <c r="K40" s="2610"/>
      <c r="L40" s="2447"/>
      <c r="M40" s="2447"/>
      <c r="N40" s="2504"/>
      <c r="O40" s="2447"/>
      <c r="P40" s="2435"/>
      <c r="Q40" s="2435"/>
      <c r="R40" s="2435"/>
      <c r="S40" s="2435"/>
      <c r="T40" s="2435"/>
      <c r="U40" s="2435"/>
      <c r="V40" s="2435"/>
    </row>
    <row r="41" spans="1:30">
      <c r="A41" s="2432" t="s">
        <v>2233</v>
      </c>
      <c r="B41" s="1756"/>
      <c r="C41" s="1372"/>
      <c r="D41" s="2366"/>
      <c r="E41" s="2366"/>
      <c r="F41" s="2366"/>
      <c r="G41" s="2366"/>
      <c r="H41" s="2366"/>
      <c r="I41" s="1575"/>
      <c r="J41" s="2435"/>
      <c r="K41" s="2611"/>
      <c r="L41" s="2608"/>
      <c r="M41" s="2608"/>
      <c r="N41" s="2435"/>
      <c r="O41" s="2446"/>
      <c r="P41" s="2435"/>
      <c r="Q41" s="2435"/>
      <c r="R41" s="2435"/>
      <c r="S41" s="2435"/>
      <c r="T41" s="2435"/>
      <c r="U41" s="2435"/>
      <c r="V41" s="2435"/>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459.68</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459.68</v>
      </c>
      <c r="H5" s="13">
        <f t="shared" ref="H5:AT5" si="0">SUM(H13:H656)</f>
        <v>459.68</v>
      </c>
      <c r="I5" s="13">
        <f t="shared" si="0"/>
        <v>459.68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459.68</v>
      </c>
      <c r="BA5" s="15">
        <f t="shared" si="1"/>
        <v>459.68</v>
      </c>
      <c r="BB5" s="15">
        <f t="shared" si="1"/>
        <v>459.68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3388</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t="s">
        <v>3422</v>
      </c>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t="str">
        <f>I11</f>
        <v>办公楼</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3387</v>
      </c>
      <c r="E13" s="13">
        <f>IF($C$3="是",ROUND($A$3*G13/$B$3,2),ROUND($A$3*(G13-AT13)/$B$3,2))</f>
        <v>0</v>
      </c>
      <c r="F13" s="29"/>
      <c r="G13" s="30">
        <f>H13+AC13+AT13</f>
        <v>459.68</v>
      </c>
      <c r="H13" s="17">
        <f>SUMIF(I$12:AB$12,"总值",I13:AB13)</f>
        <v>459.68</v>
      </c>
      <c r="I13" s="1625">
        <v>459.68</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459.68</v>
      </c>
      <c r="BA13" s="13">
        <f>SUM(BB13:BK13)</f>
        <v>459.68</v>
      </c>
      <c r="BB13" s="13">
        <f>IF($D13="是",I13-J13,0)</f>
        <v>459.68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J11" sqref="J1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4"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56" t="s">
        <v>1131</v>
      </c>
      <c r="B2" s="3556"/>
      <c r="C2" s="3556"/>
      <c r="D2" s="796" t="s">
        <v>1107</v>
      </c>
      <c r="E2" s="1638" t="s">
        <v>1108</v>
      </c>
      <c r="F2" s="2654"/>
      <c r="G2" s="2645"/>
      <c r="H2" s="2646"/>
      <c r="I2" s="2321" t="s">
        <v>1132</v>
      </c>
      <c r="J2" s="2654"/>
      <c r="K2" s="2654"/>
      <c r="L2" s="2654"/>
      <c r="M2" s="2654"/>
      <c r="N2" s="2656"/>
      <c r="O2" s="2654"/>
      <c r="P2" s="2654"/>
    </row>
    <row r="3" spans="1:16" ht="15.75" thickBot="1">
      <c r="A3" s="3557" t="s">
        <v>1105</v>
      </c>
      <c r="B3" s="3557"/>
      <c r="C3" s="3557"/>
      <c r="D3" s="43">
        <f>'数据-基础表'!AY6</f>
        <v>0</v>
      </c>
      <c r="E3" s="43">
        <f>'数据-基础表'!AZ5</f>
        <v>459.68</v>
      </c>
      <c r="F3" s="2654"/>
      <c r="G3" s="1145"/>
      <c r="H3" s="1026" t="s">
        <v>1106</v>
      </c>
      <c r="I3" s="855" t="e">
        <f>ROUND('数据-基础表'!B3/'数据-基础表'!A3,2)</f>
        <v>#DIV/0!</v>
      </c>
      <c r="J3" s="2654"/>
      <c r="K3" s="2654"/>
      <c r="L3" s="2654"/>
      <c r="M3" s="2654"/>
      <c r="N3" s="2656"/>
      <c r="O3" s="2654"/>
      <c r="P3" s="2654"/>
    </row>
    <row r="4" spans="1:16" ht="15">
      <c r="A4" s="3558"/>
      <c r="B4" s="3559"/>
      <c r="C4" s="3560"/>
      <c r="D4" s="1640" t="s">
        <v>1107</v>
      </c>
      <c r="E4" s="1641" t="s">
        <v>1108</v>
      </c>
      <c r="F4" s="2654"/>
      <c r="G4" s="2647" t="s">
        <v>1133</v>
      </c>
      <c r="H4" s="1026" t="s">
        <v>1113</v>
      </c>
      <c r="I4" s="855" t="e">
        <f>ROUND(SUMIF('数据-基础表'!I9:AS9,"地上",'数据-基础表'!I5:AS5)/'数据-基础表'!A3,2)</f>
        <v>#DIV/0!</v>
      </c>
      <c r="J4" s="2654"/>
      <c r="K4" s="2654"/>
      <c r="L4" s="2654"/>
      <c r="M4" s="2654"/>
      <c r="N4" s="2656"/>
      <c r="O4" s="2654"/>
      <c r="P4" s="2654"/>
    </row>
    <row r="5" spans="1:16">
      <c r="A5" s="44" t="s">
        <v>1109</v>
      </c>
      <c r="B5" s="3561" t="s">
        <v>1110</v>
      </c>
      <c r="C5" s="3561"/>
      <c r="D5" s="45">
        <f>ROUND($D$3*E5/$E$3,2)</f>
        <v>0</v>
      </c>
      <c r="E5" s="46">
        <f>SUMIF('数据-基础表'!$11:$11,"住宅",'数据-基础表'!$5:$5)</f>
        <v>0</v>
      </c>
      <c r="F5" s="2654"/>
      <c r="G5" s="1145"/>
      <c r="H5" s="1026" t="s">
        <v>1106</v>
      </c>
      <c r="I5" s="855" t="e">
        <f>ROUND(E31/D31,2)</f>
        <v>#DIV/0!</v>
      </c>
      <c r="J5" s="2654"/>
      <c r="K5" s="2654"/>
      <c r="L5" s="2654">
        <f>106778+18467</f>
        <v>125245</v>
      </c>
      <c r="M5" s="2654"/>
      <c r="N5" s="2654"/>
      <c r="O5" s="2654"/>
      <c r="P5" s="2654"/>
    </row>
    <row r="6" spans="1:16" ht="15" thickBot="1">
      <c r="A6" s="1643"/>
      <c r="B6" s="3561" t="s">
        <v>1111</v>
      </c>
      <c r="C6" s="3561"/>
      <c r="D6" s="45">
        <f>ROUND($D$3*E6/$E$3,2)</f>
        <v>0</v>
      </c>
      <c r="E6" s="46">
        <f>E3-E5</f>
        <v>459.68</v>
      </c>
      <c r="F6" s="2654"/>
      <c r="G6" s="2648" t="s">
        <v>1112</v>
      </c>
      <c r="H6" s="1146" t="s">
        <v>1113</v>
      </c>
      <c r="I6" s="2649" t="e">
        <f>ROUND(F31/D31,2)</f>
        <v>#DIV/0!</v>
      </c>
      <c r="J6" s="2654"/>
      <c r="K6" s="2654"/>
      <c r="L6" s="2654">
        <v>22322.799999999999</v>
      </c>
      <c r="M6" s="2654"/>
      <c r="N6" s="2654"/>
      <c r="O6" s="2654"/>
      <c r="P6" s="2654"/>
    </row>
    <row r="7" spans="1:16" ht="15.75" thickBot="1">
      <c r="A7" s="3553"/>
      <c r="B7" s="3554"/>
      <c r="C7" s="3555"/>
      <c r="D7" s="1640" t="s">
        <v>1107</v>
      </c>
      <c r="E7" s="1644" t="s">
        <v>1114</v>
      </c>
      <c r="F7" s="2654"/>
      <c r="G7" s="2650" t="s">
        <v>1115</v>
      </c>
      <c r="H7" s="2651"/>
      <c r="I7" s="2652">
        <v>4.6399999999999997</v>
      </c>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459.68</v>
      </c>
      <c r="F8" s="2654"/>
      <c r="G8" s="2655"/>
      <c r="H8" s="2655"/>
      <c r="I8" s="2654"/>
      <c r="J8" s="2654"/>
      <c r="K8" s="2654"/>
      <c r="L8" s="2654">
        <f>L5/L6</f>
        <v>5.6106312828139844</v>
      </c>
      <c r="M8" s="2654"/>
      <c r="N8" s="2654"/>
      <c r="O8" s="2654"/>
      <c r="P8" s="2654"/>
    </row>
    <row r="9" spans="1:16">
      <c r="A9" s="1645"/>
      <c r="B9" s="1646"/>
      <c r="C9" s="45" t="s">
        <v>1119</v>
      </c>
      <c r="D9" s="45">
        <f t="shared" si="0"/>
        <v>0</v>
      </c>
      <c r="E9" s="49">
        <v>0</v>
      </c>
      <c r="F9" s="2654"/>
      <c r="G9" s="2655"/>
      <c r="H9" s="2655"/>
      <c r="I9" s="2654"/>
      <c r="J9" s="2654"/>
      <c r="K9" s="2654"/>
      <c r="L9" s="2654"/>
      <c r="M9" s="2654"/>
      <c r="N9" s="2654"/>
      <c r="O9" s="2654"/>
      <c r="P9" s="2654"/>
    </row>
    <row r="10" spans="1:16">
      <c r="A10" s="1645"/>
      <c r="B10" s="1646"/>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5"/>
      <c r="B11" s="1646"/>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5"/>
      <c r="B12" s="1646"/>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5"/>
      <c r="B13" s="1646"/>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5"/>
      <c r="B14" s="1646"/>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5"/>
      <c r="B15" s="1646"/>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3"/>
      <c r="B16" s="1646"/>
      <c r="C16" s="47" t="s">
        <v>1123</v>
      </c>
      <c r="D16" s="47">
        <f>SUM(D8:D15)</f>
        <v>0</v>
      </c>
      <c r="E16" s="50">
        <f>SUM(E8:E15)</f>
        <v>459.68</v>
      </c>
      <c r="F16" s="2654"/>
      <c r="G16" s="2655"/>
      <c r="H16" s="1647" t="s">
        <v>1135</v>
      </c>
      <c r="I16" s="1648"/>
      <c r="J16" s="1139"/>
      <c r="K16" s="3550" t="s">
        <v>1135</v>
      </c>
      <c r="L16" s="3551"/>
      <c r="M16" s="3551"/>
      <c r="N16" s="3551"/>
      <c r="O16" s="3551"/>
      <c r="P16" s="3552"/>
    </row>
    <row r="17" spans="1:19" ht="15">
      <c r="A17" s="1649" t="s">
        <v>1136</v>
      </c>
      <c r="B17" s="1650" t="s">
        <v>1137</v>
      </c>
      <c r="C17" s="1651" t="s">
        <v>1138</v>
      </c>
      <c r="D17" s="1652" t="s">
        <v>1126</v>
      </c>
      <c r="E17" s="1653" t="s">
        <v>1127</v>
      </c>
      <c r="F17" s="1654"/>
      <c r="G17" s="1655"/>
      <c r="H17" s="1656" t="s">
        <v>1139</v>
      </c>
      <c r="I17" s="1657" t="s">
        <v>1124</v>
      </c>
      <c r="J17" s="1139"/>
      <c r="K17" s="3547" t="s">
        <v>1140</v>
      </c>
      <c r="L17" s="3548"/>
      <c r="M17" s="3549"/>
      <c r="N17" s="3547" t="s">
        <v>1141</v>
      </c>
      <c r="O17" s="3548"/>
      <c r="P17" s="3549"/>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2" t="s">
        <v>3423</v>
      </c>
      <c r="D19" s="45">
        <f>ROUND($D$3*E19/$E$3,2)</f>
        <v>0</v>
      </c>
      <c r="E19" s="53">
        <f t="shared" ref="E19:E26" si="1">SUM(F19:G19)</f>
        <v>459.68</v>
      </c>
      <c r="F19" s="2790">
        <f>'数据-基础表'!I13</f>
        <v>459.68</v>
      </c>
      <c r="G19" s="2791"/>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459.68</v>
      </c>
    </row>
    <row r="20" spans="1:19">
      <c r="A20" s="1669"/>
      <c r="B20" s="47" t="s">
        <v>1153</v>
      </c>
      <c r="C20" s="3412"/>
      <c r="D20" s="45">
        <f t="shared" ref="D20:D26" si="6">ROUND($D$3*E20/$E$3,2)</f>
        <v>0</v>
      </c>
      <c r="E20" s="53">
        <f t="shared" si="1"/>
        <v>0</v>
      </c>
      <c r="F20" s="2790"/>
      <c r="G20" s="2791"/>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2"/>
      <c r="D21" s="45">
        <f t="shared" si="6"/>
        <v>0</v>
      </c>
      <c r="E21" s="53">
        <f t="shared" si="1"/>
        <v>0</v>
      </c>
      <c r="F21" s="2790"/>
      <c r="G21" s="2791"/>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3"/>
      <c r="D22" s="45">
        <f t="shared" si="6"/>
        <v>0</v>
      </c>
      <c r="E22" s="53">
        <f t="shared" si="1"/>
        <v>0</v>
      </c>
      <c r="F22" s="2792"/>
      <c r="G22" s="2793"/>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3"/>
      <c r="D23" s="45">
        <f>ROUND($D$3*E23/$E$3,2)</f>
        <v>0</v>
      </c>
      <c r="E23" s="53">
        <f>SUM(F23:G23)</f>
        <v>0</v>
      </c>
      <c r="F23" s="2792"/>
      <c r="G23" s="2793"/>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3"/>
      <c r="D24" s="45">
        <f>ROUND($D$3*E24/$E$3,2)</f>
        <v>0</v>
      </c>
      <c r="E24" s="53">
        <f>SUM(F24:G24)</f>
        <v>0</v>
      </c>
      <c r="F24" s="2792"/>
      <c r="G24" s="2793"/>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3"/>
      <c r="D25" s="45">
        <f t="shared" si="6"/>
        <v>0</v>
      </c>
      <c r="E25" s="53">
        <f t="shared" si="1"/>
        <v>0</v>
      </c>
      <c r="F25" s="2792"/>
      <c r="G25" s="2793"/>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2"/>
      <c r="G26" s="2793"/>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459.68</v>
      </c>
      <c r="F27" s="1140">
        <f>IF(SUM(F19:F26)=E8,SUM(F19:F26),"地上面积有误")</f>
        <v>459.68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459.68</v>
      </c>
    </row>
    <row r="28" spans="1:19">
      <c r="A28" s="1669"/>
      <c r="B28" s="47" t="s">
        <v>1155</v>
      </c>
      <c r="C28" s="1038"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9"/>
      <c r="B29" s="47" t="s">
        <v>1155</v>
      </c>
      <c r="C29" s="1673"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9"/>
      <c r="B30" s="47"/>
      <c r="C30" s="1674" t="s">
        <v>1154</v>
      </c>
      <c r="D30" s="1140">
        <f>SUM(D28:D29)</f>
        <v>0</v>
      </c>
      <c r="E30" s="1140">
        <f>SUM(E28:E29)</f>
        <v>0</v>
      </c>
      <c r="F30" s="1140">
        <f>SUM(F28:F29)</f>
        <v>0</v>
      </c>
      <c r="G30" s="1142">
        <f>SUM(G28:G29)</f>
        <v>0</v>
      </c>
      <c r="H30" s="2654"/>
      <c r="I30" s="2654"/>
      <c r="J30" s="2654"/>
      <c r="K30" s="2654"/>
      <c r="L30" s="2654"/>
      <c r="M30" s="2654"/>
      <c r="N30" s="2654"/>
      <c r="O30" s="2654"/>
      <c r="P30" s="2654"/>
    </row>
    <row r="31" spans="1:19" ht="15.75" thickBot="1">
      <c r="A31" s="1675"/>
      <c r="B31" s="1676"/>
      <c r="C31" s="835" t="s">
        <v>1158</v>
      </c>
      <c r="D31" s="676">
        <f>D27+D30</f>
        <v>0</v>
      </c>
      <c r="E31" s="676">
        <f>E27+E30</f>
        <v>459.68</v>
      </c>
      <c r="F31" s="677">
        <f>F27+F30</f>
        <v>459.68</v>
      </c>
      <c r="G31" s="678">
        <f>G27+G30</f>
        <v>0</v>
      </c>
      <c r="H31" s="2654"/>
      <c r="I31" s="2654"/>
      <c r="J31" s="2654"/>
      <c r="K31" s="2654"/>
      <c r="L31" s="2654"/>
      <c r="M31" s="2654"/>
      <c r="N31" s="2654"/>
      <c r="O31" s="2654"/>
      <c r="P31" s="2654"/>
    </row>
    <row r="32" spans="1:19">
      <c r="A32" s="1642"/>
      <c r="B32" s="1642" t="s">
        <v>1159</v>
      </c>
      <c r="C32" s="1642"/>
      <c r="D32" s="1642"/>
      <c r="E32" s="1053">
        <f>SUMIF(C19:C26,"*住宅*",E19:E26)</f>
        <v>0</v>
      </c>
      <c r="F32" s="1642"/>
      <c r="G32" s="1642"/>
      <c r="H32" s="2654"/>
      <c r="I32" s="2654"/>
      <c r="J32" s="2654"/>
      <c r="K32" s="2654"/>
      <c r="L32" s="2654"/>
      <c r="M32" s="2654"/>
      <c r="N32" s="2654"/>
      <c r="O32" s="2654"/>
      <c r="P32" s="2654"/>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36"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6"/>
      <c r="AO1" s="2666"/>
      <c r="AP1" s="2666"/>
      <c r="AQ1" s="2666"/>
      <c r="AR1" s="2666"/>
    </row>
    <row r="2" spans="1:67" s="1558" customFormat="1" ht="15.75" thickBot="1">
      <c r="A2" s="1682" t="s">
        <v>1161</v>
      </c>
      <c r="B2" s="1045">
        <f>项目基本情况!D3</f>
        <v>44845</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8"/>
      <c r="AO2" s="2668"/>
      <c r="AP2" s="2668"/>
      <c r="AQ2" s="2668"/>
      <c r="AR2" s="2668"/>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8"/>
      <c r="AO3" s="2668"/>
      <c r="AP3" s="2668"/>
      <c r="AQ3" s="2668"/>
      <c r="AR3" s="2668"/>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3"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8"/>
      <c r="AO4" s="2668"/>
      <c r="AP4" s="2668"/>
      <c r="AQ4" s="2668"/>
      <c r="AR4" s="2668"/>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3384</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55652</v>
      </c>
      <c r="F6" s="64">
        <f>SUMIF(项目基本情况!C$12:I$12,C6,项目基本情况!C$15:I$15)</f>
        <v>29.6</v>
      </c>
      <c r="G6" s="65">
        <f>IF(ISERROR(ROUND(POWER(1+H6,D6-F6)*(POWER(1+H6,F6)-1)/(POWER(1+H6,D6)-1),3)),0,ROUND(POWER(1+H6,D6-F6)*(POWER(1+H6,F6)-1)/(POWER(1+H6,D6)-1),3))</f>
        <v>0.81899999999999995</v>
      </c>
      <c r="H6" s="732">
        <v>4.4999999999999998E-2</v>
      </c>
      <c r="I6" s="732">
        <v>0.05</v>
      </c>
      <c r="J6" s="66">
        <v>5.5E-2</v>
      </c>
      <c r="K6" s="1030">
        <f>SUMIF('数据-汇总表'!C$19:C$33,A6,'数据-汇总表'!E$19:E$33)</f>
        <v>459.68</v>
      </c>
      <c r="L6" s="733">
        <v>5500</v>
      </c>
      <c r="M6" s="67">
        <f t="shared" ref="M6:M14" si="0">ROUND(K6*L6/10000,0)</f>
        <v>253</v>
      </c>
      <c r="N6" s="731">
        <f>AVERAGE(N20:N21)</f>
        <v>0.75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3">
        <f>案例!I6</f>
        <v>5.4</v>
      </c>
      <c r="V6" s="70">
        <v>0.03</v>
      </c>
      <c r="W6" s="70">
        <v>0.1</v>
      </c>
      <c r="X6" s="1040"/>
      <c r="Y6" s="71">
        <f>N6</f>
        <v>0.75</v>
      </c>
      <c r="Z6" s="72"/>
      <c r="AA6" s="66"/>
      <c r="AB6" s="66"/>
      <c r="AC6" s="1040"/>
      <c r="AD6" s="73"/>
      <c r="AE6" s="1041">
        <f ca="1">IF(AN6="",0,SUMIF(INDIRECT("'"&amp;AN6&amp;"'"&amp;"!E:E"),$AE$5,INDIRECT("'"&amp;AN6&amp;"'"&amp;"!F:F")))</f>
        <v>29.6</v>
      </c>
      <c r="AF6" s="1347"/>
      <c r="AG6" s="138">
        <f>IF(AF6="",0,AE6-AF6)</f>
        <v>0</v>
      </c>
      <c r="AH6" s="74"/>
      <c r="AI6" s="76">
        <v>365</v>
      </c>
      <c r="AJ6" s="77"/>
      <c r="AK6" s="78">
        <v>1.4999999999999999E-2</v>
      </c>
      <c r="AL6" s="79">
        <v>1.5E-3</v>
      </c>
      <c r="AM6" s="80">
        <v>0.01</v>
      </c>
      <c r="AN6" s="1714" t="s">
        <v>3385</v>
      </c>
      <c r="AO6" s="52">
        <f ca="1">SUMIF(INDIRECT("'"&amp;AN6&amp;"'"&amp;"!A:A"),"总价",INDIRECT("'"&amp;AN6&amp;"'"&amp;"!B:B"))</f>
        <v>1498.4185</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6"/>
      <c r="AO14" s="2668"/>
      <c r="AP14" s="2668"/>
      <c r="AQ14" s="2668"/>
      <c r="AR14" s="2668"/>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6"/>
      <c r="AO15" s="2668"/>
      <c r="AP15" s="2668"/>
      <c r="AQ15" s="2668"/>
      <c r="AR15" s="2668"/>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0.81899999999999995</v>
      </c>
      <c r="H16" s="90">
        <f>ROUND(SUMPRODUCT(H6:H13,K6:K13)/SUMPRODUCT((H6:H13&gt;0)*(K6:K13)),3)</f>
        <v>4.4999999999999998E-2</v>
      </c>
      <c r="I16" s="91"/>
      <c r="J16" s="91"/>
      <c r="K16" s="92">
        <f>SUM(K6:K15)</f>
        <v>459.68</v>
      </c>
      <c r="L16" s="93">
        <f>ROUND(M16*10000/SUM(K6:K14),0)</f>
        <v>5504</v>
      </c>
      <c r="M16" s="93">
        <f>SUM(M6:M14)</f>
        <v>253</v>
      </c>
      <c r="N16" s="94">
        <f>ROUND(SUMPRODUCT(M6:M14,N6:N14)/M16,3)</f>
        <v>0.75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1" t="s">
        <v>1211</v>
      </c>
      <c r="B19" s="103">
        <v>0</v>
      </c>
      <c r="C19" s="2794" t="s">
        <v>2303</v>
      </c>
      <c r="D19" s="2671"/>
      <c r="E19" s="2668"/>
      <c r="F19" s="2668"/>
      <c r="G19" s="2668"/>
      <c r="H19" s="2668"/>
      <c r="I19" s="2668"/>
      <c r="J19" s="2668"/>
      <c r="K19" s="2667"/>
      <c r="L19" s="2667">
        <v>3500</v>
      </c>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2" t="s">
        <v>1212</v>
      </c>
      <c r="B20" s="104">
        <v>2</v>
      </c>
      <c r="C20" s="2795" t="s">
        <v>2301</v>
      </c>
      <c r="D20" s="2671"/>
      <c r="E20" s="2668"/>
      <c r="F20" s="2668"/>
      <c r="G20" s="2668"/>
      <c r="H20" s="2668"/>
      <c r="I20" s="2668"/>
      <c r="J20" s="2668"/>
      <c r="K20" s="2667"/>
      <c r="L20" s="2667">
        <v>3000</v>
      </c>
      <c r="M20" s="2666"/>
      <c r="N20" s="2666">
        <f>ROUND(1-(2022-2004)/60,2)</f>
        <v>0.7</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3" t="s">
        <v>1213</v>
      </c>
      <c r="B21" s="104">
        <v>2</v>
      </c>
      <c r="C21" s="2668"/>
      <c r="D21" s="2671"/>
      <c r="E21" s="2668"/>
      <c r="F21" s="2668"/>
      <c r="G21" s="2668"/>
      <c r="H21" s="2668"/>
      <c r="I21" s="2668"/>
      <c r="J21" s="2668"/>
      <c r="K21" s="2667"/>
      <c r="L21" s="2667"/>
      <c r="M21" s="2666"/>
      <c r="N21" s="2666">
        <v>0.8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2" t="s">
        <v>1214</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3" t="s">
        <v>1215</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4"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6"/>
      <c r="B25" s="1686"/>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2" t="s">
        <v>1217</v>
      </c>
      <c r="B26" s="1725"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7" customFormat="1" ht="27.75">
      <c r="A27" s="1726" t="s">
        <v>1220</v>
      </c>
      <c r="B27" s="107">
        <v>160</v>
      </c>
      <c r="C27" s="2796" t="s">
        <v>2305</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 (元)'!C9</f>
        <v>0</v>
      </c>
      <c r="C29" s="2797" t="s">
        <v>2292</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150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150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0.05</v>
      </c>
      <c r="C33" s="2798" t="s">
        <v>2293</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798" t="s">
        <v>2294</v>
      </c>
      <c r="D34" s="2679" t="s">
        <v>2302</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300</v>
      </c>
      <c r="C35" s="2798" t="s">
        <v>2295</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798" t="s">
        <v>2296</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0" t="s">
        <v>1230</v>
      </c>
      <c r="B37" s="115">
        <v>0.03</v>
      </c>
      <c r="C37" s="2798" t="s">
        <v>2297</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8" t="s">
        <v>1231</v>
      </c>
      <c r="B38" s="113">
        <v>0.05</v>
      </c>
      <c r="C38" s="2798" t="s">
        <v>2297</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1"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29.25" thickBot="1">
      <c r="A40" s="2810" t="s">
        <v>3386</v>
      </c>
      <c r="B40" s="1078">
        <f ca="1">IF(A40="利息：取LPR",存贷款利率!G1,存贷款利率!G1+C40)</f>
        <v>4.7500000000000001E-2</v>
      </c>
      <c r="C40" s="2809">
        <v>1.0999999999999999E-2</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6"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2"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2"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3" t="s">
        <v>1236</v>
      </c>
      <c r="B44" s="119">
        <v>7.0000000000000007E-2</v>
      </c>
      <c r="C44" s="2798" t="s">
        <v>2306</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3" t="s">
        <v>1237</v>
      </c>
      <c r="B45" s="117">
        <v>0.03</v>
      </c>
      <c r="C45" s="2797" t="s">
        <v>2298</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3" t="s">
        <v>1238</v>
      </c>
      <c r="B46" s="117">
        <v>0.02</v>
      </c>
      <c r="C46" s="2797" t="s">
        <v>2299</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4" t="s">
        <v>1239</v>
      </c>
      <c r="B47" s="120"/>
      <c r="C47" s="2800" t="s">
        <v>2307</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5" t="s">
        <v>1240</v>
      </c>
      <c r="B48" s="121">
        <v>0.03</v>
      </c>
      <c r="C48" s="2797" t="s">
        <v>2298</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1" t="s">
        <v>1241</v>
      </c>
      <c r="B49" s="117">
        <v>5.0000000000000001E-4</v>
      </c>
      <c r="C49" s="2797" t="s">
        <v>2300</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6"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9"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6" t="s">
        <v>1244</v>
      </c>
      <c r="B52" s="124">
        <f>SUMIF(A54:A63,B53,B54:B63)</f>
        <v>0</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8" t="s">
        <v>1245</v>
      </c>
      <c r="B53" s="1737"/>
      <c r="C53" s="2656" t="s">
        <v>1246</v>
      </c>
      <c r="D53" s="2799" t="s">
        <v>2304</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8"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8"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8"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8"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8"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8" t="s">
        <v>1252</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8"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8"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8"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9"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685" customWidth="1"/>
    <col min="2" max="2" width="24.5" style="1571" customWidth="1"/>
    <col min="3" max="3" width="24.5" style="2505" customWidth="1"/>
    <col min="4" max="4" width="2.625" style="2505" customWidth="1"/>
    <col min="5" max="5" width="5.875" style="2505" customWidth="1"/>
    <col min="6" max="6" width="27" style="1571"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5"/>
  </cols>
  <sheetData>
    <row r="1" spans="1:29" s="2453" customFormat="1" ht="18.75" thickBot="1">
      <c r="A1" s="3562" t="s">
        <v>2284</v>
      </c>
      <c r="B1" s="3563"/>
      <c r="C1" s="3563"/>
      <c r="D1" s="3563"/>
      <c r="E1" s="3563"/>
      <c r="F1" s="3563"/>
      <c r="G1" s="356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2279</v>
      </c>
      <c r="D2" s="2457"/>
      <c r="E2" s="2454"/>
      <c r="F2" s="2458"/>
      <c r="G2" s="2456" t="s">
        <v>2280</v>
      </c>
      <c r="H2" s="799"/>
      <c r="I2" s="799"/>
      <c r="J2" s="799"/>
      <c r="K2" s="799"/>
      <c r="L2" s="799"/>
      <c r="M2" s="799"/>
      <c r="N2" s="799"/>
      <c r="O2" s="799"/>
      <c r="P2" s="799"/>
      <c r="Q2" s="799"/>
      <c r="R2" s="799"/>
    </row>
    <row r="3" spans="1:29" ht="48">
      <c r="A3" s="2437" t="s">
        <v>2281</v>
      </c>
      <c r="B3" s="2459" t="s">
        <v>2252</v>
      </c>
      <c r="C3" s="2460" t="s">
        <v>2282</v>
      </c>
      <c r="D3" s="2461"/>
      <c r="E3" s="2438" t="s">
        <v>2281</v>
      </c>
      <c r="F3" s="2462" t="s">
        <v>2253</v>
      </c>
      <c r="G3" s="2463" t="s">
        <v>2283</v>
      </c>
      <c r="H3" s="799"/>
      <c r="I3" s="799"/>
      <c r="J3" s="799"/>
      <c r="K3" s="799"/>
      <c r="L3" s="799"/>
      <c r="M3" s="799"/>
      <c r="N3" s="799"/>
      <c r="O3" s="799"/>
      <c r="P3" s="799"/>
      <c r="Q3" s="799"/>
      <c r="R3" s="799"/>
    </row>
    <row r="4" spans="1:29" ht="36.75">
      <c r="A4" s="2438"/>
      <c r="B4" s="323" t="s">
        <v>2254</v>
      </c>
      <c r="C4" s="2464" t="s">
        <v>2255</v>
      </c>
      <c r="D4" s="2461"/>
      <c r="E4" s="2465"/>
      <c r="F4" s="1372" t="s">
        <v>2256</v>
      </c>
      <c r="G4" s="2466" t="s">
        <v>2257</v>
      </c>
      <c r="H4" s="799"/>
      <c r="I4" s="799"/>
      <c r="J4" s="799"/>
      <c r="K4" s="799"/>
      <c r="L4" s="799"/>
      <c r="M4" s="799"/>
      <c r="N4" s="799"/>
      <c r="O4" s="799"/>
      <c r="P4" s="799"/>
      <c r="Q4" s="799"/>
      <c r="R4" s="799"/>
    </row>
    <row r="5" spans="1:29" ht="60">
      <c r="A5" s="2438"/>
      <c r="B5" s="323" t="s">
        <v>2258</v>
      </c>
      <c r="C5" s="3469" t="s">
        <v>3497</v>
      </c>
      <c r="D5" s="2461"/>
      <c r="E5" s="2465"/>
      <c r="F5" s="323" t="s">
        <v>2259</v>
      </c>
      <c r="G5" s="2466" t="s">
        <v>2260</v>
      </c>
      <c r="H5" s="799"/>
      <c r="I5" s="799"/>
      <c r="J5" s="799"/>
      <c r="K5" s="799"/>
      <c r="L5" s="799"/>
      <c r="M5" s="799"/>
      <c r="N5" s="799"/>
      <c r="O5" s="799"/>
      <c r="P5" s="799"/>
      <c r="Q5" s="799"/>
      <c r="R5" s="799"/>
    </row>
    <row r="6" spans="1:29" ht="72">
      <c r="A6" s="2438"/>
      <c r="B6" s="323" t="s">
        <v>2261</v>
      </c>
      <c r="C6" s="3470" t="s">
        <v>3502</v>
      </c>
      <c r="D6" s="2461"/>
      <c r="E6" s="2465"/>
      <c r="F6" s="323" t="s">
        <v>2262</v>
      </c>
      <c r="G6" s="2466" t="s">
        <v>2263</v>
      </c>
      <c r="H6" s="799"/>
      <c r="I6" s="799"/>
      <c r="J6" s="799"/>
      <c r="K6" s="799"/>
      <c r="L6" s="799"/>
      <c r="M6" s="799"/>
      <c r="N6" s="799"/>
      <c r="O6" s="799"/>
      <c r="P6" s="799"/>
      <c r="Q6" s="799"/>
      <c r="R6" s="799"/>
    </row>
    <row r="7" spans="1:29" ht="156.75" thickBot="1">
      <c r="A7" s="2438"/>
      <c r="B7" s="323" t="s">
        <v>2259</v>
      </c>
      <c r="C7" s="3470" t="s">
        <v>3498</v>
      </c>
      <c r="D7" s="2467"/>
      <c r="E7" s="2468"/>
      <c r="F7" s="2469" t="s">
        <v>2264</v>
      </c>
      <c r="G7" s="2470" t="s">
        <v>2265</v>
      </c>
      <c r="H7" s="799"/>
      <c r="I7" s="799"/>
      <c r="J7" s="799"/>
      <c r="K7" s="799"/>
      <c r="L7" s="799"/>
      <c r="M7" s="799"/>
      <c r="N7" s="799"/>
      <c r="O7" s="799"/>
      <c r="P7" s="799"/>
      <c r="Q7" s="799"/>
      <c r="R7" s="799"/>
    </row>
    <row r="8" spans="1:29" ht="24">
      <c r="A8" s="2438"/>
      <c r="B8" s="323" t="s">
        <v>2262</v>
      </c>
      <c r="C8" s="3470" t="s">
        <v>3499</v>
      </c>
      <c r="D8" s="2467"/>
      <c r="E8" s="2467"/>
      <c r="F8" s="2471"/>
      <c r="G8" s="2471"/>
      <c r="H8" s="799"/>
      <c r="I8" s="799"/>
      <c r="J8" s="799"/>
      <c r="K8" s="799"/>
      <c r="L8" s="799"/>
      <c r="M8" s="799"/>
      <c r="N8" s="799"/>
      <c r="O8" s="799"/>
      <c r="P8" s="799"/>
      <c r="Q8" s="799"/>
      <c r="R8" s="799"/>
    </row>
    <row r="9" spans="1:29" ht="48">
      <c r="A9" s="2438"/>
      <c r="B9" s="323" t="s">
        <v>2266</v>
      </c>
      <c r="C9" s="3469" t="s">
        <v>3501</v>
      </c>
      <c r="D9" s="2461"/>
      <c r="E9" s="2467"/>
      <c r="F9" s="2471"/>
      <c r="G9" s="2471"/>
      <c r="H9" s="799"/>
      <c r="I9" s="799"/>
      <c r="J9" s="799"/>
      <c r="K9" s="799"/>
      <c r="L9" s="799"/>
      <c r="M9" s="799"/>
      <c r="N9" s="799"/>
      <c r="O9" s="799"/>
      <c r="P9" s="799"/>
      <c r="Q9" s="799"/>
      <c r="R9" s="799"/>
    </row>
    <row r="10" spans="1:29" s="2476" customFormat="1" ht="15" thickBot="1">
      <c r="A10" s="2439"/>
      <c r="B10" s="2472" t="s">
        <v>2267</v>
      </c>
      <c r="C10" s="3471" t="s">
        <v>3500</v>
      </c>
      <c r="D10" s="2461"/>
      <c r="E10" s="2461"/>
      <c r="F10" s="2471"/>
      <c r="G10" s="2471"/>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7"/>
      <c r="C11" s="2461"/>
      <c r="D11" s="2461"/>
      <c r="E11" s="2461"/>
      <c r="F11" s="2467"/>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3" customFormat="1" ht="18">
      <c r="A12" s="2477"/>
      <c r="B12" s="2467"/>
      <c r="C12" s="2461"/>
      <c r="D12" s="2479"/>
      <c r="E12" s="2461"/>
      <c r="F12" s="2467"/>
      <c r="G12" s="2478"/>
      <c r="H12" s="2480"/>
      <c r="I12" s="2481"/>
      <c r="J12" s="2480"/>
      <c r="K12" s="2480"/>
      <c r="L12" s="2482"/>
      <c r="M12" s="2480"/>
      <c r="N12" s="2483"/>
      <c r="O12" s="2484"/>
      <c r="P12" s="2483"/>
      <c r="Q12" s="2483"/>
      <c r="R12" s="2451"/>
      <c r="S12" s="2452"/>
      <c r="T12" s="2452"/>
      <c r="U12" s="2452"/>
      <c r="V12" s="2452"/>
      <c r="W12" s="2452"/>
      <c r="X12" s="2452"/>
      <c r="Y12" s="2452"/>
      <c r="Z12" s="2452"/>
      <c r="AA12" s="2452"/>
      <c r="AB12" s="2452"/>
      <c r="AC12" s="2452"/>
    </row>
    <row r="13" spans="1:29" ht="15.75" thickBot="1">
      <c r="A13" s="2485" t="s">
        <v>2285</v>
      </c>
      <c r="B13" s="2479"/>
      <c r="C13" s="2479"/>
      <c r="D13" s="2477"/>
      <c r="E13" s="2479"/>
      <c r="F13" s="2479"/>
      <c r="G13" s="2479"/>
    </row>
    <row r="14" spans="1:29" ht="15" thickBot="1">
      <c r="A14" s="2489"/>
      <c r="B14" s="2489"/>
      <c r="C14" s="2490" t="s">
        <v>2268</v>
      </c>
      <c r="D14" s="2461"/>
      <c r="E14" s="2491"/>
      <c r="F14" s="2491"/>
      <c r="G14" s="2456" t="s">
        <v>2269</v>
      </c>
    </row>
    <row r="15" spans="1:29" ht="51">
      <c r="A15" s="2440" t="s">
        <v>2270</v>
      </c>
      <c r="B15" s="2492" t="s">
        <v>2252</v>
      </c>
      <c r="C15" s="2493" t="str">
        <f>C3</f>
        <v>估价对象周边居住用地比例、居住小区规模和社区发展完善程度，综合评价居住社区成熟度一般</v>
      </c>
      <c r="D15" s="2461"/>
      <c r="E15" s="2441" t="s">
        <v>2271</v>
      </c>
      <c r="F15" s="2492" t="s">
        <v>2272</v>
      </c>
      <c r="G15" s="2494" t="str">
        <f>G3</f>
        <v>估价对象位于XX开发区，园区建设成熟度XX，产业集聚程度XX</v>
      </c>
    </row>
    <row r="16" spans="1:29" ht="38.25">
      <c r="A16" s="2442"/>
      <c r="B16" s="2495" t="s">
        <v>2254</v>
      </c>
      <c r="C16" s="2496" t="str">
        <f>C4</f>
        <v>估价对象位于XX商圈，周边商业氛围成熟，人流量大，商业繁华度好</v>
      </c>
      <c r="D16" s="2461"/>
      <c r="E16" s="2443"/>
      <c r="F16" s="2497" t="s">
        <v>2256</v>
      </c>
      <c r="G16" s="2498" t="str">
        <f>G4</f>
        <v>估价对象周边道路状况、公共交通通达情况、停车便捷程度，综合评价交通便捷度较好</v>
      </c>
    </row>
    <row r="17" spans="1:18" ht="63.75">
      <c r="A17" s="2442"/>
      <c r="B17" s="2495" t="s">
        <v>2258</v>
      </c>
      <c r="C17" s="2496" t="str">
        <f>C5</f>
        <v>估价对象位于知春路商圈，周边办公楼项目有希格玛大厦、资金数码园、厦门大厦、卫星大厦、金仪科技大厦，入驻率高，办公集聚程度较好</v>
      </c>
      <c r="D17" s="2467"/>
      <c r="E17" s="2443"/>
      <c r="F17" s="2497" t="s">
        <v>2273</v>
      </c>
      <c r="G17" s="2499"/>
    </row>
    <row r="18" spans="1:18" ht="76.5">
      <c r="A18" s="2442"/>
      <c r="B18" s="2497" t="s">
        <v>2261</v>
      </c>
      <c r="C18" s="2498" t="str">
        <f>C6</f>
        <v>估价对象临近知春路，距离地铁10、13号线知春路站约100米，周边有专168路、311路、319路、630路等公交车通达，停车便捷程度较好，综合评价交通便捷度好</v>
      </c>
      <c r="D18" s="2467"/>
      <c r="E18" s="2443"/>
      <c r="F18" s="2497" t="s">
        <v>2264</v>
      </c>
      <c r="G18" s="2498" t="str">
        <f>G7</f>
        <v>该园区内是否有污染型企业，绿化情况，卫生条件，整体环境状况判断</v>
      </c>
    </row>
    <row r="19" spans="1:18" ht="25.5">
      <c r="A19" s="2442"/>
      <c r="B19" s="2497" t="s">
        <v>2274</v>
      </c>
      <c r="C19" s="2499"/>
      <c r="D19" s="2461"/>
      <c r="E19" s="2443"/>
      <c r="F19" s="323" t="s">
        <v>2259</v>
      </c>
      <c r="G19" s="2498" t="str">
        <f>G5</f>
        <v>估价对象所在区域公共配套设施齐备情况</v>
      </c>
    </row>
    <row r="20" spans="1:18" ht="51">
      <c r="A20" s="2442"/>
      <c r="B20" s="2497" t="s">
        <v>2275</v>
      </c>
      <c r="C20" s="2496" t="str">
        <f>C9</f>
        <v>区域自然环境：知春公园、双榆树公园；人文环境；首体足球场、大运村网球场；
综合评价环境状况较好</v>
      </c>
      <c r="D20" s="2467"/>
      <c r="E20" s="2443"/>
      <c r="F20" s="323" t="s">
        <v>2262</v>
      </c>
      <c r="G20" s="2498" t="str">
        <f>G6</f>
        <v>估价对象所在区域基础设施水平</v>
      </c>
    </row>
    <row r="21" spans="1:18" ht="165.75">
      <c r="A21" s="2442"/>
      <c r="B21" s="323" t="s">
        <v>2259</v>
      </c>
      <c r="C21" s="2498" t="str">
        <f>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1" s="2461"/>
      <c r="E21" s="2443"/>
      <c r="F21" s="2497" t="s">
        <v>2276</v>
      </c>
      <c r="G21" s="2500"/>
    </row>
    <row r="22" spans="1:18" ht="13.5" customHeight="1">
      <c r="A22" s="2442"/>
      <c r="B22" s="323" t="s">
        <v>2262</v>
      </c>
      <c r="C22" s="2498" t="str">
        <f>C8</f>
        <v>估价对象所在区域基础设施水平-七通</v>
      </c>
      <c r="D22" s="2461"/>
      <c r="E22" s="2443"/>
      <c r="F22" s="2497" t="s">
        <v>2267</v>
      </c>
      <c r="G22" s="2499"/>
    </row>
    <row r="23" spans="1:18" s="799" customFormat="1" ht="15" thickBot="1">
      <c r="A23" s="2442"/>
      <c r="B23" s="2497" t="s">
        <v>2276</v>
      </c>
      <c r="C23" s="2500"/>
      <c r="D23" s="1740"/>
      <c r="E23" s="2444"/>
      <c r="F23" s="2501" t="s">
        <v>2277</v>
      </c>
      <c r="G23" s="2502"/>
      <c r="H23" s="2486"/>
      <c r="I23" s="2487"/>
      <c r="J23" s="2486"/>
      <c r="K23" s="2486"/>
      <c r="L23" s="2487"/>
      <c r="M23" s="2486"/>
      <c r="N23" s="2486"/>
      <c r="O23" s="2487"/>
      <c r="P23" s="2486"/>
      <c r="Q23" s="2486"/>
      <c r="R23" s="2488"/>
    </row>
    <row r="24" spans="1:18" s="799" customFormat="1" ht="15" thickBot="1">
      <c r="A24" s="2445"/>
      <c r="B24" s="2501" t="s">
        <v>2278</v>
      </c>
      <c r="C24" s="2503" t="str">
        <f>C10</f>
        <v>城市主干道-知春路</v>
      </c>
      <c r="D24" s="1740"/>
      <c r="E24" s="2435"/>
      <c r="F24" s="2435"/>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F4" sqref="F4"/>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459.68</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44845</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1982.2781</v>
      </c>
      <c r="C5" s="2507" t="e">
        <f ca="1">IF(B5=D14,结果表!H102,ROUND(B5*10000/$B$1,0))</f>
        <v>#DIV/0!</v>
      </c>
      <c r="D5" s="2507" t="e">
        <f ca="1">ROUND(B5*10000/$B$2,0)</f>
        <v>#DIV/0!</v>
      </c>
      <c r="E5" s="2681"/>
      <c r="F5" s="2682"/>
      <c r="G5" s="2682"/>
      <c r="H5" s="2683"/>
      <c r="I5" s="2683"/>
      <c r="J5" s="2683"/>
      <c r="K5" s="2683"/>
    </row>
    <row r="6" spans="1:11" ht="16.5">
      <c r="A6" s="2507" t="s">
        <v>656</v>
      </c>
      <c r="B6" s="2507">
        <f>SUM(G14:G23)</f>
        <v>0</v>
      </c>
      <c r="C6" s="2507">
        <f ca="1">IF(B6=G14,结果表!H108,ROUND(B6*10000/$B$1,0))</f>
        <v>0</v>
      </c>
      <c r="D6" s="2507" t="e">
        <f>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3361</v>
      </c>
      <c r="D10" s="2507" t="s">
        <v>3362</v>
      </c>
      <c r="E10" s="3436"/>
      <c r="F10" s="3440" t="s">
        <v>3363</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'数据-汇总表'!F19</f>
        <v>459.68</v>
      </c>
      <c r="C14" s="2513"/>
      <c r="D14" s="2513">
        <f ca="1">ROUND(E14*B14/10000,4)</f>
        <v>1982.2781</v>
      </c>
      <c r="E14" s="2513">
        <f ca="1">结果表!G20</f>
        <v>43123</v>
      </c>
      <c r="F14" s="2513" t="e">
        <f ca="1">ROUND(D14*10000/C14,0)</f>
        <v>#DIV/0!</v>
      </c>
      <c r="G14" s="2513"/>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30"/>
      <c r="H15" s="1330"/>
      <c r="I15" s="2514"/>
      <c r="J15" s="2682"/>
      <c r="K15" s="2683"/>
    </row>
    <row r="16" spans="1:11" ht="16.5">
      <c r="A16" s="2512" t="s">
        <v>648</v>
      </c>
      <c r="B16" s="2514"/>
      <c r="C16" s="2514"/>
      <c r="D16" s="2514"/>
      <c r="E16" s="2513" t="e">
        <f t="shared" si="0"/>
        <v>#DIV/0!</v>
      </c>
      <c r="F16" s="2513" t="e">
        <f t="shared" si="1"/>
        <v>#DIV/0!</v>
      </c>
      <c r="G16" s="1330"/>
      <c r="H16" s="1330"/>
      <c r="I16" s="2514"/>
      <c r="J16" s="2683"/>
      <c r="K16" s="2683"/>
    </row>
    <row r="17" spans="1:11" ht="16.5">
      <c r="A17" s="2512" t="s">
        <v>647</v>
      </c>
      <c r="B17" s="2514"/>
      <c r="C17" s="2514"/>
      <c r="D17" s="2514"/>
      <c r="E17" s="2513" t="e">
        <f t="shared" si="0"/>
        <v>#DIV/0!</v>
      </c>
      <c r="F17" s="2513" t="e">
        <f t="shared" si="1"/>
        <v>#DIV/0!</v>
      </c>
      <c r="G17" s="1330"/>
      <c r="H17" s="1330"/>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D22" sqref="D22"/>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31" t="str">
        <f>项目基本情况!S2</f>
        <v>北京市房地产</v>
      </c>
      <c r="B2" s="3632"/>
      <c r="C2" s="3632"/>
      <c r="D2" s="3632"/>
      <c r="E2" s="3632"/>
      <c r="F2" s="3632"/>
      <c r="G2" s="3632"/>
      <c r="H2" s="3632"/>
      <c r="I2" s="3633"/>
    </row>
    <row r="3" spans="1:12" ht="12.75">
      <c r="A3" s="3635" t="s">
        <v>1264</v>
      </c>
      <c r="B3" s="3636"/>
      <c r="C3" s="3636"/>
      <c r="D3" s="3636"/>
      <c r="E3" s="3636"/>
      <c r="F3" s="3636"/>
      <c r="G3" s="3636"/>
      <c r="H3" s="3636"/>
      <c r="I3" s="3636"/>
    </row>
    <row r="4" spans="1:12" ht="14.25">
      <c r="A4" s="1753" t="s">
        <v>1265</v>
      </c>
      <c r="B4" s="1754" t="s">
        <v>1266</v>
      </c>
      <c r="C4" s="1755" t="s">
        <v>3432</v>
      </c>
      <c r="D4" s="1755" t="s">
        <v>3414</v>
      </c>
      <c r="E4" s="3640" t="s">
        <v>1267</v>
      </c>
      <c r="F4" s="3641"/>
      <c r="G4" s="3641"/>
      <c r="H4" s="3641"/>
      <c r="I4" s="364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9" t="s">
        <v>1268</v>
      </c>
      <c r="B5" s="3634">
        <v>25</v>
      </c>
      <c r="C5" s="3637"/>
      <c r="D5" s="3625"/>
      <c r="E5" s="131" t="s">
        <v>1269</v>
      </c>
      <c r="F5" s="1756"/>
      <c r="G5" s="1756"/>
      <c r="H5" s="1756"/>
      <c r="I5" s="1372"/>
    </row>
    <row r="6" spans="1:12" ht="12.75">
      <c r="A6" s="3579"/>
      <c r="B6" s="3634"/>
      <c r="C6" s="3639"/>
      <c r="D6" s="3625"/>
      <c r="E6" s="131" t="s">
        <v>1270</v>
      </c>
      <c r="F6" s="1756"/>
      <c r="G6" s="1756"/>
      <c r="H6" s="1756"/>
      <c r="I6" s="1372"/>
    </row>
    <row r="7" spans="1:12" ht="12.75">
      <c r="A7" s="3579"/>
      <c r="B7" s="3634"/>
      <c r="C7" s="3638"/>
      <c r="D7" s="3625"/>
      <c r="E7" s="131" t="s">
        <v>1271</v>
      </c>
      <c r="F7" s="1756"/>
      <c r="G7" s="1756"/>
      <c r="H7" s="1756"/>
      <c r="I7" s="1372"/>
    </row>
    <row r="8" spans="1:12" ht="12.75">
      <c r="A8" s="3579" t="s">
        <v>1272</v>
      </c>
      <c r="B8" s="3634">
        <v>15</v>
      </c>
      <c r="C8" s="3637"/>
      <c r="D8" s="3625"/>
      <c r="E8" s="131" t="s">
        <v>1273</v>
      </c>
      <c r="F8" s="1756"/>
      <c r="G8" s="1756"/>
      <c r="H8" s="1756"/>
      <c r="I8" s="1372"/>
    </row>
    <row r="9" spans="1:12" ht="12.75">
      <c r="A9" s="3579"/>
      <c r="B9" s="3634"/>
      <c r="C9" s="3638"/>
      <c r="D9" s="3625"/>
      <c r="E9" s="131" t="s">
        <v>1274</v>
      </c>
      <c r="F9" s="1756"/>
      <c r="G9" s="1756"/>
      <c r="H9" s="1756"/>
      <c r="I9" s="1372"/>
    </row>
    <row r="10" spans="1:12" ht="12.75">
      <c r="A10" s="3579" t="s">
        <v>1275</v>
      </c>
      <c r="B10" s="3634">
        <v>15</v>
      </c>
      <c r="C10" s="3637"/>
      <c r="D10" s="3625"/>
      <c r="E10" s="131" t="s">
        <v>1276</v>
      </c>
      <c r="F10" s="1756"/>
      <c r="G10" s="1756"/>
      <c r="H10" s="1756"/>
      <c r="I10" s="1372"/>
    </row>
    <row r="11" spans="1:12" ht="12.75">
      <c r="A11" s="3579"/>
      <c r="B11" s="3634"/>
      <c r="C11" s="3638"/>
      <c r="D11" s="3625"/>
      <c r="E11" s="131" t="s">
        <v>1277</v>
      </c>
      <c r="F11" s="1756"/>
      <c r="G11" s="1756"/>
      <c r="H11" s="1756"/>
      <c r="I11" s="1372"/>
    </row>
    <row r="12" spans="1:12" ht="12.75">
      <c r="A12" s="3579" t="s">
        <v>1278</v>
      </c>
      <c r="B12" s="3634">
        <v>15</v>
      </c>
      <c r="C12" s="3637"/>
      <c r="D12" s="3625"/>
      <c r="E12" s="131" t="s">
        <v>1279</v>
      </c>
      <c r="F12" s="1756"/>
      <c r="G12" s="1756"/>
      <c r="H12" s="1756"/>
      <c r="I12" s="1372"/>
    </row>
    <row r="13" spans="1:12" ht="12.75">
      <c r="A13" s="3579"/>
      <c r="B13" s="3634"/>
      <c r="C13" s="3638"/>
      <c r="D13" s="3625"/>
      <c r="E13" s="131" t="s">
        <v>1280</v>
      </c>
      <c r="F13" s="1756"/>
      <c r="G13" s="1756"/>
      <c r="H13" s="1756"/>
      <c r="I13" s="1372"/>
    </row>
    <row r="14" spans="1:12" ht="12.75">
      <c r="A14" s="3579" t="s">
        <v>1281</v>
      </c>
      <c r="B14" s="3634">
        <v>30</v>
      </c>
      <c r="C14" s="3637">
        <v>6</v>
      </c>
      <c r="D14" s="3625">
        <f>10-C14</f>
        <v>4</v>
      </c>
      <c r="E14" s="131" t="s">
        <v>1282</v>
      </c>
      <c r="F14" s="1756"/>
      <c r="G14" s="1756"/>
      <c r="H14" s="1756"/>
      <c r="I14" s="1372"/>
    </row>
    <row r="15" spans="1:12" ht="12.75">
      <c r="A15" s="3579"/>
      <c r="B15" s="3634"/>
      <c r="C15" s="3639"/>
      <c r="D15" s="3625"/>
      <c r="E15" s="131" t="s">
        <v>1283</v>
      </c>
      <c r="F15" s="1756"/>
      <c r="G15" s="1756"/>
      <c r="H15" s="1756"/>
      <c r="I15" s="1372"/>
    </row>
    <row r="16" spans="1:12" ht="12.75">
      <c r="A16" s="3579"/>
      <c r="B16" s="3634"/>
      <c r="C16" s="3638"/>
      <c r="D16" s="3625"/>
      <c r="E16" s="131" t="s">
        <v>1284</v>
      </c>
      <c r="F16" s="1756"/>
      <c r="G16" s="1756"/>
      <c r="H16" s="1756"/>
      <c r="I16" s="1372"/>
    </row>
    <row r="17" spans="1:36" ht="15">
      <c r="A17" s="1757" t="s">
        <v>1285</v>
      </c>
      <c r="B17" s="56"/>
      <c r="C17" s="132">
        <f>SUM(C5:C16)</f>
        <v>6</v>
      </c>
      <c r="D17" s="132">
        <f>SUM(D5:D16)</f>
        <v>4</v>
      </c>
      <c r="E17" s="129"/>
      <c r="F17" s="129"/>
      <c r="G17" s="129"/>
      <c r="H17" s="129"/>
      <c r="I17" s="129">
        <v>7</v>
      </c>
      <c r="K17" s="302"/>
      <c r="L17" s="302" t="s">
        <v>1286</v>
      </c>
      <c r="M17" s="302" t="s">
        <v>1287</v>
      </c>
    </row>
    <row r="18" spans="1:36" ht="31.9" customHeight="1" thickBot="1">
      <c r="A18" s="1758" t="s">
        <v>1288</v>
      </c>
      <c r="B18" s="1759"/>
      <c r="C18" s="133">
        <f>ROUND(C17/SUM(C17:D17),2)</f>
        <v>0.6</v>
      </c>
      <c r="D18" s="133">
        <f>1-C18</f>
        <v>0.4</v>
      </c>
      <c r="E18" s="3656" t="s">
        <v>2131</v>
      </c>
      <c r="F18" s="3657"/>
      <c r="G18" s="3657"/>
      <c r="H18" s="3657"/>
      <c r="I18" s="3657"/>
      <c r="K18" s="302" t="s">
        <v>1289</v>
      </c>
      <c r="L18" s="302">
        <f>IF(C1="",'数据-汇总表'!E3,SUMIF(项目类型,C1,'数据-汇总表'!E17:E26)+SUMIF(项目类型,C1,'数据-汇总表'!I17:I26))</f>
        <v>459.68</v>
      </c>
      <c r="M18" s="302">
        <f>IF(C1="",'数据-汇总表'!E3,SUMIF(项目类型,C1,'数据-汇总表'!E17:E26))</f>
        <v>459.68</v>
      </c>
    </row>
    <row r="19" spans="1:36" ht="15">
      <c r="A19" s="1760" t="s">
        <v>1290</v>
      </c>
      <c r="B19" s="1761" t="s">
        <v>1291</v>
      </c>
      <c r="C19" s="134">
        <f ca="1">SUMIF(INDIRECT("'"&amp;C4&amp;"'"&amp;"!A:A"),结果表!B19,INDIRECT("'"&amp;C4&amp;"'"&amp;"!B:B"))</f>
        <v>2154.1523999999999</v>
      </c>
      <c r="D19" s="135">
        <f ca="1">SUMIF(INDIRECT("'"&amp;D4&amp;"'"&amp;"!A:A"),结果表!B19,INDIRECT("'"&amp;D4&amp;"'"&amp;"!B:B"))</f>
        <v>1724.4317000000001</v>
      </c>
      <c r="E19" s="1760" t="s">
        <v>1292</v>
      </c>
      <c r="F19" s="1761" t="s">
        <v>1291</v>
      </c>
      <c r="G19" s="136">
        <f ca="1">ROUND(C19*$C$18+D19*$D$18,0)</f>
        <v>1982</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46862</v>
      </c>
      <c r="D20" s="138">
        <f ca="1">SUMIF(INDIRECT("'"&amp;D4&amp;"'"&amp;"!A:A"),结果表!B20,INDIRECT("'"&amp;D4&amp;"'"&amp;"!B:B"))</f>
        <v>37514</v>
      </c>
      <c r="E20" s="1763"/>
      <c r="F20" s="1026" t="s">
        <v>1295</v>
      </c>
      <c r="G20" s="139">
        <f ca="1">ROUND(C20*$C$18+D20*$D$18,0)</f>
        <v>43123</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0.24919554656760234</v>
      </c>
      <c r="E22" s="129"/>
      <c r="F22" s="129"/>
      <c r="G22" s="129"/>
      <c r="H22" s="129"/>
      <c r="I22" s="129"/>
    </row>
    <row r="23" spans="1:36" ht="13.5" thickBot="1">
      <c r="A23" s="1746"/>
      <c r="B23" s="1746"/>
      <c r="C23" s="1746"/>
      <c r="D23" s="1746"/>
      <c r="E23" s="129"/>
      <c r="F23" s="129"/>
      <c r="G23" s="129"/>
      <c r="H23" s="129"/>
      <c r="I23" s="129"/>
    </row>
    <row r="24" spans="1:36" ht="14.25">
      <c r="A24" s="3649" t="s">
        <v>1299</v>
      </c>
      <c r="B24" s="1761" t="s">
        <v>1291</v>
      </c>
      <c r="C24" s="136">
        <f>IF(B30=0,0,D30)</f>
        <v>0</v>
      </c>
      <c r="D24" s="1768"/>
      <c r="E24" s="129"/>
      <c r="F24" s="129"/>
      <c r="G24" s="129"/>
      <c r="H24" s="129"/>
      <c r="I24" s="129"/>
    </row>
    <row r="25" spans="1:36" ht="14.25">
      <c r="A25" s="3650"/>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4"/>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2" t="s">
        <v>1305</v>
      </c>
      <c r="B32" s="1773"/>
      <c r="C32" s="144">
        <f ca="1">IF(D32="总价",G19-C24,G20-C25)</f>
        <v>43123</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26" t="s">
        <v>1312</v>
      </c>
      <c r="B36" s="1786" t="s">
        <v>1313</v>
      </c>
      <c r="C36" s="145"/>
      <c r="D36" s="1787"/>
      <c r="E36" s="1788"/>
      <c r="F36" s="1789"/>
      <c r="G36" s="129"/>
      <c r="H36" s="129"/>
      <c r="I36" s="129"/>
    </row>
    <row r="37" spans="1:15" ht="15.75" thickBot="1">
      <c r="A37" s="3627"/>
      <c r="B37" s="1673" t="s">
        <v>1314</v>
      </c>
      <c r="C37" s="147"/>
      <c r="D37" s="1139"/>
      <c r="E37" s="1139"/>
      <c r="F37" s="1789"/>
      <c r="G37" s="129"/>
      <c r="H37" s="129"/>
      <c r="I37" s="129"/>
    </row>
    <row r="38" spans="1:15" ht="15.75" thickBot="1">
      <c r="A38" s="3628"/>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46" t="s">
        <v>1326</v>
      </c>
      <c r="B45" s="3647"/>
      <c r="C45" s="3648"/>
      <c r="D45" s="155" t="e">
        <f ca="1">ROUND(H101*F45,0)</f>
        <v>#REF!</v>
      </c>
      <c r="E45" s="156" t="s">
        <v>1327</v>
      </c>
      <c r="F45" s="157">
        <v>1</v>
      </c>
      <c r="G45" s="158" t="s">
        <v>1328</v>
      </c>
      <c r="H45" s="129"/>
      <c r="I45" s="129"/>
      <c r="J45" s="3566" t="s">
        <v>1329</v>
      </c>
      <c r="K45" s="3566"/>
      <c r="L45" s="3566"/>
      <c r="M45" s="3566"/>
      <c r="N45" s="3566"/>
      <c r="O45" s="3566"/>
    </row>
    <row r="46" spans="1:15" ht="14.25" customHeight="1">
      <c r="A46" s="3643" t="s">
        <v>1330</v>
      </c>
      <c r="B46" s="3644"/>
      <c r="C46" s="3644"/>
      <c r="D46" s="3644"/>
      <c r="E46" s="3644"/>
      <c r="F46" s="3644"/>
      <c r="G46" s="3645"/>
      <c r="H46" s="1805"/>
      <c r="I46" s="159"/>
      <c r="J46" s="2518">
        <v>1</v>
      </c>
      <c r="K46" s="3567" t="s">
        <v>1331</v>
      </c>
      <c r="L46" s="3567"/>
      <c r="M46" s="3568"/>
      <c r="N46" s="3568"/>
      <c r="O46" s="3568"/>
    </row>
    <row r="47" spans="1:15" ht="12" customHeight="1">
      <c r="A47" s="160" t="s">
        <v>1332</v>
      </c>
      <c r="B47" s="161"/>
      <c r="C47" s="162"/>
      <c r="D47" s="1087" t="s">
        <v>1333</v>
      </c>
      <c r="E47" s="302" t="s">
        <v>1334</v>
      </c>
      <c r="F47" s="163" t="s">
        <v>1335</v>
      </c>
      <c r="G47" s="2541" t="s">
        <v>1336</v>
      </c>
      <c r="H47" s="2542"/>
      <c r="I47" s="159"/>
      <c r="J47" s="2518">
        <v>2</v>
      </c>
      <c r="K47" s="3567" t="s">
        <v>1337</v>
      </c>
      <c r="L47" s="3567"/>
      <c r="M47" s="3569">
        <f>'数据-取费表'!B2</f>
        <v>44845</v>
      </c>
      <c r="N47" s="3569"/>
      <c r="O47" s="3569"/>
    </row>
    <row r="48" spans="1:15" ht="25.5">
      <c r="A48" s="3629" t="s">
        <v>1338</v>
      </c>
      <c r="B48" s="3630"/>
      <c r="C48" s="3630"/>
      <c r="D48" s="2320" t="b">
        <f>IF(H48="情况1",0,IF(H48="情况2",D52,IF(H48="情况3",D53,IF(H48="情况4",D54))))</f>
        <v>0</v>
      </c>
      <c r="E48" s="2330" t="str">
        <f>IF(H48="情况4","(销售额-原购置价)×税（费）率","销售额×税（费）率")</f>
        <v>销售额×税（费）率</v>
      </c>
      <c r="F48" s="2543">
        <f>IF(H48="情况1","免征",'数据-取费表'!B41)</f>
        <v>5.6000000000000001E-2</v>
      </c>
      <c r="G48" s="2544" t="s">
        <v>1339</v>
      </c>
      <c r="H48" s="2545"/>
      <c r="I48" s="1805"/>
      <c r="J48" s="2518">
        <v>3</v>
      </c>
      <c r="K48" s="3567" t="s">
        <v>1340</v>
      </c>
      <c r="L48" s="3567"/>
      <c r="M48" s="3570" t="e">
        <f ca="1">H101</f>
        <v>#REF!</v>
      </c>
      <c r="N48" s="3570"/>
      <c r="O48" s="3570"/>
    </row>
    <row r="49" spans="1:35" ht="25.5" customHeight="1">
      <c r="A49" s="2329" t="s">
        <v>1341</v>
      </c>
      <c r="B49" s="3615" t="s">
        <v>1342</v>
      </c>
      <c r="C49" s="3615"/>
      <c r="D49" s="1589">
        <v>0</v>
      </c>
      <c r="E49" s="324" t="s">
        <v>1343</v>
      </c>
      <c r="F49" s="2420" t="s">
        <v>28</v>
      </c>
      <c r="G49" s="3598"/>
      <c r="H49" s="2306" t="s">
        <v>2134</v>
      </c>
      <c r="I49" s="2307"/>
      <c r="J49" s="2518">
        <v>4</v>
      </c>
      <c r="K49" s="3567" t="str">
        <f>IF(项目基本情况!E8="房地产抵押价值","房地产抵押价值","抵押担保权已注销时的房地产抵押价值")</f>
        <v>抵押担保权已注销时的房地产抵押价值</v>
      </c>
      <c r="L49" s="3567"/>
      <c r="M49" s="3570" t="str">
        <f>IF(项目基本情况!E8="房地产抵押价值",H107,H109)</f>
        <v>——</v>
      </c>
      <c r="N49" s="3570"/>
      <c r="O49" s="3570"/>
    </row>
    <row r="50" spans="1:35" ht="25.5" customHeight="1">
      <c r="A50" s="2546"/>
      <c r="B50" s="3615" t="s">
        <v>1344</v>
      </c>
      <c r="C50" s="3615"/>
      <c r="D50" s="2547"/>
      <c r="E50" s="332"/>
      <c r="F50" s="2420"/>
      <c r="G50" s="3599"/>
      <c r="H50" s="2308" t="s">
        <v>2135</v>
      </c>
      <c r="I50" s="2307"/>
      <c r="J50" s="3566" t="s">
        <v>1345</v>
      </c>
      <c r="K50" s="3566"/>
      <c r="L50" s="3566"/>
      <c r="M50" s="3566"/>
      <c r="N50" s="3566"/>
      <c r="O50" s="3566"/>
    </row>
    <row r="51" spans="1:35" ht="20.45" customHeight="1">
      <c r="A51" s="2548"/>
      <c r="B51" s="3615" t="s">
        <v>1346</v>
      </c>
      <c r="C51" s="3615"/>
      <c r="D51" s="1087"/>
      <c r="E51" s="327"/>
      <c r="F51" s="2420"/>
      <c r="G51" s="3600"/>
      <c r="H51" s="2308" t="s">
        <v>2136</v>
      </c>
      <c r="I51" s="2307"/>
      <c r="J51" s="2519" t="s">
        <v>1347</v>
      </c>
      <c r="K51" s="3567" t="s">
        <v>1348</v>
      </c>
      <c r="L51" s="3567"/>
      <c r="M51" s="2519" t="s">
        <v>1349</v>
      </c>
      <c r="N51" s="2519" t="s">
        <v>1350</v>
      </c>
      <c r="O51" s="2519" t="s">
        <v>1351</v>
      </c>
    </row>
    <row r="52" spans="1:35" ht="24" customHeight="1">
      <c r="A52" s="2331" t="s">
        <v>1352</v>
      </c>
      <c r="B52" s="3615" t="s">
        <v>1353</v>
      </c>
      <c r="C52" s="3615"/>
      <c r="D52" s="1087" t="e">
        <f ca="1">ROUND(D45*'数据-取费表'!B41/(1+'数据-取费表'!C42),0)</f>
        <v>#REF!</v>
      </c>
      <c r="E52" s="2330" t="s">
        <v>1354</v>
      </c>
      <c r="F52" s="2549">
        <f>'数据-取费表'!B41</f>
        <v>5.6000000000000001E-2</v>
      </c>
      <c r="G52" s="2550"/>
      <c r="H52" s="2539"/>
      <c r="I52" s="1806"/>
      <c r="J52" s="2518">
        <v>1</v>
      </c>
      <c r="K52" s="3592" t="s">
        <v>1355</v>
      </c>
      <c r="L52" s="3592"/>
      <c r="M52" s="2520" t="b">
        <f>D48</f>
        <v>0</v>
      </c>
      <c r="N52" s="2518" t="str">
        <f>E48</f>
        <v>销售额×税（费）率</v>
      </c>
      <c r="O52" s="2521">
        <f>F48</f>
        <v>5.6000000000000001E-2</v>
      </c>
    </row>
    <row r="53" spans="1:35" ht="12" customHeight="1">
      <c r="A53" s="2331" t="s">
        <v>1356</v>
      </c>
      <c r="B53" s="3616" t="s">
        <v>2289</v>
      </c>
      <c r="C53" s="3617"/>
      <c r="D53" s="1087" t="e">
        <f ca="1">ROUND(D45*'数据-取费表'!B41/(1+'数据-取费表'!C42),0)</f>
        <v>#REF!</v>
      </c>
      <c r="E53" s="2330" t="s">
        <v>1354</v>
      </c>
      <c r="F53" s="2549">
        <f>'数据-取费表'!B41</f>
        <v>5.6000000000000001E-2</v>
      </c>
      <c r="G53" s="2550"/>
      <c r="H53" s="2539"/>
      <c r="I53" s="1806"/>
      <c r="J53" s="2518">
        <v>2</v>
      </c>
      <c r="K53" s="3592" t="s">
        <v>1357</v>
      </c>
      <c r="L53" s="3592"/>
      <c r="M53" s="2520" t="e">
        <f t="shared" ref="M53:O54" ca="1" si="0">D55</f>
        <v>#REF!</v>
      </c>
      <c r="N53" s="2518" t="str">
        <f t="shared" si="0"/>
        <v>销售额×税（费）率</v>
      </c>
      <c r="O53" s="2521" t="str">
        <f t="shared" si="0"/>
        <v>免征</v>
      </c>
    </row>
    <row r="54" spans="1:35" ht="12" customHeight="1">
      <c r="A54" s="2331" t="s">
        <v>1358</v>
      </c>
      <c r="B54" s="3616" t="s">
        <v>2290</v>
      </c>
      <c r="C54" s="3617"/>
      <c r="D54" s="1087" t="e">
        <f ca="1">C68</f>
        <v>#REF!</v>
      </c>
      <c r="E54" s="327" t="s">
        <v>1359</v>
      </c>
      <c r="F54" s="2549">
        <f>'数据-取费表'!B41</f>
        <v>5.6000000000000001E-2</v>
      </c>
      <c r="G54" s="2550"/>
      <c r="H54" s="2551"/>
      <c r="I54" s="1806"/>
      <c r="J54" s="2518">
        <v>3</v>
      </c>
      <c r="K54" s="3592" t="s">
        <v>1360</v>
      </c>
      <c r="L54" s="3592"/>
      <c r="M54" s="2520" t="e">
        <f t="shared" ca="1" si="0"/>
        <v>#REF!</v>
      </c>
      <c r="N54" s="2518" t="str">
        <f t="shared" si="0"/>
        <v>增值额×税（费）率</v>
      </c>
      <c r="O54" s="2522" t="str">
        <f t="shared" si="0"/>
        <v>免征</v>
      </c>
    </row>
    <row r="55" spans="1:35" ht="24" customHeight="1">
      <c r="A55" s="3652" t="s">
        <v>1361</v>
      </c>
      <c r="B55" s="3630"/>
      <c r="C55" s="3630"/>
      <c r="D55" s="2320" t="e">
        <f ca="1">IF(H55="个人住宅",0,ROUND(D45*I55,0))</f>
        <v>#REF!</v>
      </c>
      <c r="E55" s="2330" t="s">
        <v>1362</v>
      </c>
      <c r="F55" s="2549" t="str">
        <f>IF(H55="正常",I55,"免征")</f>
        <v>免征</v>
      </c>
      <c r="G55" s="2550"/>
      <c r="H55" s="2545"/>
      <c r="I55" s="165">
        <f>'数据-取费表'!B49</f>
        <v>5.0000000000000001E-4</v>
      </c>
      <c r="J55" s="2518">
        <f>IF(H59="非个人房产","",4)</f>
        <v>4</v>
      </c>
      <c r="K55" s="3592" t="str">
        <f>IF(H59="非个人房产","——","个人所得税")</f>
        <v>个人所得税</v>
      </c>
      <c r="L55" s="3592"/>
      <c r="M55" s="2523" t="e">
        <f ca="1">D59</f>
        <v>#REF!</v>
      </c>
      <c r="N55" s="2036" t="str">
        <f>E59</f>
        <v>差额计税</v>
      </c>
      <c r="O55" s="2524">
        <f>F59</f>
        <v>0.01</v>
      </c>
    </row>
    <row r="56" spans="1:35" ht="24.75">
      <c r="A56" s="3652" t="s">
        <v>1363</v>
      </c>
      <c r="B56" s="3630"/>
      <c r="C56" s="3630"/>
      <c r="D56" s="2320" t="e">
        <f ca="1">IF(H56="个人住宅",D57,D58)</f>
        <v>#REF!</v>
      </c>
      <c r="E56" s="2330" t="s">
        <v>1364</v>
      </c>
      <c r="F56" s="2549" t="str">
        <f>IF(H56="正常",F58,"免征")</f>
        <v>免征</v>
      </c>
      <c r="G56" s="2552" t="s">
        <v>1365</v>
      </c>
      <c r="H56" s="2553"/>
      <c r="I56" s="1807"/>
      <c r="J56" s="2518" t="str">
        <f>IF(项目基本情况!K6="上海银行",IF(J55="",4,J55+1),"")</f>
        <v/>
      </c>
      <c r="K56" s="3573" t="str">
        <f>IF(项目基本情况!K6="上海银行","其他处置费用","")</f>
        <v/>
      </c>
      <c r="L56" s="3574"/>
      <c r="M56" s="2520" t="str">
        <f>IF(项目基本情况!K6="上海银行",M69,"")</f>
        <v/>
      </c>
      <c r="N56" s="3573" t="str">
        <f>IF(项目基本情况!K6="上海银行","包含处置中涉及的律师、诉讼、拍卖、评估等费用","")</f>
        <v/>
      </c>
      <c r="O56" s="3576"/>
    </row>
    <row r="57" spans="1:35" ht="12.75">
      <c r="A57" s="2331" t="s">
        <v>1341</v>
      </c>
      <c r="B57" s="3616" t="s">
        <v>1366</v>
      </c>
      <c r="C57" s="3617"/>
      <c r="D57" s="1589">
        <v>0</v>
      </c>
      <c r="E57" s="324" t="s">
        <v>1343</v>
      </c>
      <c r="F57" s="302"/>
      <c r="G57" s="2550"/>
      <c r="H57" s="2554"/>
      <c r="I57" s="1807"/>
      <c r="J57" s="3592">
        <f>IF(AND(J55="",J56=""),4,IF(项目基本情况!K6="上海银行",结果表!J56+1,结果表!J55+1))</f>
        <v>5</v>
      </c>
      <c r="K57" s="3592" t="s">
        <v>1367</v>
      </c>
      <c r="L57" s="2525" t="s">
        <v>1368</v>
      </c>
      <c r="M57" s="2526"/>
      <c r="N57" s="2527">
        <f ca="1">SUMIF(M52:M56,"&lt;9e307")</f>
        <v>0</v>
      </c>
      <c r="O57" s="2528"/>
      <c r="P57" s="2685" t="e">
        <f ca="1">N57/M49</f>
        <v>#VALUE!</v>
      </c>
    </row>
    <row r="58" spans="1:35" ht="24.75">
      <c r="A58" s="2331" t="s">
        <v>1352</v>
      </c>
      <c r="B58" s="3616" t="s">
        <v>1369</v>
      </c>
      <c r="C58" s="3615"/>
      <c r="D58" s="2320" t="e">
        <f ca="1">IF(H58="转让取得",C81,C97)</f>
        <v>#REF!</v>
      </c>
      <c r="E58" s="2330" t="s">
        <v>1364</v>
      </c>
      <c r="F58" s="302" t="s">
        <v>28</v>
      </c>
      <c r="G58" s="2550"/>
      <c r="H58" s="2553"/>
      <c r="I58" s="1807"/>
      <c r="J58" s="3592"/>
      <c r="K58" s="3592"/>
      <c r="L58" s="2525" t="s">
        <v>1370</v>
      </c>
      <c r="M58" s="2529"/>
      <c r="N58" s="2530" t="str">
        <f ca="1">NUMBERSTRING(INT(N57*10000),2)&amp;"元整"</f>
        <v>零元整</v>
      </c>
      <c r="O58" s="2531"/>
    </row>
    <row r="59" spans="1:35" ht="24.75" thickBot="1">
      <c r="A59" s="3596" t="s">
        <v>1371</v>
      </c>
      <c r="B59" s="3597"/>
      <c r="C59" s="3597"/>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10"/>
      <c r="I59" s="2309" t="s">
        <v>2137</v>
      </c>
      <c r="J59" s="3594">
        <f>J57+1</f>
        <v>6</v>
      </c>
      <c r="K59" s="3592" t="s">
        <v>1372</v>
      </c>
      <c r="L59" s="2518" t="s">
        <v>1368</v>
      </c>
      <c r="M59" s="2532"/>
      <c r="N59" s="2533" t="e">
        <f ca="1">M49-N57</f>
        <v>#VALUE!</v>
      </c>
      <c r="O59" s="2534"/>
    </row>
    <row r="60" spans="1:35" ht="12" customHeight="1">
      <c r="A60" s="1808"/>
      <c r="B60" s="1746"/>
      <c r="C60" s="1746"/>
      <c r="D60" s="1746"/>
      <c r="E60" s="1577"/>
      <c r="F60" s="1807"/>
      <c r="G60" s="1807"/>
      <c r="H60" s="1809"/>
      <c r="I60" s="129"/>
      <c r="J60" s="3595"/>
      <c r="K60" s="3592"/>
      <c r="L60" s="2525" t="s">
        <v>1370</v>
      </c>
      <c r="M60" s="2529"/>
      <c r="N60" s="2530" t="e">
        <f ca="1">NUMBERSTRING(INT(N59*10000),2)&amp;"元整"</f>
        <v>#VALUE!</v>
      </c>
      <c r="O60" s="2531"/>
    </row>
    <row r="61" spans="1:35" ht="13.5" thickBot="1">
      <c r="A61" s="3651" t="s">
        <v>1373</v>
      </c>
      <c r="B61" s="3651"/>
      <c r="C61" s="3651"/>
      <c r="D61" s="3651"/>
      <c r="E61" s="3651"/>
      <c r="F61" s="1807"/>
      <c r="G61" s="1807"/>
      <c r="H61" s="1809"/>
      <c r="I61" s="129"/>
      <c r="J61" s="2518">
        <f>J59+1</f>
        <v>7</v>
      </c>
      <c r="K61" s="3592" t="s">
        <v>1374</v>
      </c>
      <c r="L61" s="3592"/>
      <c r="M61" s="2535"/>
      <c r="N61" s="2536" t="e">
        <f ca="1">ROUND(N59*10000/'数据-汇总表'!E3,0)</f>
        <v>#VALUE!</v>
      </c>
      <c r="O61" s="2537"/>
    </row>
    <row r="62" spans="1:35" ht="12.75">
      <c r="A62" s="3611" t="s">
        <v>1375</v>
      </c>
      <c r="B62" s="3612"/>
      <c r="C62" s="2017"/>
      <c r="D62" s="2017" t="s">
        <v>1376</v>
      </c>
      <c r="E62" s="166" t="s">
        <v>1377</v>
      </c>
      <c r="F62" s="1807"/>
      <c r="G62" s="1807"/>
      <c r="H62" s="1809"/>
      <c r="I62" s="129"/>
    </row>
    <row r="63" spans="1:35" ht="12.75">
      <c r="A63" s="173" t="s">
        <v>330</v>
      </c>
      <c r="B63" s="167" t="s">
        <v>1378</v>
      </c>
      <c r="C63" s="2559" t="e">
        <f ca="1">ROUND((C64+C65)/(1+'数据-取费表'!C42),0)</f>
        <v>#REF!</v>
      </c>
      <c r="D63" s="167"/>
      <c r="E63" s="168"/>
      <c r="F63" s="1807"/>
      <c r="G63" s="1807"/>
      <c r="H63" s="1809"/>
      <c r="I63" s="129"/>
      <c r="J63" s="3575" t="s">
        <v>1379</v>
      </c>
      <c r="K63" s="1331" t="s">
        <v>1380</v>
      </c>
      <c r="L63" s="1331" t="e">
        <f>IF(M49&gt;10000,M49*0.5%,IF(AND(M49&gt;1000,M49&lt;=10000),M49*1%,IF(AND(M49&gt;100,M49&lt;=1000),M49*3%,IF(AND(M49&gt;10,M49&lt;=100),M49*5%,M49*8%))))</f>
        <v>#VALUE!</v>
      </c>
      <c r="M63" s="302" t="e">
        <f>ROUND(L63,1)</f>
        <v>#VALUE!</v>
      </c>
      <c r="N63" s="2538"/>
      <c r="Z63" s="1751"/>
      <c r="AI63" s="1752"/>
    </row>
    <row r="64" spans="1:35" ht="14.25" customHeight="1">
      <c r="A64" s="169" t="s">
        <v>325</v>
      </c>
      <c r="B64" s="170" t="s">
        <v>1381</v>
      </c>
      <c r="C64" s="2560" t="e">
        <f ca="1">D45</f>
        <v>#REF!</v>
      </c>
      <c r="D64" s="170" t="s">
        <v>26</v>
      </c>
      <c r="E64" s="172"/>
      <c r="F64" s="1807"/>
      <c r="G64" s="1807"/>
      <c r="H64" s="1809"/>
      <c r="I64" s="129"/>
      <c r="J64" s="3575"/>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39" t="s">
        <v>1383</v>
      </c>
      <c r="Z64" s="1751"/>
      <c r="AI64" s="1752"/>
    </row>
    <row r="65" spans="1:35" ht="14.25" customHeight="1">
      <c r="A65" s="169" t="s">
        <v>326</v>
      </c>
      <c r="B65" s="170" t="s">
        <v>1384</v>
      </c>
      <c r="C65" s="2561"/>
      <c r="D65" s="170"/>
      <c r="E65" s="172"/>
      <c r="F65" s="1807"/>
      <c r="G65" s="1807"/>
      <c r="H65" s="1809"/>
      <c r="I65" s="129"/>
      <c r="J65" s="3575"/>
      <c r="K65" s="1331" t="s">
        <v>1385</v>
      </c>
      <c r="L65" s="1331" t="e">
        <f>IF(M49&gt;1000,M49*0.1%,IF(AND(M49&gt;500,M49&lt;=1000),M49*0.5%,IF(AND(M49&gt;50,M49&lt;=500),M49*1%,IF(AND(M49&gt;1,M49&lt;=50),M49*1.5%))))</f>
        <v>#VALUE!</v>
      </c>
      <c r="M65" s="302" t="e">
        <f t="shared" si="1"/>
        <v>#VALUE!</v>
      </c>
      <c r="N65" s="2539" t="s">
        <v>1383</v>
      </c>
      <c r="Z65" s="1751"/>
      <c r="AI65" s="1752"/>
    </row>
    <row r="66" spans="1:35" ht="14.25" customHeight="1">
      <c r="A66" s="173" t="s">
        <v>327</v>
      </c>
      <c r="B66" s="174" t="s">
        <v>1386</v>
      </c>
      <c r="C66" s="2562"/>
      <c r="D66" s="174" t="s">
        <v>26</v>
      </c>
      <c r="E66" s="1337" t="s">
        <v>671</v>
      </c>
      <c r="F66" s="1807"/>
      <c r="G66" s="1807"/>
      <c r="H66" s="1809"/>
      <c r="I66" s="129"/>
      <c r="J66" s="3575"/>
      <c r="K66" s="1331" t="s">
        <v>1387</v>
      </c>
      <c r="L66" s="1331" t="e">
        <f>M49*0.5%</f>
        <v>#VALUE!</v>
      </c>
      <c r="M66" s="302" t="e">
        <f>IF(L66&gt;0.5,0.5,ROUND(L66,0))</f>
        <v>#VALUE!</v>
      </c>
      <c r="N66" s="2539" t="s">
        <v>1388</v>
      </c>
      <c r="Z66" s="1751"/>
      <c r="AI66" s="1752"/>
    </row>
    <row r="67" spans="1:35" ht="14.25" customHeight="1">
      <c r="A67" s="173" t="s">
        <v>328</v>
      </c>
      <c r="B67" s="174" t="s">
        <v>1389</v>
      </c>
      <c r="C67" s="2563" t="e">
        <f ca="1">C63-C66</f>
        <v>#REF!</v>
      </c>
      <c r="D67" s="170" t="s">
        <v>26</v>
      </c>
      <c r="E67" s="172"/>
      <c r="F67" s="1807"/>
      <c r="G67" s="1807"/>
      <c r="H67" s="1809"/>
      <c r="I67" s="129"/>
      <c r="J67" s="3575"/>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8"/>
      <c r="Z67" s="1751"/>
      <c r="AI67" s="1752"/>
    </row>
    <row r="68" spans="1:35" ht="14.25" customHeight="1" thickBot="1">
      <c r="A68" s="176" t="s">
        <v>329</v>
      </c>
      <c r="B68" s="177" t="s">
        <v>1391</v>
      </c>
      <c r="C68" s="2564" t="e">
        <f ca="1">IF(C67&lt;=0,0,ROUND(C67*D68,0))</f>
        <v>#REF!</v>
      </c>
      <c r="D68" s="2565">
        <f>'数据-取费表'!B41</f>
        <v>5.6000000000000001E-2</v>
      </c>
      <c r="E68" s="178"/>
      <c r="F68" s="1807"/>
      <c r="G68" s="1807"/>
      <c r="H68" s="1809"/>
      <c r="I68" s="129"/>
      <c r="J68" s="3575"/>
      <c r="K68" s="1331" t="s">
        <v>1392</v>
      </c>
      <c r="L68" s="1331" t="e">
        <f>IF(M49&gt;10000,M49*0.5%,IF(AND(M49&gt;5000,M49&lt;=10000),M49*1%,IF(AND(M49&gt;1000,M49&lt;=5000),M49*2%,IF(AND(M49&gt;200,M49&lt;=1000),M49*3%,M49*5%))))</f>
        <v>#VALUE!</v>
      </c>
      <c r="M68" s="302" t="e">
        <f>ROUND(L68,1)</f>
        <v>#VALUE!</v>
      </c>
      <c r="N68" s="2538"/>
      <c r="Z68" s="1751"/>
      <c r="AI68" s="1752"/>
    </row>
    <row r="69" spans="1:35" s="1771" customFormat="1" ht="16.5" customHeight="1">
      <c r="A69" s="1810"/>
      <c r="B69" s="1811"/>
      <c r="C69" s="1812"/>
      <c r="D69" s="1813"/>
      <c r="E69" s="1814"/>
      <c r="F69" s="1577"/>
      <c r="G69" s="1577"/>
      <c r="H69" s="1576"/>
      <c r="I69" s="1746"/>
      <c r="J69" s="3575"/>
      <c r="K69" s="1331" t="s">
        <v>1393</v>
      </c>
      <c r="L69" s="1331"/>
      <c r="M69" s="302" t="e">
        <f>ROUND(SUM(M63:M68),0)</f>
        <v>#VALUE!</v>
      </c>
      <c r="N69" s="2540"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9" t="s">
        <v>1394</v>
      </c>
      <c r="B70" s="3620"/>
      <c r="C70" s="3620"/>
      <c r="D70" s="3620"/>
      <c r="E70" s="3620"/>
      <c r="F70" s="3620"/>
      <c r="G70" s="3620"/>
      <c r="H70" s="362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11" t="s">
        <v>1375</v>
      </c>
      <c r="B71" s="3612"/>
      <c r="C71" s="2017"/>
      <c r="D71" s="2017" t="s">
        <v>1376</v>
      </c>
      <c r="E71" s="179" t="s">
        <v>1377</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3" t="e">
        <f ca="1">ROUND(D45/(1+'数据-取费表'!C42),0)</f>
        <v>#REF!</v>
      </c>
      <c r="D72" s="170" t="s">
        <v>26</v>
      </c>
      <c r="E72" s="2327"/>
      <c r="F72" s="2326"/>
      <c r="G72" s="2326"/>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3" t="e">
        <f ca="1">C74+C78</f>
        <v>#REF!</v>
      </c>
      <c r="D73" s="170" t="s">
        <v>26</v>
      </c>
      <c r="E73" s="2327"/>
      <c r="F73" s="2326"/>
      <c r="G73" s="2326"/>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7"/>
      <c r="F74" s="2326"/>
      <c r="G74" s="2326"/>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6"/>
      <c r="D75" s="170" t="s">
        <v>26</v>
      </c>
      <c r="E75" s="184" t="s">
        <v>1399</v>
      </c>
      <c r="F75" s="2567"/>
      <c r="G75" s="184" t="s">
        <v>1400</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69">
        <v>0.05</v>
      </c>
      <c r="E76" s="3616" t="s">
        <v>1402</v>
      </c>
      <c r="F76" s="3615"/>
      <c r="G76" s="3615"/>
      <c r="H76" s="361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0">
        <f>'数据-取费表'!B48+'数据-取费表'!B49</f>
        <v>3.0499999999999999E-2</v>
      </c>
      <c r="E77" s="2320" t="s">
        <v>1404</v>
      </c>
      <c r="F77" s="186"/>
      <c r="G77" s="1821"/>
      <c r="H77" s="2328"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1" t="e">
        <f ca="1">ROUND(D45*D78/(1+'数据-取费表'!C42),0)</f>
        <v>#REF!</v>
      </c>
      <c r="D78" s="2572">
        <f>'数据-取费表'!B43</f>
        <v>6.000000000000001E-3</v>
      </c>
      <c r="E78" s="3608" t="s">
        <v>1406</v>
      </c>
      <c r="F78" s="3609"/>
      <c r="G78" s="3609"/>
      <c r="H78" s="361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3" t="e">
        <f ca="1">C72-C73</f>
        <v>#REF!</v>
      </c>
      <c r="D79" s="170" t="s">
        <v>26</v>
      </c>
      <c r="E79" s="2327"/>
      <c r="F79" s="2326"/>
      <c r="G79" s="2326"/>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3" t="e">
        <f ca="1">IF(C79&lt;=0,0,C79/C73)</f>
        <v>#REF!</v>
      </c>
      <c r="D80" s="170" t="s">
        <v>26</v>
      </c>
      <c r="E80" s="2320" t="e">
        <f ca="1">IF(C80&gt;=200%,"增值额超过扣除项目金额200%",IF(C80&gt;=100%,"增值额超过扣除项目金额100%，未超过200%",IF(C80&gt;=50%,"增值额超过扣除项目金额50%，未超过100%",IF(C80&lt;50%,"增值额未超过扣除项目金额50%"))))</f>
        <v>#REF!</v>
      </c>
      <c r="F80" s="2326"/>
      <c r="G80" s="2326"/>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9" t="s">
        <v>1410</v>
      </c>
      <c r="B83" s="3620"/>
      <c r="C83" s="3620"/>
      <c r="D83" s="3620"/>
      <c r="E83" s="3620"/>
      <c r="F83" s="3620"/>
      <c r="G83" s="3620"/>
      <c r="H83" s="362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11" t="s">
        <v>1375</v>
      </c>
      <c r="B84" s="3612"/>
      <c r="C84" s="2017"/>
      <c r="D84" s="2017"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3" t="e">
        <f ca="1">ROUND(D45/(1+'数据-取费表'!C42),0)</f>
        <v>#REF!</v>
      </c>
      <c r="D85" s="170" t="s">
        <v>26</v>
      </c>
      <c r="E85" s="2327"/>
      <c r="F85" s="2326"/>
      <c r="G85" s="2326"/>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3" t="e">
        <f ca="1">IF(H88="仅含出让金",C87+C90+C91+C92+C93+C94,C87+C91+C92+C93+C94)</f>
        <v>#REF!</v>
      </c>
      <c r="D86" s="2576"/>
      <c r="E86" s="2327"/>
      <c r="F86" s="2326"/>
      <c r="G86" s="2326"/>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1">
        <f>C88+C89</f>
        <v>0</v>
      </c>
      <c r="D87" s="2572"/>
      <c r="E87" s="2322"/>
      <c r="F87" s="2323"/>
      <c r="G87" s="2323"/>
      <c r="H87" s="2324"/>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7"/>
      <c r="D88" s="2572"/>
      <c r="E88" s="193" t="s">
        <v>1413</v>
      </c>
      <c r="F88" s="2323"/>
      <c r="G88" s="194" t="s">
        <v>1414</v>
      </c>
      <c r="H88" s="1823"/>
      <c r="I88" s="1820"/>
      <c r="J88" s="2516"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1">
        <f>ROUND(C88*D89,0)</f>
        <v>0</v>
      </c>
      <c r="D89" s="2572">
        <f>'数据-取费表'!B48+'数据-取费表'!B49</f>
        <v>3.0499999999999999E-2</v>
      </c>
      <c r="E89" s="193" t="s">
        <v>1415</v>
      </c>
      <c r="F89" s="2323"/>
      <c r="G89" s="2323"/>
      <c r="H89" s="2324"/>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7"/>
      <c r="D90" s="2572"/>
      <c r="E90" s="193" t="str">
        <f>IF(H88="-","土地取得成本中已包含该笔费用"," ")</f>
        <v xml:space="preserve"> </v>
      </c>
      <c r="F90" s="2323"/>
      <c r="G90" s="3577" t="s">
        <v>2129</v>
      </c>
      <c r="H90" s="3578"/>
      <c r="I90" s="1820"/>
      <c r="J90" s="2516"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1">
        <f>IF(H91="——",成本法!C33,I91)</f>
        <v>0</v>
      </c>
      <c r="D91" s="2572"/>
      <c r="E91" s="3608" t="s">
        <v>1419</v>
      </c>
      <c r="F91" s="3609"/>
      <c r="G91" s="3609"/>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1">
        <f>ROUND((C87+C90+C91)*D92,0)</f>
        <v>0</v>
      </c>
      <c r="D92" s="2578"/>
      <c r="E92" s="3608" t="s">
        <v>1422</v>
      </c>
      <c r="F92" s="3609"/>
      <c r="G92" s="3609"/>
      <c r="H92" s="3610"/>
      <c r="I92" s="1820"/>
      <c r="J92" s="2517"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1" t="e">
        <f ca="1">ROUND(D45*D93/(1+'数据-取费表'!C42),0)</f>
        <v>#REF!</v>
      </c>
      <c r="D93" s="2572">
        <f>'数据-取费表'!B43</f>
        <v>6.000000000000001E-3</v>
      </c>
      <c r="E93" s="3608" t="s">
        <v>1406</v>
      </c>
      <c r="F93" s="3609"/>
      <c r="G93" s="3609"/>
      <c r="H93" s="361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7">
        <f>ROUND((C87+C90+C91)*D94,0)</f>
        <v>0</v>
      </c>
      <c r="D94" s="2572">
        <v>0.2</v>
      </c>
      <c r="E94" s="3653" t="s">
        <v>1426</v>
      </c>
      <c r="F94" s="3654"/>
      <c r="G94" s="3654"/>
      <c r="H94" s="3655"/>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3" t="e">
        <f ca="1">ROUND(C85-C86,0)</f>
        <v>#REF!</v>
      </c>
      <c r="D95" s="170" t="s">
        <v>26</v>
      </c>
      <c r="E95" s="2327"/>
      <c r="F95" s="2326"/>
      <c r="G95" s="2326"/>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3" t="e">
        <f ca="1">IF(C95&lt;=0,0,C95/C86)</f>
        <v>#REF!</v>
      </c>
      <c r="D96" s="170" t="s">
        <v>26</v>
      </c>
      <c r="E96" s="2320" t="e">
        <f ca="1">IF(C96&gt;=200%,"增值额超过扣除项目金额200%",IF(C96&gt;=100%,"增值额超过扣除项目金额100%，未超过200%",IF(C96&gt;=50%,"增值额超过扣除项目金额50%，未超过100%",IF(C96&lt;50%,"增值额未超过扣除项目金额50%"))))</f>
        <v>#REF!</v>
      </c>
      <c r="F96" s="2326"/>
      <c r="G96" s="2326"/>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8" t="s">
        <v>1428</v>
      </c>
      <c r="B100" s="3559"/>
      <c r="C100" s="3559"/>
      <c r="D100" s="3593"/>
      <c r="E100" s="3559" t="s">
        <v>1429</v>
      </c>
      <c r="F100" s="3559"/>
      <c r="G100" s="3559"/>
      <c r="H100" s="3593"/>
      <c r="I100" s="129"/>
    </row>
    <row r="101" spans="1:35" ht="18.75" customHeight="1">
      <c r="A101" s="3601" t="s">
        <v>1430</v>
      </c>
      <c r="B101" s="3602"/>
      <c r="C101" s="2580" t="str">
        <f>C4</f>
        <v>比较法-办公</v>
      </c>
      <c r="D101" s="2581" t="str">
        <f>D4</f>
        <v>成本法 (元)</v>
      </c>
      <c r="E101" s="3571" t="s">
        <v>1431</v>
      </c>
      <c r="F101" s="3572"/>
      <c r="G101" s="1826" t="s">
        <v>1432</v>
      </c>
      <c r="H101" s="2590" t="e">
        <f ca="1">H118</f>
        <v>#REF!</v>
      </c>
      <c r="I101" s="129"/>
    </row>
    <row r="102" spans="1:35" ht="18.75" customHeight="1">
      <c r="A102" s="3603" t="s">
        <v>1433</v>
      </c>
      <c r="B102" s="2579" t="s">
        <v>1432</v>
      </c>
      <c r="C102" s="2580">
        <f ca="1">IF(D32="楼面单价",ROUND(C19,0),C19)</f>
        <v>2154.1523999999999</v>
      </c>
      <c r="D102" s="2581">
        <f ca="1">IF(D32="楼面单价",ROUND(D19,0),D19)</f>
        <v>1724.4317000000001</v>
      </c>
      <c r="E102" s="3571"/>
      <c r="F102" s="3572"/>
      <c r="G102" s="1826" t="s">
        <v>1434</v>
      </c>
      <c r="H102" s="2550" t="e">
        <f ca="1">I118</f>
        <v>#REF!</v>
      </c>
      <c r="I102" s="129"/>
    </row>
    <row r="103" spans="1:35" ht="42.75" customHeight="1">
      <c r="A103" s="3603"/>
      <c r="B103" s="2579" t="s">
        <v>1434</v>
      </c>
      <c r="C103" s="2582">
        <f ca="1">C20</f>
        <v>46862</v>
      </c>
      <c r="D103" s="2583">
        <f ca="1">D20</f>
        <v>37514</v>
      </c>
      <c r="E103" s="3564" t="s">
        <v>1435</v>
      </c>
      <c r="F103" s="3565"/>
      <c r="G103" s="1827" t="s">
        <v>1436</v>
      </c>
      <c r="H103" s="2590">
        <f>IF(D36="正常操作",H104+H105+H106,H105+H106)</f>
        <v>0</v>
      </c>
      <c r="I103" s="129"/>
    </row>
    <row r="104" spans="1:35" ht="18.75" customHeight="1">
      <c r="A104" s="3603" t="s">
        <v>1437</v>
      </c>
      <c r="B104" s="2584" t="s">
        <v>1432</v>
      </c>
      <c r="C104" s="2585" t="e">
        <f ca="1">H118</f>
        <v>#REF!</v>
      </c>
      <c r="D104" s="2586"/>
      <c r="E104" s="1673" t="s">
        <v>1438</v>
      </c>
      <c r="F104" s="1665"/>
      <c r="G104" s="1827" t="s">
        <v>1436</v>
      </c>
      <c r="H104" s="2591">
        <f>IF(D36="同一抵押权人同一抵押物续贷",C36&amp;"（续贷，未扣减，详见特别提示）",C36)</f>
        <v>0</v>
      </c>
      <c r="I104" s="129"/>
    </row>
    <row r="105" spans="1:35" ht="18.75" customHeight="1" thickBot="1">
      <c r="A105" s="3613"/>
      <c r="B105" s="2587" t="s">
        <v>1434</v>
      </c>
      <c r="C105" s="2588" t="e">
        <f ca="1">I118</f>
        <v>#REF!</v>
      </c>
      <c r="D105" s="2589"/>
      <c r="E105" s="1673" t="s">
        <v>1439</v>
      </c>
      <c r="F105" s="1665"/>
      <c r="G105" s="1827" t="s">
        <v>1436</v>
      </c>
      <c r="H105" s="2592">
        <f>C37</f>
        <v>0</v>
      </c>
      <c r="I105" s="129"/>
    </row>
    <row r="106" spans="1:35" ht="18.75" customHeight="1">
      <c r="A106" s="1746" t="s">
        <v>1440</v>
      </c>
      <c r="B106" s="1746"/>
      <c r="C106" s="1746"/>
      <c r="D106" s="1746"/>
      <c r="E106" s="1828" t="s">
        <v>1441</v>
      </c>
      <c r="F106" s="1665"/>
      <c r="G106" s="1827" t="s">
        <v>1436</v>
      </c>
      <c r="H106" s="2592">
        <f>C38</f>
        <v>0</v>
      </c>
      <c r="I106" s="129"/>
    </row>
    <row r="107" spans="1:35" ht="18.75" customHeight="1">
      <c r="A107" s="129"/>
      <c r="B107" s="129"/>
      <c r="C107" s="129"/>
      <c r="D107" s="129"/>
      <c r="E107" s="3604" t="str">
        <f>IF(项目基本情况!E8="已注销","——","3.房地产抵押价值")</f>
        <v>3.房地产抵押价值</v>
      </c>
      <c r="F107" s="3572"/>
      <c r="G107" s="1826" t="s">
        <v>1432</v>
      </c>
      <c r="H107" s="2590" t="e">
        <f ca="1">IF(E107="——","——",H101-H103)</f>
        <v>#REF!</v>
      </c>
      <c r="I107" s="129"/>
    </row>
    <row r="108" spans="1:35" ht="18.75" customHeight="1">
      <c r="A108" s="129"/>
      <c r="B108" s="129"/>
      <c r="C108" s="129"/>
      <c r="D108" s="129"/>
      <c r="E108" s="3604"/>
      <c r="F108" s="3572"/>
      <c r="G108" s="1826" t="s">
        <v>1434</v>
      </c>
      <c r="H108" s="2550">
        <f ca="1">IF(H107=H101,H102,ROUND(H107*10000/'数据-汇总表'!E3,0))</f>
        <v>0</v>
      </c>
      <c r="I108" s="129"/>
    </row>
    <row r="109" spans="1:35" ht="18.75" customHeight="1">
      <c r="A109" s="129"/>
      <c r="B109" s="129"/>
      <c r="C109" s="129"/>
      <c r="D109" s="129"/>
      <c r="E109" s="3604" t="str">
        <f>IF(项目基本情况!E8="已注销及未注销","4.抵押担保权已注销时的房地产抵押价值",IF(项目基本情况!E8="已注销","3.抵押担保权已注销时的房地产抵押价值","——"))</f>
        <v>——</v>
      </c>
      <c r="F109" s="3572"/>
      <c r="G109" s="1826" t="s">
        <v>1432</v>
      </c>
      <c r="H109" s="2593" t="str">
        <f>IF(E109="——","——",H101-H105-H106)</f>
        <v>——</v>
      </c>
      <c r="I109" s="129"/>
    </row>
    <row r="110" spans="1:35" ht="18.75" customHeight="1">
      <c r="A110" s="129"/>
      <c r="B110" s="129"/>
      <c r="C110" s="129"/>
      <c r="D110" s="129"/>
      <c r="E110" s="3604"/>
      <c r="F110" s="3572"/>
      <c r="G110" s="1826" t="s">
        <v>1434</v>
      </c>
      <c r="H110" s="2550" t="str">
        <f>IF(H109="——","——",ROUND(H109*10000/'数据-汇总表'!E3,0))</f>
        <v>——</v>
      </c>
      <c r="I110" s="129"/>
    </row>
    <row r="111" spans="1:35" ht="18.75" customHeight="1">
      <c r="A111" s="129"/>
      <c r="B111" s="129"/>
      <c r="C111" s="129"/>
      <c r="D111" s="129"/>
      <c r="E111" s="3605" t="str">
        <f>IF(项目基本情况!E9="抵押净值",IF(OR(项目基本情况!E8="已注销",项目基本情况!E8="房地产抵押价值"),"4.抵押净值","5.抵押净值"),"——")</f>
        <v>——</v>
      </c>
      <c r="F111" s="3591"/>
      <c r="G111" s="1826" t="s">
        <v>1432</v>
      </c>
      <c r="H111" s="2590" t="str">
        <f>IF(E111="——","——",N59)</f>
        <v>——</v>
      </c>
      <c r="I111" s="129"/>
    </row>
    <row r="112" spans="1:35" ht="18.75" customHeight="1" thickBot="1">
      <c r="A112" s="129"/>
      <c r="B112" s="129"/>
      <c r="C112" s="129"/>
      <c r="D112" s="129"/>
      <c r="E112" s="3606"/>
      <c r="F112" s="3607"/>
      <c r="G112" s="1829" t="s">
        <v>1434</v>
      </c>
      <c r="H112" s="2594" t="str">
        <f>IF(E111="——","——",N61)</f>
        <v>——</v>
      </c>
      <c r="I112" s="129"/>
    </row>
    <row r="113" spans="1:27" ht="18.75" customHeight="1">
      <c r="A113" s="129"/>
      <c r="B113" s="129"/>
      <c r="C113" s="129"/>
      <c r="D113" s="129"/>
      <c r="E113" s="3614" t="s">
        <v>1440</v>
      </c>
      <c r="F113" s="3614"/>
      <c r="G113" s="3614"/>
      <c r="H113" s="3614"/>
      <c r="I113" s="129"/>
    </row>
    <row r="114" spans="1:27" ht="3.75" customHeight="1">
      <c r="A114" s="1746"/>
      <c r="B114" s="1746"/>
      <c r="C114" s="1746"/>
      <c r="D114" s="1746"/>
      <c r="E114" s="1808"/>
      <c r="F114" s="1808"/>
      <c r="G114" s="1808"/>
      <c r="H114" s="1808"/>
      <c r="I114" s="1746"/>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2325" t="s">
        <v>1449</v>
      </c>
      <c r="E117" s="2325" t="s">
        <v>1450</v>
      </c>
      <c r="F117" s="2325" t="s">
        <v>1449</v>
      </c>
      <c r="G117" s="2325" t="s">
        <v>1451</v>
      </c>
      <c r="H117" s="2325" t="s">
        <v>1449</v>
      </c>
      <c r="I117" s="2325" t="s">
        <v>1451</v>
      </c>
    </row>
    <row r="118" spans="1:27" ht="24.75" customHeight="1">
      <c r="A118" s="2595" t="str">
        <f>项目基本情况!S2</f>
        <v>北京市房地产</v>
      </c>
      <c r="B118" s="2325">
        <f>M18</f>
        <v>459.68</v>
      </c>
      <c r="C118" s="2325">
        <f>M19</f>
        <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t="e">
        <f ca="1">ROUND(IF(D32="总价",C32,I118*B118/10000),0)</f>
        <v>#REF!</v>
      </c>
      <c r="I118" s="2325" t="e">
        <f ca="1">ROUND(IF(D32="楼面单价",C32,H118*10000/B118),0)</f>
        <v>#REF!</v>
      </c>
    </row>
    <row r="119" spans="1:27" ht="18.75" customHeight="1">
      <c r="A119" s="3579" t="s">
        <v>1452</v>
      </c>
      <c r="B119" s="3579"/>
      <c r="C119" s="3579"/>
      <c r="D119" s="3585" t="e">
        <f ca="1">NUMBERSTRING(INT(D118*10000),2)&amp;"元整"</f>
        <v>#REF!</v>
      </c>
      <c r="E119" s="3586"/>
      <c r="F119" s="3585" t="e">
        <f ca="1">NUMBERSTRING(INT(F118*10000),2)&amp;"元整"</f>
        <v>#REF!</v>
      </c>
      <c r="G119" s="3586"/>
      <c r="H119" s="3585" t="e">
        <f ca="1">NUMBERSTRING(INT(H118*10000),2)&amp;"元整"</f>
        <v>#REF!</v>
      </c>
      <c r="I119" s="3586"/>
    </row>
    <row r="120" spans="1:27" ht="18.75" customHeight="1">
      <c r="A120" s="3580" t="str">
        <f>IF(项目基本情况!B9="房地产市场价值","",MID(E103,3,LEN(E103)-2))</f>
        <v/>
      </c>
      <c r="B120" s="3581"/>
      <c r="C120" s="3582"/>
      <c r="D120" s="3580">
        <f>H103</f>
        <v>0</v>
      </c>
      <c r="E120" s="3581"/>
      <c r="F120" s="3581"/>
      <c r="G120" s="3581"/>
      <c r="H120" s="3581"/>
      <c r="I120" s="3582"/>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585" t="s">
        <v>1452</v>
      </c>
      <c r="B121" s="3587"/>
      <c r="C121" s="3586"/>
      <c r="D121" s="3585" t="str">
        <f>IF(D120=0,"零元整",NUMBERSTRING(INT(D120*10000),2)&amp;"元整")</f>
        <v>零元整</v>
      </c>
      <c r="E121" s="3587"/>
      <c r="F121" s="3587"/>
      <c r="G121" s="3587"/>
      <c r="H121" s="3587"/>
      <c r="I121" s="3586"/>
      <c r="AA121" s="725"/>
    </row>
    <row r="122" spans="1:27" ht="18.75" customHeight="1">
      <c r="A122" s="3591" t="str">
        <f>IF(项目基本情况!B9="房地产市场价值","",MID(E107,3,LEN(E107)-2))</f>
        <v/>
      </c>
      <c r="B122" s="3591"/>
      <c r="C122" s="3591"/>
      <c r="D122" s="3580" t="e">
        <f ca="1">H107</f>
        <v>#REF!</v>
      </c>
      <c r="E122" s="3581"/>
      <c r="F122" s="3581"/>
      <c r="G122" s="3581"/>
      <c r="H122" s="3581"/>
      <c r="I122" s="3582"/>
      <c r="AA122" s="725"/>
    </row>
    <row r="123" spans="1:27" ht="18.75" customHeight="1">
      <c r="A123" s="3579" t="s">
        <v>1452</v>
      </c>
      <c r="B123" s="3579"/>
      <c r="C123" s="3579"/>
      <c r="D123" s="3585" t="e">
        <f ca="1">NUMBERSTRING(INT(D122*10000),2)&amp;"元整"</f>
        <v>#REF!</v>
      </c>
      <c r="E123" s="3587"/>
      <c r="F123" s="3587"/>
      <c r="G123" s="3587"/>
      <c r="H123" s="3587"/>
      <c r="I123" s="3586"/>
      <c r="AA123" s="725"/>
    </row>
    <row r="124" spans="1:27" ht="18.75" customHeight="1">
      <c r="A124" s="3591" t="str">
        <f>IF(项目基本情况!B9="房地产市场价值","",MID(E109,3,LEN(E109)-2))</f>
        <v/>
      </c>
      <c r="B124" s="3591"/>
      <c r="C124" s="3591"/>
      <c r="D124" s="3580" t="str">
        <f>H109</f>
        <v>——</v>
      </c>
      <c r="E124" s="3581"/>
      <c r="F124" s="3581"/>
      <c r="G124" s="3581"/>
      <c r="H124" s="3581"/>
      <c r="I124" s="3582"/>
      <c r="AA124" s="725"/>
    </row>
    <row r="125" spans="1:27" ht="18.75" customHeight="1">
      <c r="A125" s="3579" t="s">
        <v>1452</v>
      </c>
      <c r="B125" s="3579"/>
      <c r="C125" s="3579"/>
      <c r="D125" s="3585" t="e">
        <f>NUMBERSTRING(INT(D124*10000),2)&amp;"元整"</f>
        <v>#VALUE!</v>
      </c>
      <c r="E125" s="3587"/>
      <c r="F125" s="3587"/>
      <c r="G125" s="3587"/>
      <c r="H125" s="3587"/>
      <c r="I125" s="3586"/>
      <c r="AA125" s="725"/>
    </row>
    <row r="126" spans="1:27" ht="18.75" customHeight="1">
      <c r="A126" s="3591" t="str">
        <f>IF(项目基本情况!B9="房地产市场价值","",MID(E111,3,LEN(E111)-2))</f>
        <v/>
      </c>
      <c r="B126" s="3591"/>
      <c r="C126" s="3591"/>
      <c r="D126" s="3580" t="str">
        <f>H111</f>
        <v>——</v>
      </c>
      <c r="E126" s="3581"/>
      <c r="F126" s="3581"/>
      <c r="G126" s="3581"/>
      <c r="H126" s="3581"/>
      <c r="I126" s="3582"/>
      <c r="AA126" s="725"/>
    </row>
    <row r="127" spans="1:27" ht="18.75" customHeight="1">
      <c r="A127" s="3579" t="s">
        <v>1452</v>
      </c>
      <c r="B127" s="3579"/>
      <c r="C127" s="3579"/>
      <c r="D127" s="3585" t="e">
        <f>NUMBERSTRING(INT(D126*10000),2)&amp;"元整"</f>
        <v>#VALUE!</v>
      </c>
      <c r="E127" s="3587"/>
      <c r="F127" s="3587"/>
      <c r="G127" s="3587"/>
      <c r="H127" s="3587"/>
      <c r="I127" s="3586"/>
      <c r="AA127" s="725"/>
    </row>
    <row r="128" spans="1:27" ht="21.75" customHeight="1">
      <c r="A128" s="3588" t="s">
        <v>1453</v>
      </c>
      <c r="B128" s="3588"/>
      <c r="C128" s="3588"/>
      <c r="D128" s="3588"/>
      <c r="E128" s="3588"/>
      <c r="F128" s="3588"/>
      <c r="G128" s="3588"/>
      <c r="H128" s="3588"/>
      <c r="I128" s="3588"/>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306</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6657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6"/>
      <c r="H9" s="1137"/>
      <c r="I9" s="1857" t="s">
        <v>1479</v>
      </c>
    </row>
    <row r="10" spans="1:9" s="214" customFormat="1" ht="13.5" customHeight="1">
      <c r="A10" s="779" t="s">
        <v>356</v>
      </c>
      <c r="B10" s="224" t="s">
        <v>1480</v>
      </c>
      <c r="C10" s="225">
        <f ca="1">ROUND(D10*E10/10000,0)</f>
        <v>9</v>
      </c>
      <c r="D10" s="845">
        <f ca="1">IF(B1="",'数据-汇总表'!E6,IF(INDIRECT("'数据-取费表'!c"&amp;$G$1)="住宅",INDIRECT("'数据-取费表'!s"&amp;$G$1),INDIRECT("'数据-取费表'!k"&amp;$G$1)+INDIRECT("'数据-取费表'!s"&amp;$G$1)))</f>
        <v>459.68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459.68</v>
      </c>
      <c r="E19" s="211">
        <f>'数据-取费表'!B31</f>
        <v>150</v>
      </c>
      <c r="F19" s="231"/>
      <c r="G19" s="1855"/>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0.05</v>
      </c>
      <c r="D21" s="236" t="s">
        <v>1498</v>
      </c>
      <c r="E21" s="232"/>
      <c r="F21" s="233">
        <f>'数据-取费表'!B38</f>
        <v>0.05</v>
      </c>
      <c r="G21" s="234" t="s">
        <v>1499</v>
      </c>
    </row>
    <row r="22" spans="1:7" s="214" customFormat="1" ht="13.5" customHeight="1">
      <c r="A22" s="255" t="s">
        <v>1500</v>
      </c>
      <c r="B22" s="210" t="s">
        <v>1501</v>
      </c>
      <c r="C22" s="1104">
        <f ca="1">ROUND(SUM(C23:C25),0)</f>
        <v>1</v>
      </c>
      <c r="D22" s="235">
        <f ca="1">C26</f>
        <v>2.3999999999999998E-3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2.3999999999999998E-3</v>
      </c>
      <c r="D26" s="238"/>
      <c r="E26" s="241"/>
      <c r="F26" s="239"/>
      <c r="G26" s="243"/>
    </row>
    <row r="27" spans="1:7" s="214" customFormat="1" ht="24.75">
      <c r="A27" s="255" t="s">
        <v>1512</v>
      </c>
      <c r="B27" s="244" t="s">
        <v>1513</v>
      </c>
      <c r="C27" s="245">
        <f ca="1">C28</f>
        <v>1</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284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253</v>
      </c>
      <c r="D34" s="217"/>
      <c r="E34" s="220"/>
      <c r="F34" s="257">
        <f ca="1">IF('数据-取费表'!B24=0,1,IF(B1="",'数据-取费表'!N16,INDIRECT("'数据-取费表'!n"&amp;$G$1)))</f>
        <v>1</v>
      </c>
      <c r="G34" s="219" t="s">
        <v>1526</v>
      </c>
    </row>
    <row r="35" spans="1:7" ht="13.5" customHeight="1">
      <c r="A35" s="780" t="s">
        <v>351</v>
      </c>
      <c r="B35" s="215" t="s">
        <v>1527</v>
      </c>
      <c r="C35" s="220">
        <f ca="1">ROUND(C34*F35,0)</f>
        <v>13</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14</v>
      </c>
      <c r="D37" s="217">
        <f ca="1">D19</f>
        <v>459.68</v>
      </c>
      <c r="E37" s="249">
        <f>'数据-取费表'!B35</f>
        <v>300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13</v>
      </c>
      <c r="D42" s="238"/>
      <c r="E42" s="238"/>
      <c r="F42" s="239"/>
      <c r="G42" s="3658" t="s">
        <v>1544</v>
      </c>
    </row>
    <row r="43" spans="1:7" ht="13.5" customHeight="1">
      <c r="A43" s="780" t="s">
        <v>347</v>
      </c>
      <c r="B43" s="215" t="s">
        <v>1545</v>
      </c>
      <c r="C43" s="238">
        <f ca="1">ROUND(IF('数据-取费表'!B22&lt;=1,C39*F22*'数据-取费表'!B21/2,C39*(POWER((1+F22),'数据-取费表'!B21/2)-1)),0)</f>
        <v>0</v>
      </c>
      <c r="D43" s="238"/>
      <c r="E43" s="238"/>
      <c r="F43" s="239"/>
      <c r="G43" s="3659"/>
    </row>
    <row r="44" spans="1:7" ht="13.5" customHeight="1">
      <c r="A44" s="780" t="s">
        <v>348</v>
      </c>
      <c r="B44" s="215" t="s">
        <v>1546</v>
      </c>
      <c r="C44" s="238">
        <f ca="1">ROUND(IF('数据-取费表'!B22&lt;=1,C40*F22*'数据-取费表'!B21/2,C40*(POWER((1+F22),'数据-取费表'!B21/2)-1)),4)</f>
        <v>2.3999999999999998E-3</v>
      </c>
      <c r="D44" s="238"/>
      <c r="E44" s="238"/>
      <c r="F44" s="239"/>
      <c r="G44" s="3660"/>
    </row>
    <row r="45" spans="1:7" s="214" customFormat="1" ht="13.5" customHeight="1">
      <c r="A45" s="255" t="s">
        <v>1547</v>
      </c>
      <c r="B45" s="244" t="s">
        <v>1513</v>
      </c>
      <c r="C45" s="245">
        <f ca="1">C46</f>
        <v>44</v>
      </c>
      <c r="D45" s="235">
        <f ca="1">C47</f>
        <v>7.4999999999999997E-3</v>
      </c>
      <c r="E45" s="236" t="s">
        <v>1539</v>
      </c>
      <c r="F45" s="246">
        <f ca="1">F27</f>
        <v>0.15</v>
      </c>
      <c r="G45" s="247" t="s">
        <v>1548</v>
      </c>
    </row>
    <row r="46" spans="1:7" s="214" customFormat="1" ht="13.5" customHeight="1">
      <c r="A46" s="780" t="s">
        <v>346</v>
      </c>
      <c r="B46" s="248" t="s">
        <v>1549</v>
      </c>
      <c r="C46" s="249">
        <f ca="1">ROUND((C33+C39)*F27,0)</f>
        <v>44</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395</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296</v>
      </c>
      <c r="D51" s="232"/>
      <c r="E51" s="232"/>
      <c r="F51" s="264"/>
      <c r="G51" s="234" t="s">
        <v>1560</v>
      </c>
    </row>
    <row r="52" spans="1:7" s="208" customFormat="1" ht="16.5" thickBot="1">
      <c r="A52" s="265" t="s">
        <v>1561</v>
      </c>
      <c r="B52" s="266"/>
      <c r="C52" s="267">
        <f ca="1">C31+C51</f>
        <v>306</v>
      </c>
      <c r="D52" s="266"/>
      <c r="E52" s="266"/>
      <c r="F52" s="266"/>
      <c r="G52" s="268"/>
    </row>
    <row r="55" spans="1:7" ht="15">
      <c r="B55" s="270" t="s">
        <v>1562</v>
      </c>
      <c r="C55" s="271"/>
    </row>
    <row r="56" spans="1:7">
      <c r="B56" s="273" t="s">
        <v>802</v>
      </c>
      <c r="C56" s="275">
        <f ca="1">1-C57</f>
        <v>3.3000000000000029E-2</v>
      </c>
    </row>
    <row r="57" spans="1:7">
      <c r="B57" s="273" t="s">
        <v>803</v>
      </c>
      <c r="C57" s="274">
        <f ca="1">ROUND(C51/C52,3)</f>
        <v>0.96699999999999997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1"/>
      <c r="F1" s="2801"/>
      <c r="G1" s="2666"/>
      <c r="H1" s="2801"/>
      <c r="I1" s="2801"/>
      <c r="J1" s="2801"/>
      <c r="K1" s="2802">
        <f>MATCH(C1,'数据-取费表'!A6:A16,0)+5</f>
        <v>7</v>
      </c>
    </row>
    <row r="2" spans="1:33" ht="18" customHeight="1">
      <c r="A2" s="201" t="s">
        <v>1462</v>
      </c>
      <c r="B2" s="204">
        <f ca="1">C32</f>
        <v>-10</v>
      </c>
      <c r="C2" s="276" t="s">
        <v>1595</v>
      </c>
      <c r="D2" s="276"/>
      <c r="E2" s="2801"/>
      <c r="F2" s="2801"/>
      <c r="G2" s="2801"/>
      <c r="H2" s="2801"/>
      <c r="I2" s="2801"/>
      <c r="J2" s="2801"/>
      <c r="K2" s="2801"/>
    </row>
    <row r="3" spans="1:33" ht="18" customHeight="1" thickBot="1">
      <c r="A3" s="203" t="s">
        <v>1464</v>
      </c>
      <c r="B3" s="204">
        <f ca="1">ROUND(B2*10000/IF(C1="",'数据-汇总表'!E3,INDIRECT("'数据-取费表'!K"&amp;$K$1)),0)</f>
        <v>-218</v>
      </c>
      <c r="C3" s="276" t="s">
        <v>1596</v>
      </c>
      <c r="D3" s="276"/>
      <c r="E3" s="2801"/>
      <c r="F3" s="2801"/>
      <c r="G3" s="2801"/>
      <c r="H3" s="2801"/>
      <c r="I3" s="2801"/>
      <c r="J3" s="2801"/>
      <c r="K3" s="2801"/>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459.68</v>
      </c>
      <c r="E14" s="21">
        <f>'数据-取费表'!B35</f>
        <v>300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459.68</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9</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8"/>
      <c r="I19" s="809"/>
      <c r="J19" s="809"/>
      <c r="K19" s="810"/>
    </row>
    <row r="20" spans="1:33" s="803" customFormat="1" ht="13.5" customHeight="1">
      <c r="A20" s="800" t="s">
        <v>361</v>
      </c>
      <c r="B20" s="801" t="s">
        <v>1627</v>
      </c>
      <c r="C20" s="21">
        <f ca="1">ROUND(D20*E20/10000,0)</f>
        <v>9</v>
      </c>
      <c r="D20" s="846">
        <f ca="1">IF(C1="",'数据-汇总表'!E6,IF(INDIRECT("'数据-取费表'!c"&amp;$K$1)="住宅",INDIRECT("'数据-取费表'!s"&amp;$K$1),INDIRECT("'数据-取费表'!k"&amp;$K$1)+INDIRECT("'数据-取费表'!s"&amp;$K$1)))</f>
        <v>459.68</v>
      </c>
      <c r="E20" s="21">
        <f>'数据-取费表'!B28</f>
        <v>200</v>
      </c>
      <c r="F20" s="804"/>
      <c r="G20" s="12"/>
      <c r="H20" s="809"/>
      <c r="I20" s="809"/>
      <c r="J20" s="809"/>
      <c r="K20" s="810"/>
    </row>
    <row r="21" spans="1:33" s="803" customFormat="1" ht="13.5" customHeight="1">
      <c r="A21" s="790" t="s">
        <v>357</v>
      </c>
      <c r="B21" s="813" t="s">
        <v>1628</v>
      </c>
      <c r="C21" s="814">
        <f ca="1">C16+C17+C18</f>
        <v>9</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0.05</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1"/>
      <c r="H2" s="2690"/>
      <c r="I2" s="2690"/>
      <c r="J2" s="2690"/>
      <c r="K2" s="2691"/>
      <c r="L2" s="2690"/>
      <c r="M2" s="2690"/>
    </row>
    <row r="3" spans="1:37" ht="18" customHeight="1" thickBot="1">
      <c r="A3" s="1389" t="s">
        <v>806</v>
      </c>
      <c r="B3" s="1390">
        <f ca="1">IF(ISERROR(B2*10000/F43),0,ROUND(B2*10000/F43,0))</f>
        <v>0</v>
      </c>
      <c r="C3" s="1386" t="s">
        <v>807</v>
      </c>
      <c r="D3" s="1386"/>
      <c r="E3" s="1387"/>
      <c r="F3" s="1388"/>
      <c r="G3" s="2701"/>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663" t="s">
        <v>694</v>
      </c>
      <c r="C6" s="1074">
        <f ca="1">ROUND(F6*F8*F7*(1-F9)/10000,0)</f>
        <v>0</v>
      </c>
      <c r="D6" s="155" t="s">
        <v>2109</v>
      </c>
      <c r="E6" s="302" t="s">
        <v>696</v>
      </c>
      <c r="F6" s="303">
        <f ca="1">INDIRECT("'数据-取费表'!u"&amp;$G$1)</f>
        <v>0</v>
      </c>
      <c r="G6" s="1383"/>
      <c r="H6" s="1069" t="s">
        <v>398</v>
      </c>
      <c r="I6" s="3663" t="s">
        <v>694</v>
      </c>
      <c r="J6" s="301">
        <f ca="1">ROUND(M6*M8*M7*(1-M9)/10000,0)</f>
        <v>0</v>
      </c>
      <c r="K6" s="155" t="s">
        <v>2108</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0</v>
      </c>
      <c r="G7" s="1383"/>
      <c r="H7" s="304"/>
      <c r="I7" s="3664"/>
      <c r="J7" s="306"/>
      <c r="K7" s="307"/>
      <c r="L7" s="302" t="s">
        <v>697</v>
      </c>
      <c r="M7" s="303">
        <f ca="1">F7</f>
        <v>0</v>
      </c>
    </row>
    <row r="8" spans="1:37" ht="18" customHeight="1">
      <c r="A8" s="304"/>
      <c r="B8" s="3664"/>
      <c r="C8" s="306"/>
      <c r="D8" s="307"/>
      <c r="E8" s="302" t="s">
        <v>698</v>
      </c>
      <c r="F8" s="303">
        <f ca="1">INDIRECT("'数据-取费表'!ai"&amp;$G$1)</f>
        <v>0</v>
      </c>
      <c r="G8" s="1383"/>
      <c r="H8" s="304"/>
      <c r="I8" s="3664"/>
      <c r="J8" s="306"/>
      <c r="K8" s="307"/>
      <c r="L8" s="302" t="s">
        <v>698</v>
      </c>
      <c r="M8" s="303">
        <f ca="1">INDIRECT("'数据-取费表'!ai"&amp;$G$1)</f>
        <v>0</v>
      </c>
    </row>
    <row r="9" spans="1:37" ht="18" customHeight="1">
      <c r="A9" s="304"/>
      <c r="B9" s="3665"/>
      <c r="C9" s="306"/>
      <c r="D9" s="307"/>
      <c r="E9" s="302" t="s">
        <v>699</v>
      </c>
      <c r="F9" s="312">
        <f ca="1">INDIRECT("'数据-取费表'!w"&amp;$G$1)</f>
        <v>0</v>
      </c>
      <c r="G9" s="1383"/>
      <c r="H9" s="304"/>
      <c r="I9" s="3665"/>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300</v>
      </c>
      <c r="G17" s="1395"/>
      <c r="H17" s="982" t="s">
        <v>398</v>
      </c>
      <c r="I17" s="302" t="s">
        <v>719</v>
      </c>
      <c r="J17" s="2312">
        <f ca="1">ROUND(IF(AND(项目基本情况!B11="自然人",项目基本情况!B10="北京市"),J6*M17/(1+'数据-取费表'!C42),J18+J19+J20),2)</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0.03</v>
      </c>
      <c r="G20" s="1395"/>
      <c r="H20" s="982"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ROUND(IF(AND(项目基本情况!B11="自然人",项目基本情况!B10="北京市"),C6*F31/(1+'数据-取费表'!C42),C32+C33+C34),2)</f>
        <v>0</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IF(项目基本情况!B11="自然人","——",ROUND(F34*F35/10000,2))</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ROUND(C29*F36,2)</f>
        <v>0</v>
      </c>
      <c r="D36" s="1343" t="s">
        <v>771</v>
      </c>
      <c r="E36" s="302" t="s">
        <v>712</v>
      </c>
      <c r="F36" s="328">
        <f ca="1">INDIRECT("'数据-取费表'!Ak"&amp;$G$1)</f>
        <v>0</v>
      </c>
      <c r="G36" s="1383"/>
      <c r="H36" s="2695"/>
      <c r="I36" s="1397"/>
      <c r="J36" s="1398"/>
      <c r="K36" s="2539"/>
      <c r="L36" s="2695"/>
      <c r="M36" s="2695"/>
    </row>
    <row r="37" spans="1:18" ht="18" customHeight="1">
      <c r="A37" s="982" t="s">
        <v>437</v>
      </c>
      <c r="B37" s="302" t="s">
        <v>742</v>
      </c>
      <c r="C37" s="21">
        <f ca="1">ROUND(C13*F37,2)</f>
        <v>0</v>
      </c>
      <c r="D37" s="1343" t="s">
        <v>743</v>
      </c>
      <c r="E37" s="302" t="s">
        <v>744</v>
      </c>
      <c r="F37" s="330">
        <f ca="1">INDIRECT("'数据-取费表'!Al"&amp;$G$1)</f>
        <v>0</v>
      </c>
      <c r="G37" s="1383"/>
      <c r="H37" s="2695"/>
      <c r="I37" s="1397"/>
      <c r="J37" s="1398"/>
      <c r="K37" s="2539"/>
      <c r="L37" s="2695"/>
      <c r="M37" s="2695"/>
    </row>
    <row r="38" spans="1:18" ht="18" customHeight="1" thickBot="1">
      <c r="A38" s="1089" t="s">
        <v>684</v>
      </c>
      <c r="B38" s="1090" t="s">
        <v>728</v>
      </c>
      <c r="C38" s="1091">
        <f ca="1">ROUND(C5*F38,2)</f>
        <v>0</v>
      </c>
      <c r="D38" s="1092" t="s">
        <v>748</v>
      </c>
      <c r="E38" s="1090" t="s">
        <v>744</v>
      </c>
      <c r="F38" s="1086">
        <f ca="1">INDIRECT("'数据-取费表'!Am"&amp;$G$1)</f>
        <v>0</v>
      </c>
      <c r="G38" s="1383"/>
      <c r="H38" s="2695"/>
      <c r="I38" s="1397"/>
      <c r="J38" s="1398"/>
      <c r="K38" s="2699"/>
      <c r="L38" s="2695"/>
      <c r="M38" s="2695"/>
    </row>
    <row r="39" spans="1:18" ht="24.6" customHeight="1" thickTop="1">
      <c r="A39" s="1079" t="s">
        <v>394</v>
      </c>
      <c r="B39" s="1094" t="s">
        <v>772</v>
      </c>
      <c r="C39" s="310">
        <f ca="1">C5-C30</f>
        <v>0</v>
      </c>
      <c r="D39" s="1095" t="s">
        <v>773</v>
      </c>
      <c r="E39" s="1096"/>
      <c r="F39" s="1097"/>
      <c r="G39" s="1383"/>
      <c r="H39" s="2695"/>
      <c r="I39" s="1397"/>
      <c r="J39" s="1398"/>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39"/>
      <c r="L41" s="1190"/>
      <c r="M41" s="1190"/>
    </row>
    <row r="42" spans="1:18" ht="18" customHeight="1">
      <c r="A42" s="308"/>
      <c r="B42" s="309"/>
      <c r="C42" s="310"/>
      <c r="D42" s="327"/>
      <c r="E42" s="302" t="s">
        <v>766</v>
      </c>
      <c r="F42" s="312">
        <f ca="1">INDIRECT("'数据-取费表'!v"&amp;$G$1)</f>
        <v>0</v>
      </c>
      <c r="G42" s="1383"/>
      <c r="H42" s="1190"/>
      <c r="I42" s="1397"/>
      <c r="J42" s="1398"/>
      <c r="K42" s="2539"/>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4">
        <f ca="1">IF(M47="住宅",IF(D1="——",MAX(J51,L48),MAX(J51,L48-'数据-取费表'!B24)),IF(D1="——",MIN(J51,L48),MIN(J51,L48-'数据-取费表'!B24)))</f>
        <v>0</v>
      </c>
      <c r="K53" s="3661" t="s">
        <v>837</v>
      </c>
      <c r="L53" s="3662"/>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92D050"/>
  </sheetPr>
  <dimension ref="A1:AK83"/>
  <sheetViews>
    <sheetView view="pageBreakPreview"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21</v>
      </c>
      <c r="D1" s="1361" t="s">
        <v>43</v>
      </c>
      <c r="E1" s="1362" t="s">
        <v>678</v>
      </c>
      <c r="F1" s="1062">
        <f ca="1">J53</f>
        <v>29.6</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0">
        <f ca="1">ROUND(D2/10000,4)</f>
        <v>1498.4185</v>
      </c>
      <c r="C2" s="1386" t="s">
        <v>879</v>
      </c>
      <c r="D2" s="1470">
        <f ca="1">C40+J29+L46</f>
        <v>14984185</v>
      </c>
      <c r="E2" s="1387" t="s">
        <v>880</v>
      </c>
      <c r="F2" s="1388"/>
      <c r="G2" s="2701"/>
      <c r="H2" s="2690"/>
      <c r="I2" s="2690"/>
      <c r="J2" s="2690"/>
      <c r="K2" s="2691"/>
      <c r="L2" s="2690"/>
      <c r="M2" s="2690"/>
    </row>
    <row r="3" spans="1:37" ht="18" customHeight="1" thickBot="1">
      <c r="A3" s="1389" t="s">
        <v>881</v>
      </c>
      <c r="B3" s="1390">
        <f ca="1">IF(ISERROR(D2/F43),0,ROUND(D2/F43,0))</f>
        <v>32597</v>
      </c>
      <c r="C3" s="1386" t="s">
        <v>882</v>
      </c>
      <c r="D3" s="1386"/>
      <c r="E3" s="1387"/>
      <c r="F3" s="1388"/>
      <c r="G3" s="2701"/>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816445</v>
      </c>
      <c r="D5" s="1363" t="s">
        <v>889</v>
      </c>
      <c r="E5" s="1071"/>
      <c r="F5" s="1072"/>
      <c r="G5" s="1383"/>
      <c r="H5" s="299">
        <v>1</v>
      </c>
      <c r="I5" s="300" t="s">
        <v>888</v>
      </c>
      <c r="J5" s="1070">
        <f ca="1">J6+J10+J12</f>
        <v>0</v>
      </c>
      <c r="K5" s="1363" t="s">
        <v>889</v>
      </c>
      <c r="L5" s="1071"/>
      <c r="M5" s="1072"/>
    </row>
    <row r="6" spans="1:37" ht="18" customHeight="1">
      <c r="A6" s="1069" t="s">
        <v>398</v>
      </c>
      <c r="B6" s="3663" t="s">
        <v>694</v>
      </c>
      <c r="C6" s="1074">
        <f ca="1">ROUND(F6*F8*F7*(1-F9),0)</f>
        <v>815426</v>
      </c>
      <c r="D6" s="155" t="s">
        <v>2106</v>
      </c>
      <c r="E6" s="302" t="s">
        <v>696</v>
      </c>
      <c r="F6" s="303">
        <f ca="1">INDIRECT("'数据-取费表'!u"&amp;$G$1)</f>
        <v>5.4</v>
      </c>
      <c r="G6" s="1383"/>
      <c r="H6" s="1069" t="s">
        <v>398</v>
      </c>
      <c r="I6" s="3663" t="s">
        <v>694</v>
      </c>
      <c r="J6" s="301">
        <f ca="1">ROUND(M6*M8*M7*(1-M9),0)</f>
        <v>0</v>
      </c>
      <c r="K6" s="1375" t="s">
        <v>2107</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459.68</v>
      </c>
      <c r="G7" s="1383"/>
      <c r="H7" s="304"/>
      <c r="I7" s="3664"/>
      <c r="J7" s="306"/>
      <c r="K7" s="307"/>
      <c r="L7" s="302" t="s">
        <v>697</v>
      </c>
      <c r="M7" s="303">
        <f ca="1">F7</f>
        <v>459.68</v>
      </c>
    </row>
    <row r="8" spans="1:37" ht="18" customHeight="1">
      <c r="A8" s="304"/>
      <c r="B8" s="3664"/>
      <c r="C8" s="306"/>
      <c r="D8" s="307"/>
      <c r="E8" s="302" t="s">
        <v>698</v>
      </c>
      <c r="F8" s="303">
        <f ca="1">INDIRECT("'数据-取费表'!ai"&amp;$G$1)</f>
        <v>365</v>
      </c>
      <c r="G8" s="1383"/>
      <c r="H8" s="304"/>
      <c r="I8" s="3664"/>
      <c r="J8" s="306"/>
      <c r="K8" s="307"/>
      <c r="L8" s="302" t="s">
        <v>698</v>
      </c>
      <c r="M8" s="303">
        <f ca="1">INDIRECT("'数据-取费表'!ai"&amp;$G$1)</f>
        <v>365</v>
      </c>
    </row>
    <row r="9" spans="1:37" ht="18" customHeight="1">
      <c r="A9" s="304"/>
      <c r="B9" s="3665"/>
      <c r="C9" s="306"/>
      <c r="D9" s="307"/>
      <c r="E9" s="302" t="s">
        <v>699</v>
      </c>
      <c r="F9" s="312">
        <f ca="1">INDIRECT("'数据-取费表'!w"&amp;$G$1)</f>
        <v>0.1</v>
      </c>
      <c r="G9" s="1383"/>
      <c r="H9" s="304"/>
      <c r="I9" s="3665"/>
      <c r="J9" s="306"/>
      <c r="K9" s="307"/>
      <c r="L9" s="313" t="s">
        <v>699</v>
      </c>
      <c r="M9" s="314">
        <f ca="1">INDIRECT("'数据-取费表'!ab"&amp;$G$1)</f>
        <v>0</v>
      </c>
    </row>
    <row r="10" spans="1:37" ht="18" customHeight="1">
      <c r="A10" s="1069" t="s">
        <v>402</v>
      </c>
      <c r="B10" s="1364" t="s">
        <v>700</v>
      </c>
      <c r="C10" s="316">
        <f ca="1">ROUND(IF(F10="押一",C6/12*F11,IF(F10="押二",C6/12*2*F11,IF(F10="押三",C6/12*3*F11,C11*F11))),0)</f>
        <v>1019</v>
      </c>
      <c r="D10" s="1365" t="s">
        <v>2116</v>
      </c>
      <c r="E10" s="313" t="s">
        <v>701</v>
      </c>
      <c r="F10" s="1116" t="s">
        <v>3390</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2952626</v>
      </c>
      <c r="D13" s="1081" t="s">
        <v>705</v>
      </c>
      <c r="E13" s="1081" t="s">
        <v>706</v>
      </c>
      <c r="F13" s="1082">
        <f ca="1">INDIRECT("'数据-取费表'!y"&amp;$G$1)</f>
        <v>0.75</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2528240</v>
      </c>
      <c r="D14" s="1344" t="s">
        <v>708</v>
      </c>
      <c r="E14" s="1341"/>
      <c r="F14" s="319"/>
      <c r="G14" s="1383"/>
      <c r="H14" s="982" t="s">
        <v>398</v>
      </c>
      <c r="I14" s="302" t="s">
        <v>709</v>
      </c>
      <c r="J14" s="21">
        <f ca="1">C29</f>
        <v>3936834</v>
      </c>
      <c r="K14" s="12"/>
      <c r="L14" s="807"/>
      <c r="M14" s="808"/>
    </row>
    <row r="15" spans="1:37" s="1396" customFormat="1" ht="18" customHeight="1" thickBot="1">
      <c r="A15" s="982" t="s">
        <v>399</v>
      </c>
      <c r="B15" s="302" t="s">
        <v>710</v>
      </c>
      <c r="C15" s="21">
        <f ca="1">ROUND(C14*F15,0)</f>
        <v>126412</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59053</v>
      </c>
      <c r="K16" s="1087" t="s">
        <v>715</v>
      </c>
      <c r="L16" s="1088"/>
      <c r="M16" s="1072"/>
    </row>
    <row r="17" spans="1:37" s="1396" customFormat="1" ht="18" customHeight="1">
      <c r="A17" s="982" t="s">
        <v>681</v>
      </c>
      <c r="B17" s="302" t="s">
        <v>716</v>
      </c>
      <c r="C17" s="21">
        <f ca="1">ROUND(F17*(F43+INDIRECT("'数据-取费表'!S"&amp;$G$1)),0)</f>
        <v>137904</v>
      </c>
      <c r="D17" s="302" t="s">
        <v>717</v>
      </c>
      <c r="E17" s="302" t="s">
        <v>718</v>
      </c>
      <c r="F17" s="23">
        <f>'数据-取费表'!B35</f>
        <v>300</v>
      </c>
      <c r="G17" s="1395"/>
      <c r="H17" s="982" t="s">
        <v>398</v>
      </c>
      <c r="I17" s="302" t="s">
        <v>719</v>
      </c>
      <c r="J17" s="2312">
        <f ca="1">ROUND(IF(AND(项目基本情况!B11="自然人",项目基本情况!B10="北京市"),J6*M17/(1+'数据-取费表'!C42),J18+J19+J20),0)</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37924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2830480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84914</v>
      </c>
      <c r="D20" s="323" t="s">
        <v>729</v>
      </c>
      <c r="E20" s="302" t="s">
        <v>712</v>
      </c>
      <c r="F20" s="322">
        <f>'数据-取费表'!B37</f>
        <v>0.03</v>
      </c>
      <c r="G20" s="1395"/>
      <c r="H20" s="982"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59053</v>
      </c>
      <c r="K22" s="1343" t="s">
        <v>739</v>
      </c>
      <c r="L22" s="302" t="s">
        <v>712</v>
      </c>
      <c r="M22" s="328">
        <f ca="1">INDIRECT("'数据-取费表'!Ak"&amp;$G$1)</f>
        <v>1.4999999999999999E-2</v>
      </c>
    </row>
    <row r="23" spans="1:37" s="1396" customFormat="1" ht="18" customHeight="1">
      <c r="A23" s="982" t="s">
        <v>397</v>
      </c>
      <c r="B23" s="302" t="s">
        <v>740</v>
      </c>
      <c r="C23" s="21">
        <f ca="1">IF('数据-取费表'!B22&lt;=1,ROUND(C19*F24*F23/2,0)+ROUND(C20*F24*F23/2,0),ROUND(C19*(POWER((1+F24),F23/2)-1),0)+ROUND(C20*(POWER((1+F24),F23/2)-1),0))</f>
        <v>138481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-59053</v>
      </c>
      <c r="K25" s="1095" t="s">
        <v>753</v>
      </c>
      <c r="L25" s="1096"/>
      <c r="M25" s="1097"/>
    </row>
    <row r="26" spans="1:37" ht="18" customHeight="1">
      <c r="A26" s="982" t="s">
        <v>397</v>
      </c>
      <c r="B26" s="302" t="s">
        <v>754</v>
      </c>
      <c r="C26" s="21">
        <f ca="1">ROUND((C19+C20)*F26,0)</f>
        <v>437309</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7.4999999999999997E-3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3936834</v>
      </c>
      <c r="D29" s="1092"/>
      <c r="E29" s="1090"/>
      <c r="F29" s="1093"/>
      <c r="G29" s="1395"/>
      <c r="H29" s="334" t="s">
        <v>396</v>
      </c>
      <c r="I29" s="335" t="s">
        <v>768</v>
      </c>
      <c r="J29" s="336">
        <f ca="1">ROUND(J26/(1+F40)^F41,0)</f>
        <v>0</v>
      </c>
      <c r="K29" s="337" t="s">
        <v>769</v>
      </c>
      <c r="L29" s="338"/>
      <c r="M29" s="339">
        <f ca="1">INDIRECT("'数据-取费表'!k"&amp;$G$1)</f>
        <v>459.68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126008</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ROUND(IF(AND(项目基本情况!B11="自然人",项目基本情况!B10="北京市"),C6*F31/(1+'数据-取费表'!C42),C32+C33+C34),0)</f>
        <v>54362</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IF(项目基本情况!B11="自然人","——",ROUND(F34*F35,0))</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ROUND(C29*F36,0)</f>
        <v>59053</v>
      </c>
      <c r="D36" s="1343" t="s">
        <v>771</v>
      </c>
      <c r="E36" s="302" t="s">
        <v>712</v>
      </c>
      <c r="F36" s="328">
        <f ca="1">INDIRECT("'数据-取费表'!Ak"&amp;$G$1)</f>
        <v>1.4999999999999999E-2</v>
      </c>
      <c r="G36" s="1383"/>
      <c r="H36" s="2695"/>
      <c r="I36" s="1397"/>
      <c r="J36" s="1398"/>
      <c r="K36" s="2539"/>
      <c r="L36" s="2695"/>
      <c r="M36" s="2695"/>
    </row>
    <row r="37" spans="1:18" ht="18" customHeight="1">
      <c r="A37" s="982" t="s">
        <v>437</v>
      </c>
      <c r="B37" s="302" t="s">
        <v>742</v>
      </c>
      <c r="C37" s="21">
        <f ca="1">ROUND(C13*F37,0)</f>
        <v>4429</v>
      </c>
      <c r="D37" s="1343" t="s">
        <v>743</v>
      </c>
      <c r="E37" s="302" t="s">
        <v>744</v>
      </c>
      <c r="F37" s="330">
        <f ca="1">INDIRECT("'数据-取费表'!Al"&amp;$G$1)</f>
        <v>1.5E-3</v>
      </c>
      <c r="G37" s="1383"/>
      <c r="H37" s="2695"/>
      <c r="I37" s="1397"/>
      <c r="J37" s="1398"/>
      <c r="K37" s="2539"/>
      <c r="L37" s="2695"/>
      <c r="M37" s="2695"/>
    </row>
    <row r="38" spans="1:18" ht="18" customHeight="1" thickBot="1">
      <c r="A38" s="1089" t="s">
        <v>684</v>
      </c>
      <c r="B38" s="1090" t="s">
        <v>728</v>
      </c>
      <c r="C38" s="1091">
        <f ca="1">ROUND(C5*F38,0)</f>
        <v>8164</v>
      </c>
      <c r="D38" s="1092" t="s">
        <v>748</v>
      </c>
      <c r="E38" s="1090" t="s">
        <v>744</v>
      </c>
      <c r="F38" s="1086">
        <f ca="1">INDIRECT("'数据-取费表'!Am"&amp;$G$1)</f>
        <v>0.01</v>
      </c>
      <c r="G38" s="1383"/>
      <c r="H38" s="2695"/>
      <c r="I38" s="1397"/>
      <c r="J38" s="1398"/>
      <c r="K38" s="2699"/>
      <c r="L38" s="2695"/>
      <c r="M38" s="2695"/>
    </row>
    <row r="39" spans="1:18" ht="24.6" customHeight="1" thickTop="1">
      <c r="A39" s="1079" t="s">
        <v>394</v>
      </c>
      <c r="B39" s="1094" t="s">
        <v>772</v>
      </c>
      <c r="C39" s="310">
        <f ca="1">C5-C30</f>
        <v>690437</v>
      </c>
      <c r="D39" s="1095" t="s">
        <v>773</v>
      </c>
      <c r="E39" s="1096"/>
      <c r="F39" s="1097"/>
      <c r="G39" s="1383"/>
      <c r="H39" s="2695"/>
      <c r="I39" s="1397"/>
      <c r="J39" s="1398"/>
      <c r="K39" s="2699"/>
      <c r="L39" s="2695"/>
      <c r="M39" s="2695"/>
    </row>
    <row r="40" spans="1:18" ht="18" customHeight="1">
      <c r="A40" s="299" t="s">
        <v>395</v>
      </c>
      <c r="B40" s="300" t="s">
        <v>774</v>
      </c>
      <c r="C40" s="301">
        <f ca="1">ROUND(C39*(1-((1+F42)/(1+F40))^F41)/(F40-F42),0)</f>
        <v>14984185</v>
      </c>
      <c r="D40" s="324" t="s">
        <v>758</v>
      </c>
      <c r="E40" s="302" t="s">
        <v>759</v>
      </c>
      <c r="F40" s="312">
        <f ca="1">INDIRECT("'数据-取费表'!I"&amp;$G$1)</f>
        <v>0.05</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29.6</v>
      </c>
      <c r="G41" s="1383"/>
      <c r="H41" s="1190"/>
      <c r="I41" s="1397"/>
      <c r="J41" s="1398"/>
      <c r="K41" s="2539"/>
      <c r="L41" s="1190"/>
      <c r="M41" s="1190"/>
    </row>
    <row r="42" spans="1:18" ht="18" customHeight="1">
      <c r="A42" s="308"/>
      <c r="B42" s="309"/>
      <c r="C42" s="310"/>
      <c r="D42" s="327"/>
      <c r="E42" s="302" t="s">
        <v>766</v>
      </c>
      <c r="F42" s="312">
        <f ca="1">INDIRECT("'数据-取费表'!v"&amp;$G$1)</f>
        <v>0.03</v>
      </c>
      <c r="G42" s="1383"/>
      <c r="H42" s="1190"/>
      <c r="I42" s="1397"/>
      <c r="J42" s="1398"/>
      <c r="K42" s="2539"/>
      <c r="L42" s="1190"/>
      <c r="M42" s="1190"/>
    </row>
    <row r="43" spans="1:18" ht="18" customHeight="1" thickBot="1">
      <c r="A43" s="334" t="s">
        <v>396</v>
      </c>
      <c r="B43" s="335" t="s">
        <v>776</v>
      </c>
      <c r="C43" s="336">
        <f ca="1">ROUND(C40/F43,0)</f>
        <v>32597</v>
      </c>
      <c r="D43" s="337" t="s">
        <v>777</v>
      </c>
      <c r="E43" s="338" t="s">
        <v>778</v>
      </c>
      <c r="F43" s="339">
        <f ca="1">INDIRECT("'数据-取费表'!k"&amp;$G$1)</f>
        <v>459.68</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3357</v>
      </c>
      <c r="B45" s="1399"/>
      <c r="C45" s="1471">
        <f ca="1">ROUND((C68-C40)/10000,4)</f>
        <v>-1595.4268999999999</v>
      </c>
      <c r="D45" s="3427" t="s">
        <v>3358</v>
      </c>
      <c r="E45" s="1399"/>
      <c r="F45" s="1399"/>
      <c r="O45" s="1402" t="s">
        <v>808</v>
      </c>
      <c r="P45" s="1460"/>
      <c r="Q45" s="1460"/>
      <c r="R45" s="1460"/>
    </row>
    <row r="46" spans="1:18" s="1383" customFormat="1" ht="13.5" thickBot="1">
      <c r="A46" s="1403" t="s">
        <v>809</v>
      </c>
      <c r="C46" s="1404">
        <f ca="1">ROUND(C45,0)</f>
        <v>-1595</v>
      </c>
      <c r="D46" s="1405" t="str">
        <f>C2</f>
        <v>万元</v>
      </c>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t="s">
        <v>3391</v>
      </c>
      <c r="K47" s="1415" t="s">
        <v>816</v>
      </c>
      <c r="L47" s="1416">
        <f ca="1">INDIRECT("'数据-取费表'!d"&amp;$G$1)</f>
        <v>50</v>
      </c>
      <c r="M47" s="1379" t="str">
        <f>IF(ISNUMBER(FIND("住宅",C1)),"住宅","非住宅")</f>
        <v>非住宅</v>
      </c>
      <c r="O47" s="1417" t="s">
        <v>403</v>
      </c>
      <c r="P47" s="1418" t="s">
        <v>817</v>
      </c>
      <c r="Q47" s="1419">
        <f ca="1">C40+J29</f>
        <v>14984185</v>
      </c>
      <c r="R47" s="1419" t="s">
        <v>818</v>
      </c>
    </row>
    <row r="48" spans="1:18" s="1383" customFormat="1" ht="28.5" thickBot="1">
      <c r="A48" s="1110" t="s">
        <v>438</v>
      </c>
      <c r="B48" s="300" t="s">
        <v>692</v>
      </c>
      <c r="C48" s="1358">
        <f ca="1">C49+C53+C55</f>
        <v>0</v>
      </c>
      <c r="D48" s="1112"/>
      <c r="E48" s="1113"/>
      <c r="F48" s="962"/>
      <c r="G48" s="722"/>
      <c r="H48" s="723"/>
      <c r="I48" s="1420" t="s">
        <v>819</v>
      </c>
      <c r="J48" s="1421" t="s">
        <v>3392</v>
      </c>
      <c r="K48" s="1422" t="s">
        <v>820</v>
      </c>
      <c r="L48" s="1423">
        <f ca="1">INDIRECT("'数据-取费表'!f"&amp;$G$1)</f>
        <v>29.6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v>2003</v>
      </c>
      <c r="K49" s="1422" t="s">
        <v>824</v>
      </c>
      <c r="L49" s="1426"/>
      <c r="O49" s="1427" t="s">
        <v>405</v>
      </c>
      <c r="P49" s="1418" t="s">
        <v>825</v>
      </c>
      <c r="Q49" s="1419">
        <f ca="1">C29</f>
        <v>3936834</v>
      </c>
      <c r="R49" s="1419" t="s">
        <v>818</v>
      </c>
    </row>
    <row r="50" spans="1:18" s="1383" customFormat="1" ht="13.5" thickBot="1">
      <c r="A50" s="976"/>
      <c r="B50" s="979"/>
      <c r="C50" s="980"/>
      <c r="D50" s="953"/>
      <c r="E50" s="1056" t="s">
        <v>697</v>
      </c>
      <c r="F50" s="1057">
        <f ca="1">F7</f>
        <v>459.68</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41</v>
      </c>
      <c r="K51" s="1433" t="s">
        <v>830</v>
      </c>
      <c r="L51" s="1434">
        <f ca="1">ROUND(-PV(INDIRECT("'数据-取费表'!h"&amp;$G$1),J51,(C39-C13*C76),0),0)</f>
        <v>9803696</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29.6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4">
        <f ca="1">IF(M47="住宅",IF(D1="——",MAX(J51,L48),MAX(J51,L48-'数据-取费表'!B24)),IF(D1="——",MIN(J51,L48),MIN(J51,L48-'数据-取费表'!B24)))</f>
        <v>29.6</v>
      </c>
      <c r="K53" s="3661" t="s">
        <v>837</v>
      </c>
      <c r="L53" s="3662"/>
      <c r="O53" s="1417" t="s">
        <v>409</v>
      </c>
      <c r="P53" s="1418" t="s">
        <v>838</v>
      </c>
      <c r="Q53" s="1419">
        <f ca="1">Q47+Q48</f>
        <v>14984185</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2952626</v>
      </c>
      <c r="D56" s="1446"/>
      <c r="E56" s="1447"/>
      <c r="F56" s="1439"/>
      <c r="I56" s="1448" t="s">
        <v>842</v>
      </c>
      <c r="J56" s="1449" t="s">
        <v>3387</v>
      </c>
      <c r="K56" s="1420" t="s">
        <v>843</v>
      </c>
      <c r="L56" s="1423" t="str">
        <f ca="1">IF(L48&lt;J51,"——",L48-J51)</f>
        <v>——</v>
      </c>
      <c r="O56" s="1417" t="s">
        <v>403</v>
      </c>
      <c r="P56" s="1418" t="s">
        <v>817</v>
      </c>
      <c r="Q56" s="1419">
        <f ca="1">C40+J29</f>
        <v>14984185</v>
      </c>
      <c r="R56" s="1419" t="s">
        <v>818</v>
      </c>
    </row>
    <row r="57" spans="1:18" s="1383" customFormat="1" ht="24.75" thickBot="1">
      <c r="A57" s="1450"/>
      <c r="B57" s="950" t="s">
        <v>767</v>
      </c>
      <c r="C57" s="238">
        <f ca="1">C29</f>
        <v>3936834</v>
      </c>
      <c r="D57" s="1451"/>
      <c r="E57" s="1452"/>
      <c r="F57" s="1453"/>
      <c r="I57" s="1454" t="s">
        <v>844</v>
      </c>
      <c r="J57" s="1455" t="str">
        <f ca="1">IF(OR(M47="住宅",J51&lt;L48,J56="是"),"——",J51-L48)</f>
        <v>——</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8" t="s">
        <v>714</v>
      </c>
      <c r="C58" s="316">
        <f ca="1">ROUND(C59+C64+C65+C66,0)</f>
        <v>63482</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0</v>
      </c>
      <c r="I62" s="1461" t="s">
        <v>858</v>
      </c>
      <c r="J62" s="1462" t="s">
        <v>859</v>
      </c>
      <c r="K62" s="1462" t="s">
        <v>860</v>
      </c>
      <c r="L62" s="1462" t="s">
        <v>861</v>
      </c>
      <c r="M62" s="1463" t="s">
        <v>862</v>
      </c>
      <c r="O62" s="1417" t="s">
        <v>409</v>
      </c>
      <c r="P62" s="1418" t="s">
        <v>863</v>
      </c>
      <c r="Q62" s="1419">
        <f ca="1">Q56+Q57</f>
        <v>14984185</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59053</v>
      </c>
      <c r="D64" s="964" t="s">
        <v>791</v>
      </c>
      <c r="E64" s="950" t="s">
        <v>783</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4429</v>
      </c>
      <c r="D65" s="964" t="s">
        <v>743</v>
      </c>
      <c r="E65" s="950" t="s">
        <v>744</v>
      </c>
      <c r="F65" s="330">
        <f t="shared" ca="1" si="0"/>
        <v>1.5E-3</v>
      </c>
      <c r="I65" s="1461" t="s">
        <v>867</v>
      </c>
      <c r="J65" s="1462">
        <v>40</v>
      </c>
      <c r="K65" s="1462">
        <v>30</v>
      </c>
      <c r="L65" s="1462">
        <v>50</v>
      </c>
      <c r="M65" s="1464">
        <v>0.02</v>
      </c>
      <c r="O65" s="1417" t="s">
        <v>403</v>
      </c>
      <c r="P65" s="1418" t="s">
        <v>868</v>
      </c>
      <c r="Q65" s="1419">
        <f ca="1">C40+J29</f>
        <v>14984185</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-63482</v>
      </c>
      <c r="D67" s="963" t="s">
        <v>753</v>
      </c>
      <c r="E67" s="968"/>
      <c r="F67" s="969"/>
      <c r="O67" s="1427" t="s">
        <v>405</v>
      </c>
      <c r="P67" s="1418" t="s">
        <v>850</v>
      </c>
      <c r="Q67" s="1465">
        <f ca="1">L51</f>
        <v>9803696</v>
      </c>
      <c r="R67" s="1419" t="s">
        <v>870</v>
      </c>
    </row>
    <row r="68" spans="1:18" s="1383" customFormat="1" ht="16.5" thickBot="1">
      <c r="A68" s="947" t="s">
        <v>395</v>
      </c>
      <c r="B68" s="948" t="s">
        <v>774</v>
      </c>
      <c r="C68" s="301">
        <f ca="1">ROUND(C67*(1-((1+F70)/(1+F68))^F69)/(F68-F70),0)</f>
        <v>-970084</v>
      </c>
      <c r="D68" s="965" t="s">
        <v>758</v>
      </c>
      <c r="E68" s="950" t="s">
        <v>759</v>
      </c>
      <c r="F68" s="312">
        <f ca="1">F40</f>
        <v>0.05</v>
      </c>
      <c r="O68" s="1427" t="s">
        <v>406</v>
      </c>
      <c r="P68" s="1466" t="s">
        <v>871</v>
      </c>
      <c r="Q68" s="1419">
        <f ca="1">ROUND(Q69-Q70*Q71,0)</f>
        <v>528043</v>
      </c>
      <c r="R68" s="1419" t="s">
        <v>414</v>
      </c>
    </row>
    <row r="69" spans="1:18" s="1383" customFormat="1" ht="13.5" thickBot="1">
      <c r="A69" s="951"/>
      <c r="B69" s="952"/>
      <c r="C69" s="306"/>
      <c r="D69" s="970" t="s">
        <v>762</v>
      </c>
      <c r="E69" s="950" t="s">
        <v>763</v>
      </c>
      <c r="F69" s="333">
        <f ca="1">F41</f>
        <v>29.6</v>
      </c>
      <c r="O69" s="1427" t="s">
        <v>411</v>
      </c>
      <c r="P69" s="1466" t="s">
        <v>872</v>
      </c>
      <c r="Q69" s="1419">
        <f ca="1">C39</f>
        <v>690437</v>
      </c>
      <c r="R69" s="1419" t="s">
        <v>818</v>
      </c>
    </row>
    <row r="70" spans="1:18" s="1383" customFormat="1" ht="13.5" thickBot="1">
      <c r="A70" s="954"/>
      <c r="B70" s="955"/>
      <c r="C70" s="310"/>
      <c r="D70" s="966"/>
      <c r="E70" s="950" t="s">
        <v>766</v>
      </c>
      <c r="F70" s="1054"/>
      <c r="O70" s="1427" t="s">
        <v>412</v>
      </c>
      <c r="P70" s="1466" t="s">
        <v>873</v>
      </c>
      <c r="Q70" s="1419">
        <f ca="1">C13</f>
        <v>2952626</v>
      </c>
      <c r="R70" s="1419" t="s">
        <v>818</v>
      </c>
    </row>
    <row r="71" spans="1:18" s="1383" customFormat="1" ht="13.5" thickBot="1">
      <c r="A71" s="971" t="s">
        <v>396</v>
      </c>
      <c r="B71" s="972" t="s">
        <v>776</v>
      </c>
      <c r="C71" s="336">
        <f ca="1">ROUND(C68/F71,0)</f>
        <v>-2110</v>
      </c>
      <c r="D71" s="973" t="s">
        <v>777</v>
      </c>
      <c r="E71" s="974" t="s">
        <v>778</v>
      </c>
      <c r="F71" s="339">
        <f ca="1">F43</f>
        <v>459.68</v>
      </c>
      <c r="O71" s="1427" t="s">
        <v>413</v>
      </c>
      <c r="P71" s="1466" t="s">
        <v>874</v>
      </c>
      <c r="Q71" s="1430">
        <f ca="1">C76</f>
        <v>5.5E-2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162394</v>
      </c>
      <c r="D75" s="1383"/>
      <c r="E75" s="1383"/>
      <c r="F75" s="1383"/>
      <c r="K75" s="1401"/>
      <c r="L75" s="1383"/>
      <c r="O75" s="1417" t="s">
        <v>409</v>
      </c>
      <c r="P75" s="1418" t="s">
        <v>838</v>
      </c>
      <c r="Q75" s="1419">
        <f ca="1">Q65+Q66</f>
        <v>14984185</v>
      </c>
      <c r="R75" s="1419" t="s">
        <v>410</v>
      </c>
    </row>
    <row r="76" spans="1:18">
      <c r="B76" s="342" t="s">
        <v>796</v>
      </c>
      <c r="C76" s="343">
        <f ca="1">INDIRECT("'数据-取费表'!j"&amp;$G$1)</f>
        <v>5.5E-2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0.76500000000000001</v>
      </c>
    </row>
    <row r="80" spans="1:18">
      <c r="B80" s="340" t="s">
        <v>800</v>
      </c>
      <c r="C80" s="274">
        <f ca="1">ROUND(C75/C39,3)</f>
        <v>0.23499999999999999</v>
      </c>
    </row>
    <row r="81" spans="2:3">
      <c r="B81" s="270" t="s">
        <v>801</v>
      </c>
      <c r="C81" s="238"/>
    </row>
    <row r="82" spans="2:3">
      <c r="B82" s="273" t="s">
        <v>802</v>
      </c>
      <c r="C82" s="275">
        <f ca="1">1-C83</f>
        <v>0.80299999999999994</v>
      </c>
    </row>
    <row r="83" spans="2:3">
      <c r="B83" s="273" t="s">
        <v>803</v>
      </c>
      <c r="C83" s="274">
        <f ca="1">ROUND(C13/C40,3)</f>
        <v>0.19700000000000001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2436</v>
      </c>
      <c r="B1" s="2827"/>
      <c r="C1" s="2839"/>
      <c r="D1" s="2839"/>
      <c r="E1" s="2828"/>
      <c r="F1" s="2829"/>
      <c r="G1" s="2830"/>
      <c r="J1" s="2833" t="s">
        <v>2315</v>
      </c>
      <c r="K1" s="2834"/>
      <c r="L1" s="2834"/>
      <c r="M1" s="2834"/>
      <c r="N1" s="2834"/>
      <c r="O1" s="2834"/>
      <c r="P1" s="2834"/>
      <c r="Q1" s="2834"/>
      <c r="R1" s="2835"/>
      <c r="S1" s="2836"/>
      <c r="T1" s="2836"/>
      <c r="U1" s="2836"/>
    </row>
    <row r="2" spans="1:22" s="2848" customFormat="1" ht="13.15" customHeight="1">
      <c r="A2" s="1384" t="s">
        <v>2316</v>
      </c>
      <c r="B2" s="2838" t="e">
        <f>IF(D2="——",C40,C40+E2)</f>
        <v>#DIV/0!</v>
      </c>
      <c r="C2" s="2839" t="s">
        <v>2317</v>
      </c>
      <c r="D2" s="3438" t="s">
        <v>3364</v>
      </c>
      <c r="E2" s="3439"/>
      <c r="F2" s="2841"/>
      <c r="G2" s="2842"/>
      <c r="H2" s="2843"/>
      <c r="I2" s="2844"/>
      <c r="J2" s="3666" t="s">
        <v>2318</v>
      </c>
      <c r="K2" s="3667"/>
      <c r="L2" s="2845" t="s">
        <v>2319</v>
      </c>
      <c r="M2" s="2845" t="s">
        <v>2320</v>
      </c>
      <c r="N2" s="2845" t="s">
        <v>2321</v>
      </c>
      <c r="O2" s="2845" t="s">
        <v>2322</v>
      </c>
      <c r="P2" s="2845" t="s">
        <v>2323</v>
      </c>
      <c r="Q2" s="2846" t="s">
        <v>2324</v>
      </c>
      <c r="R2" s="2847" t="s">
        <v>2325</v>
      </c>
      <c r="S2" s="2836"/>
      <c r="T2" s="2836"/>
      <c r="U2" s="2836"/>
      <c r="V2" s="2844"/>
    </row>
    <row r="3" spans="1:22" s="2848" customFormat="1" ht="13.15" customHeight="1">
      <c r="A3" s="2849" t="s">
        <v>2326</v>
      </c>
      <c r="B3" s="2850" t="e">
        <f>ROUND(B2*10000/B4,0)</f>
        <v>#DIV/0!</v>
      </c>
      <c r="C3" s="2839" t="s">
        <v>2327</v>
      </c>
      <c r="D3" s="2839"/>
      <c r="E3" s="2840"/>
      <c r="F3" s="2841"/>
      <c r="G3" s="2842"/>
      <c r="H3" s="2843"/>
      <c r="I3" s="2844"/>
      <c r="J3" s="3668" t="s">
        <v>2328</v>
      </c>
      <c r="K3" s="3669"/>
      <c r="L3" s="2851"/>
      <c r="M3" s="2851"/>
      <c r="N3" s="2851"/>
      <c r="O3" s="2851"/>
      <c r="P3" s="2851"/>
      <c r="Q3" s="2852"/>
      <c r="R3" s="2853">
        <f>SUM(L3:Q3)</f>
        <v>0</v>
      </c>
      <c r="S3" s="2836"/>
      <c r="T3" s="2836"/>
      <c r="U3" s="2836"/>
      <c r="V3" s="2844"/>
    </row>
    <row r="4" spans="1:22" s="2848" customFormat="1" ht="13.15" customHeight="1">
      <c r="A4" s="2854" t="s">
        <v>2329</v>
      </c>
      <c r="B4" s="2855"/>
      <c r="C4" s="2839"/>
      <c r="D4" s="2839"/>
      <c r="E4" s="2840"/>
      <c r="F4" s="2841"/>
      <c r="G4" s="2842"/>
      <c r="H4" s="2843"/>
      <c r="I4" s="2844"/>
      <c r="J4" s="3668" t="s">
        <v>2330</v>
      </c>
      <c r="K4" s="3669"/>
      <c r="L4" s="2856"/>
      <c r="M4" s="2856"/>
      <c r="N4" s="2856"/>
      <c r="O4" s="2856"/>
      <c r="P4" s="2856"/>
      <c r="Q4" s="2857"/>
      <c r="R4" s="2858">
        <f>SUM(L4:Q4)</f>
        <v>0</v>
      </c>
      <c r="S4" s="2836"/>
      <c r="T4" s="2836"/>
      <c r="U4" s="2836"/>
      <c r="V4" s="2844"/>
    </row>
    <row r="5" spans="1:22" s="2848" customFormat="1" ht="13.15" customHeight="1" thickBot="1">
      <c r="A5" s="2859" t="s">
        <v>2331</v>
      </c>
      <c r="B5" s="2860"/>
      <c r="C5" s="2839"/>
      <c r="D5" s="2861"/>
      <c r="E5" s="2841"/>
      <c r="F5" s="2841"/>
      <c r="G5" s="2842"/>
      <c r="H5" s="2843"/>
      <c r="I5" s="2844"/>
      <c r="J5" s="2862" t="s">
        <v>2332</v>
      </c>
      <c r="K5" s="2863"/>
      <c r="L5" s="2863"/>
      <c r="M5" s="2864"/>
      <c r="N5" s="2864"/>
      <c r="O5" s="2864"/>
      <c r="P5" s="2864"/>
      <c r="Q5" s="2864"/>
      <c r="R5" s="2847">
        <f>SUM(R14,R19,R24,R25,R27,R28)</f>
        <v>0</v>
      </c>
      <c r="S5" s="2836"/>
      <c r="T5" s="2836" t="s">
        <v>2333</v>
      </c>
      <c r="U5" s="2836" t="e">
        <f>ROUND(R5*10000/365/R3,1)</f>
        <v>#DIV/0!</v>
      </c>
      <c r="V5" s="2844"/>
    </row>
    <row r="6" spans="1:22" s="2848" customFormat="1" ht="13.15" customHeight="1" thickBot="1">
      <c r="A6" s="3670" t="s">
        <v>2334</v>
      </c>
      <c r="B6" s="3671"/>
      <c r="C6" s="3672"/>
      <c r="D6" s="2865"/>
      <c r="E6" s="2866"/>
      <c r="F6" s="2867"/>
      <c r="G6" s="2868"/>
      <c r="H6" s="2843"/>
      <c r="I6" s="2844"/>
      <c r="J6" s="3673">
        <v>1</v>
      </c>
      <c r="K6" s="3674" t="s">
        <v>2335</v>
      </c>
      <c r="L6" s="2869" t="s">
        <v>2336</v>
      </c>
      <c r="M6" s="2870" t="s">
        <v>2337</v>
      </c>
      <c r="N6" s="2870" t="s">
        <v>2338</v>
      </c>
      <c r="O6" s="2870" t="s">
        <v>2339</v>
      </c>
      <c r="P6" s="2870" t="s">
        <v>2340</v>
      </c>
      <c r="Q6" s="2870" t="s">
        <v>2341</v>
      </c>
      <c r="R6" s="2853" t="s">
        <v>2342</v>
      </c>
      <c r="S6" s="2836"/>
      <c r="T6" s="2836" t="s">
        <v>2343</v>
      </c>
      <c r="U6" s="2836"/>
      <c r="V6" s="2844"/>
    </row>
    <row r="7" spans="1:22" s="2848" customFormat="1" ht="13.15" customHeight="1">
      <c r="A7" s="2871" t="s">
        <v>2344</v>
      </c>
      <c r="B7" s="2872"/>
      <c r="C7" s="2873"/>
      <c r="D7" s="2874">
        <f>SUM(D9,D10,D11,D17,0)</f>
        <v>0</v>
      </c>
      <c r="E7" s="2875" t="e">
        <f>E9+E10+E11+E17</f>
        <v>#DIV/0!</v>
      </c>
      <c r="F7" s="2876"/>
      <c r="G7" s="2877"/>
      <c r="H7" s="2843"/>
      <c r="I7" s="2844"/>
      <c r="J7" s="3673"/>
      <c r="K7" s="3675"/>
      <c r="L7" s="2878" t="s">
        <v>2345</v>
      </c>
      <c r="M7" s="2879"/>
      <c r="N7" s="2855"/>
      <c r="O7" s="2880"/>
      <c r="P7" s="2880"/>
      <c r="Q7" s="2881">
        <v>365</v>
      </c>
      <c r="R7" s="2882">
        <f>ROUND(M7*N7*O7*P7*Q7/10000,0)</f>
        <v>0</v>
      </c>
      <c r="S7" s="2836"/>
      <c r="T7" s="2836" t="s">
        <v>2346</v>
      </c>
      <c r="U7" s="2836"/>
      <c r="V7" s="2844"/>
    </row>
    <row r="8" spans="1:22" s="2848" customFormat="1" ht="13.15" customHeight="1">
      <c r="A8" s="2883" t="s">
        <v>2347</v>
      </c>
      <c r="B8" s="3677" t="s">
        <v>2348</v>
      </c>
      <c r="C8" s="3678"/>
      <c r="D8" s="2884" t="s">
        <v>2349</v>
      </c>
      <c r="E8" s="2885" t="s">
        <v>2350</v>
      </c>
      <c r="F8" s="2886" t="s">
        <v>2351</v>
      </c>
      <c r="G8" s="2887"/>
      <c r="H8" s="2843"/>
      <c r="I8" s="2844"/>
      <c r="J8" s="3673"/>
      <c r="K8" s="3675"/>
      <c r="L8" s="2878" t="s">
        <v>2352</v>
      </c>
      <c r="M8" s="2879"/>
      <c r="N8" s="2855"/>
      <c r="O8" s="2880"/>
      <c r="P8" s="2880"/>
      <c r="Q8" s="2881">
        <v>365</v>
      </c>
      <c r="R8" s="2882">
        <f t="shared" ref="R8:R13" si="0">ROUND(M8*N8*O8*P8*Q8/10000,0)</f>
        <v>0</v>
      </c>
      <c r="S8" s="2836"/>
      <c r="T8" s="2836" t="s">
        <v>2353</v>
      </c>
      <c r="U8" s="2836"/>
      <c r="V8" s="2844"/>
    </row>
    <row r="9" spans="1:22" s="2848" customFormat="1" ht="13.15" customHeight="1">
      <c r="A9" s="2883">
        <v>1</v>
      </c>
      <c r="B9" s="3677" t="s">
        <v>2354</v>
      </c>
      <c r="C9" s="3678"/>
      <c r="D9" s="2884">
        <f>ROUND(D6*E9,0)</f>
        <v>0</v>
      </c>
      <c r="E9" s="2888"/>
      <c r="F9" s="2889" t="s">
        <v>2355</v>
      </c>
      <c r="G9" s="2868"/>
      <c r="H9" s="2843"/>
      <c r="I9" s="2844"/>
      <c r="J9" s="3673"/>
      <c r="K9" s="3675"/>
      <c r="L9" s="2878" t="s">
        <v>2356</v>
      </c>
      <c r="M9" s="2879"/>
      <c r="N9" s="2855"/>
      <c r="O9" s="2880"/>
      <c r="P9" s="2880"/>
      <c r="Q9" s="2881">
        <v>365</v>
      </c>
      <c r="R9" s="2882">
        <f t="shared" si="0"/>
        <v>0</v>
      </c>
      <c r="S9" s="2836"/>
      <c r="T9" s="2836"/>
      <c r="U9" s="2836"/>
      <c r="V9" s="2844"/>
    </row>
    <row r="10" spans="1:22" s="2848" customFormat="1" ht="13.15" customHeight="1">
      <c r="A10" s="2883">
        <v>2</v>
      </c>
      <c r="B10" s="3677" t="s">
        <v>2357</v>
      </c>
      <c r="C10" s="3678"/>
      <c r="D10" s="2884">
        <f>ROUND(D6*E10,0)</f>
        <v>0</v>
      </c>
      <c r="E10" s="2888"/>
      <c r="F10" s="2889" t="s">
        <v>2358</v>
      </c>
      <c r="G10" s="2868"/>
      <c r="H10" s="2843"/>
      <c r="I10" s="2844"/>
      <c r="J10" s="3673"/>
      <c r="K10" s="3675"/>
      <c r="L10" s="2878" t="s">
        <v>2359</v>
      </c>
      <c r="M10" s="2879"/>
      <c r="N10" s="2855"/>
      <c r="O10" s="2880"/>
      <c r="P10" s="2880"/>
      <c r="Q10" s="2881">
        <v>365</v>
      </c>
      <c r="R10" s="2882">
        <f t="shared" si="0"/>
        <v>0</v>
      </c>
      <c r="S10" s="2836"/>
      <c r="T10" s="2836"/>
      <c r="U10" s="2836"/>
      <c r="V10" s="2844"/>
    </row>
    <row r="11" spans="1:22" s="2848" customFormat="1" ht="13.15" customHeight="1">
      <c r="A11" s="2883">
        <v>3</v>
      </c>
      <c r="B11" s="3677" t="s">
        <v>2360</v>
      </c>
      <c r="C11" s="3678"/>
      <c r="D11" s="2884">
        <f>D12+D14+D15+D16</f>
        <v>0</v>
      </c>
      <c r="E11" s="2890" t="e">
        <f>D11/D6</f>
        <v>#DIV/0!</v>
      </c>
      <c r="F11" s="2886"/>
      <c r="G11" s="2887"/>
      <c r="H11" s="2843"/>
      <c r="I11" s="2844"/>
      <c r="J11" s="3673"/>
      <c r="K11" s="3675"/>
      <c r="L11" s="2878" t="s">
        <v>2361</v>
      </c>
      <c r="M11" s="2879"/>
      <c r="N11" s="2855"/>
      <c r="O11" s="2880"/>
      <c r="P11" s="2880"/>
      <c r="Q11" s="2881">
        <v>365</v>
      </c>
      <c r="R11" s="2882">
        <f t="shared" si="0"/>
        <v>0</v>
      </c>
      <c r="S11" s="2836"/>
      <c r="T11" s="2836"/>
      <c r="U11" s="2836"/>
      <c r="V11" s="2844"/>
    </row>
    <row r="12" spans="1:22" s="2848" customFormat="1" ht="13.15" customHeight="1">
      <c r="A12" s="2891" t="s">
        <v>2362</v>
      </c>
      <c r="B12" s="3679" t="s">
        <v>2363</v>
      </c>
      <c r="C12" s="3680"/>
      <c r="D12" s="2892">
        <f>ROUND(D13*1.2%*(1-30%),0)</f>
        <v>0</v>
      </c>
      <c r="E12" s="2893">
        <v>1.2E-2</v>
      </c>
      <c r="F12" s="2886" t="s">
        <v>2364</v>
      </c>
      <c r="G12" s="2887"/>
      <c r="H12" s="2843"/>
      <c r="I12" s="2844"/>
      <c r="J12" s="3673"/>
      <c r="K12" s="3675"/>
      <c r="L12" s="2878" t="s">
        <v>2365</v>
      </c>
      <c r="M12" s="2879"/>
      <c r="N12" s="2855"/>
      <c r="O12" s="2880"/>
      <c r="P12" s="2880"/>
      <c r="Q12" s="2881">
        <v>365</v>
      </c>
      <c r="R12" s="2882">
        <f t="shared" si="0"/>
        <v>0</v>
      </c>
      <c r="S12" s="2836"/>
      <c r="T12" s="2836"/>
      <c r="U12" s="2836"/>
      <c r="V12" s="2844"/>
    </row>
    <row r="13" spans="1:22" s="2848" customFormat="1" ht="13.15" customHeight="1">
      <c r="A13" s="2891"/>
      <c r="B13" s="2894"/>
      <c r="C13" s="2895" t="s">
        <v>2366</v>
      </c>
      <c r="D13" s="2896"/>
      <c r="E13" s="2897"/>
      <c r="F13" s="2886"/>
      <c r="G13" s="2887"/>
      <c r="H13" s="2843"/>
      <c r="I13" s="2844"/>
      <c r="J13" s="3673"/>
      <c r="K13" s="3675"/>
      <c r="L13" s="2878" t="s">
        <v>2367</v>
      </c>
      <c r="M13" s="2879"/>
      <c r="N13" s="2855"/>
      <c r="O13" s="2880"/>
      <c r="P13" s="2880"/>
      <c r="Q13" s="2881">
        <v>365</v>
      </c>
      <c r="R13" s="2882">
        <f t="shared" si="0"/>
        <v>0</v>
      </c>
      <c r="S13" s="2836"/>
      <c r="T13" s="2836"/>
      <c r="U13" s="2836"/>
      <c r="V13" s="2844"/>
    </row>
    <row r="14" spans="1:22" s="2848" customFormat="1" ht="13.15" customHeight="1">
      <c r="A14" s="2891" t="s">
        <v>2368</v>
      </c>
      <c r="B14" s="3679" t="s">
        <v>2369</v>
      </c>
      <c r="C14" s="3680"/>
      <c r="D14" s="2892">
        <f>ROUND(E14*B5/10000,0)</f>
        <v>0</v>
      </c>
      <c r="E14" s="2881"/>
      <c r="F14" s="2886" t="s">
        <v>2370</v>
      </c>
      <c r="G14" s="2887"/>
      <c r="H14" s="2843"/>
      <c r="I14" s="2844"/>
      <c r="J14" s="3673"/>
      <c r="K14" s="3676"/>
      <c r="L14" s="2898" t="s">
        <v>2371</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2372</v>
      </c>
      <c r="B15" s="3679" t="s">
        <v>2373</v>
      </c>
      <c r="C15" s="3680"/>
      <c r="D15" s="2892">
        <f>ROUND(D6*E15,0)</f>
        <v>0</v>
      </c>
      <c r="E15" s="2893">
        <v>5.5E-2</v>
      </c>
      <c r="F15" s="2886" t="s">
        <v>2374</v>
      </c>
      <c r="G15" s="2868"/>
      <c r="H15" s="2843"/>
      <c r="I15" s="2844"/>
      <c r="J15" s="3673">
        <v>2</v>
      </c>
      <c r="K15" s="3674" t="s">
        <v>2375</v>
      </c>
      <c r="L15" s="2878" t="s">
        <v>2376</v>
      </c>
      <c r="M15" s="2879" t="s">
        <v>2377</v>
      </c>
      <c r="N15" s="2879" t="s">
        <v>2378</v>
      </c>
      <c r="O15" s="2880" t="s">
        <v>2379</v>
      </c>
      <c r="P15" s="2880" t="s">
        <v>2341</v>
      </c>
      <c r="Q15" s="2855" t="s">
        <v>2380</v>
      </c>
      <c r="R15" s="2902" t="s">
        <v>2342</v>
      </c>
      <c r="S15" s="2836"/>
      <c r="T15" s="2836"/>
      <c r="U15" s="2836"/>
      <c r="V15" s="2844"/>
    </row>
    <row r="16" spans="1:22" s="2848" customFormat="1" ht="13.15" customHeight="1">
      <c r="A16" s="2891" t="s">
        <v>2381</v>
      </c>
      <c r="B16" s="3679" t="s">
        <v>2382</v>
      </c>
      <c r="C16" s="3680"/>
      <c r="D16" s="2903">
        <f>D6*E16</f>
        <v>0</v>
      </c>
      <c r="E16" s="2904"/>
      <c r="F16" s="2889" t="s">
        <v>2383</v>
      </c>
      <c r="G16" s="2868"/>
      <c r="H16" s="2843"/>
      <c r="I16" s="2844"/>
      <c r="J16" s="3673"/>
      <c r="K16" s="3675"/>
      <c r="L16" s="2878" t="s">
        <v>2384</v>
      </c>
      <c r="M16" s="2879"/>
      <c r="N16" s="2879"/>
      <c r="O16" s="2880"/>
      <c r="P16" s="2881">
        <v>365</v>
      </c>
      <c r="Q16" s="2855"/>
      <c r="R16" s="2902">
        <f>ROUND(M16*N16*O16*P16/10000,0)</f>
        <v>0</v>
      </c>
      <c r="S16" s="2836"/>
      <c r="T16" s="2836"/>
      <c r="U16" s="2836"/>
      <c r="V16" s="2844"/>
    </row>
    <row r="17" spans="1:22" s="2848" customFormat="1" ht="13.15" customHeight="1" thickBot="1">
      <c r="A17" s="2905">
        <v>4</v>
      </c>
      <c r="B17" s="3681" t="s">
        <v>2385</v>
      </c>
      <c r="C17" s="3682"/>
      <c r="D17" s="2906">
        <f>ROUND(D6*E17,0)</f>
        <v>0</v>
      </c>
      <c r="E17" s="2907"/>
      <c r="F17" s="2908" t="s">
        <v>2386</v>
      </c>
      <c r="G17" s="2868"/>
      <c r="H17" s="2843"/>
      <c r="I17" s="2844"/>
      <c r="J17" s="3673"/>
      <c r="K17" s="3675"/>
      <c r="L17" s="2878" t="s">
        <v>2387</v>
      </c>
      <c r="M17" s="2879"/>
      <c r="N17" s="2879"/>
      <c r="O17" s="2880"/>
      <c r="P17" s="2881">
        <v>365</v>
      </c>
      <c r="Q17" s="2855"/>
      <c r="R17" s="2902">
        <f>ROUND(M17*N17*O17*P17/10000,0)</f>
        <v>0</v>
      </c>
      <c r="S17" s="2836"/>
      <c r="T17" s="2836"/>
      <c r="U17" s="2836"/>
      <c r="V17" s="2844"/>
    </row>
    <row r="18" spans="1:22" s="2848" customFormat="1" ht="13.15" customHeight="1" thickBot="1">
      <c r="A18" s="2871" t="s">
        <v>2388</v>
      </c>
      <c r="B18" s="2872"/>
      <c r="C18" s="2872"/>
      <c r="D18" s="2909">
        <f>ROUND(D6*E18,0)</f>
        <v>0</v>
      </c>
      <c r="E18" s="2910"/>
      <c r="F18" s="2911" t="s">
        <v>2389</v>
      </c>
      <c r="G18" s="2868"/>
      <c r="H18" s="2843"/>
      <c r="I18" s="2844"/>
      <c r="J18" s="3673"/>
      <c r="K18" s="3675"/>
      <c r="L18" s="2878" t="s">
        <v>2390</v>
      </c>
      <c r="M18" s="2879"/>
      <c r="N18" s="2879"/>
      <c r="O18" s="2880"/>
      <c r="P18" s="2881">
        <v>365</v>
      </c>
      <c r="Q18" s="2855"/>
      <c r="R18" s="2902">
        <f>ROUND(M18*N18*O18*P18/10000,0)</f>
        <v>0</v>
      </c>
      <c r="S18" s="2836"/>
      <c r="T18" s="2836"/>
      <c r="U18" s="2836"/>
      <c r="V18" s="2844"/>
    </row>
    <row r="19" spans="1:22" s="2848" customFormat="1" ht="13.15" customHeight="1" thickBot="1">
      <c r="A19" s="2912" t="s">
        <v>2391</v>
      </c>
      <c r="B19" s="2866"/>
      <c r="C19" s="2866"/>
      <c r="D19" s="2866"/>
      <c r="E19" s="2866"/>
      <c r="F19" s="2867"/>
      <c r="G19" s="2887"/>
      <c r="H19" s="2843"/>
      <c r="I19" s="2844"/>
      <c r="J19" s="3673"/>
      <c r="K19" s="3676"/>
      <c r="L19" s="2898" t="s">
        <v>2371</v>
      </c>
      <c r="M19" s="2899"/>
      <c r="N19" s="2899">
        <f>SUM(N16:N18)</f>
        <v>0</v>
      </c>
      <c r="O19" s="2900"/>
      <c r="P19" s="2913" t="s">
        <v>2435</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673">
        <v>3</v>
      </c>
      <c r="K20" s="3674" t="s">
        <v>2392</v>
      </c>
      <c r="L20" s="2878" t="s">
        <v>2393</v>
      </c>
      <c r="M20" s="2879" t="s">
        <v>2394</v>
      </c>
      <c r="N20" s="2916" t="s">
        <v>2395</v>
      </c>
      <c r="O20" s="2880" t="s">
        <v>2396</v>
      </c>
      <c r="P20" s="2881" t="s">
        <v>2397</v>
      </c>
      <c r="Q20" s="2855" t="s">
        <v>2398</v>
      </c>
      <c r="R20" s="2902" t="s">
        <v>2399</v>
      </c>
      <c r="S20" s="2917"/>
      <c r="T20" s="2917"/>
      <c r="U20" s="2917"/>
      <c r="V20" s="2844"/>
    </row>
    <row r="21" spans="1:22" s="2848" customFormat="1" ht="13.15" customHeight="1">
      <c r="A21" s="2871"/>
      <c r="B21" s="2872"/>
      <c r="C21" s="2918" t="s">
        <v>2400</v>
      </c>
      <c r="D21" s="2919" t="s">
        <v>2401</v>
      </c>
      <c r="E21" s="2920" t="s">
        <v>2402</v>
      </c>
      <c r="F21" s="2915"/>
      <c r="G21" s="2887"/>
      <c r="H21" s="2843"/>
      <c r="I21" s="2844"/>
      <c r="J21" s="3673"/>
      <c r="K21" s="3675"/>
      <c r="L21" s="2878" t="s">
        <v>2403</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2404</v>
      </c>
      <c r="D22" s="2923" t="s">
        <v>2405</v>
      </c>
      <c r="E22" s="2924" t="s">
        <v>2406</v>
      </c>
      <c r="F22" s="2915"/>
      <c r="G22" s="2925"/>
      <c r="H22" s="2843"/>
      <c r="I22" s="2844"/>
      <c r="J22" s="3673"/>
      <c r="K22" s="3675"/>
      <c r="L22" s="2878" t="s">
        <v>2407</v>
      </c>
      <c r="M22" s="2879"/>
      <c r="N22" s="2879"/>
      <c r="O22" s="2880"/>
      <c r="P22" s="2881">
        <v>365</v>
      </c>
      <c r="Q22" s="2855"/>
      <c r="R22" s="2921">
        <f>ROUND(M22*N22*O22*P22/10000,0)</f>
        <v>0</v>
      </c>
      <c r="S22" s="2917"/>
      <c r="T22" s="2917"/>
      <c r="U22" s="2917"/>
      <c r="V22" s="2844"/>
    </row>
    <row r="23" spans="1:22" s="2848" customFormat="1" ht="13.15" customHeight="1">
      <c r="A23" s="2926">
        <v>1</v>
      </c>
      <c r="B23" s="2927" t="s">
        <v>2408</v>
      </c>
      <c r="C23" s="2928">
        <f>D6</f>
        <v>0</v>
      </c>
      <c r="D23" s="2929">
        <f>C23*(1+D24)</f>
        <v>0</v>
      </c>
      <c r="E23" s="2930">
        <f>D23*(1+E24)</f>
        <v>0</v>
      </c>
      <c r="F23" s="2931"/>
      <c r="G23" s="2932"/>
      <c r="H23" s="2843"/>
      <c r="I23" s="2844"/>
      <c r="J23" s="3673"/>
      <c r="K23" s="3675"/>
      <c r="L23" s="2878" t="s">
        <v>2409</v>
      </c>
      <c r="M23" s="2879"/>
      <c r="N23" s="2879"/>
      <c r="O23" s="2880"/>
      <c r="P23" s="2881">
        <v>365</v>
      </c>
      <c r="Q23" s="2855"/>
      <c r="R23" s="2921">
        <f>ROUND(M23*N23*O23*P23/10000,0)</f>
        <v>0</v>
      </c>
      <c r="S23" s="2836"/>
      <c r="T23" s="2836"/>
      <c r="U23" s="2836"/>
      <c r="V23" s="2844"/>
    </row>
    <row r="24" spans="1:22" s="2848" customFormat="1" ht="13.15" customHeight="1">
      <c r="A24" s="2933"/>
      <c r="B24" s="2934" t="s">
        <v>2410</v>
      </c>
      <c r="C24" s="2935"/>
      <c r="D24" s="2936"/>
      <c r="E24" s="2937"/>
      <c r="F24" s="2938"/>
      <c r="G24" s="2932"/>
      <c r="H24" s="2843"/>
      <c r="I24" s="2844"/>
      <c r="J24" s="3673"/>
      <c r="K24" s="3676"/>
      <c r="L24" s="2898" t="s">
        <v>2371</v>
      </c>
      <c r="M24" s="2899">
        <f>SUM(M21:M23)</f>
        <v>0</v>
      </c>
      <c r="N24" s="2899"/>
      <c r="O24" s="2900"/>
      <c r="P24" s="2913" t="s">
        <v>2435</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2411</v>
      </c>
      <c r="L25" s="2941"/>
      <c r="M25" s="2941"/>
      <c r="N25" s="2941"/>
      <c r="O25" s="2941"/>
      <c r="P25" s="2942"/>
      <c r="Q25" s="2943">
        <v>0</v>
      </c>
      <c r="R25" s="2914">
        <f>ROUND(R14*Q25,0)</f>
        <v>0</v>
      </c>
      <c r="S25" s="2836"/>
      <c r="T25" s="2836"/>
      <c r="U25" s="2836"/>
      <c r="V25" s="2944"/>
    </row>
    <row r="26" spans="1:22" s="2945" customFormat="1" ht="13.15" customHeight="1">
      <c r="A26" s="2926">
        <v>2</v>
      </c>
      <c r="B26" s="2927" t="s">
        <v>2412</v>
      </c>
      <c r="C26" s="2928">
        <f>D7</f>
        <v>0</v>
      </c>
      <c r="D26" s="2929">
        <f>D23*D27</f>
        <v>0</v>
      </c>
      <c r="E26" s="2930">
        <f>E23*E27</f>
        <v>0</v>
      </c>
      <c r="F26" s="2931"/>
      <c r="G26" s="2932"/>
      <c r="H26" s="2843"/>
      <c r="I26" s="2844"/>
      <c r="J26" s="3683">
        <v>5</v>
      </c>
      <c r="K26" s="2946" t="s">
        <v>2413</v>
      </c>
      <c r="L26" s="2947"/>
      <c r="M26" s="2948"/>
      <c r="N26" s="2949" t="s">
        <v>2414</v>
      </c>
      <c r="O26" s="2949" t="s">
        <v>2415</v>
      </c>
      <c r="P26" s="2950" t="s">
        <v>2416</v>
      </c>
      <c r="Q26" s="2950" t="s">
        <v>2417</v>
      </c>
      <c r="R26" s="2853" t="s">
        <v>2342</v>
      </c>
      <c r="S26" s="2951"/>
      <c r="T26" s="2951"/>
      <c r="U26" s="2951"/>
      <c r="V26" s="2944"/>
    </row>
    <row r="27" spans="1:22" s="2848" customFormat="1" ht="13.15" customHeight="1">
      <c r="A27" s="2933"/>
      <c r="B27" s="2934" t="s">
        <v>2418</v>
      </c>
      <c r="C27" s="2952" t="e">
        <f>E7</f>
        <v>#DIV/0!</v>
      </c>
      <c r="D27" s="2936"/>
      <c r="E27" s="2937"/>
      <c r="F27" s="2938"/>
      <c r="G27" s="2932"/>
      <c r="H27" s="2953"/>
      <c r="I27" s="2944"/>
      <c r="J27" s="3684"/>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2419</v>
      </c>
      <c r="F28" s="2938"/>
      <c r="G28" s="2925"/>
      <c r="H28" s="2953"/>
      <c r="I28" s="2944"/>
      <c r="J28" s="2959">
        <v>6</v>
      </c>
      <c r="K28" s="2960" t="s">
        <v>2420</v>
      </c>
      <c r="L28" s="2961" t="s">
        <v>2421</v>
      </c>
      <c r="M28" s="2962"/>
      <c r="N28" s="2961" t="s">
        <v>2422</v>
      </c>
      <c r="O28" s="2963"/>
      <c r="P28" s="2961" t="s">
        <v>2423</v>
      </c>
      <c r="Q28" s="2964">
        <v>1.4999999999999999E-2</v>
      </c>
      <c r="R28" s="2965"/>
      <c r="S28" s="2917"/>
      <c r="T28" s="2917"/>
      <c r="U28" s="2917"/>
      <c r="V28" s="2944"/>
    </row>
    <row r="29" spans="1:22" s="2945" customFormat="1" ht="13.15" customHeight="1">
      <c r="A29" s="2926">
        <v>3</v>
      </c>
      <c r="B29" s="2927" t="s">
        <v>2424</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2418</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2425</v>
      </c>
      <c r="K31" s="2834"/>
      <c r="L31" s="2834"/>
      <c r="M31" s="2834"/>
      <c r="N31" s="2834"/>
      <c r="O31" s="2834"/>
      <c r="P31" s="2834"/>
      <c r="Q31" s="2834"/>
      <c r="R31" s="2835"/>
      <c r="S31" s="2917"/>
      <c r="T31" s="2836"/>
      <c r="U31" s="2836"/>
      <c r="V31" s="2944"/>
    </row>
    <row r="32" spans="1:22" s="2945" customFormat="1" ht="13.15" customHeight="1">
      <c r="A32" s="2926">
        <v>4</v>
      </c>
      <c r="B32" s="2927" t="s">
        <v>2426</v>
      </c>
      <c r="C32" s="2928">
        <f>C23-C26-C29</f>
        <v>0</v>
      </c>
      <c r="D32" s="2929">
        <f>D23-D26-D29</f>
        <v>0</v>
      </c>
      <c r="E32" s="2930">
        <f>E23-E26-E29</f>
        <v>0</v>
      </c>
      <c r="F32" s="2931"/>
      <c r="G32" s="2925"/>
      <c r="H32" s="2843"/>
      <c r="I32" s="2844"/>
      <c r="J32" s="3666" t="s">
        <v>2318</v>
      </c>
      <c r="K32" s="3667"/>
      <c r="L32" s="2845" t="s">
        <v>2319</v>
      </c>
      <c r="M32" s="2845" t="s">
        <v>2320</v>
      </c>
      <c r="N32" s="2845" t="s">
        <v>2321</v>
      </c>
      <c r="O32" s="2845" t="s">
        <v>2322</v>
      </c>
      <c r="P32" s="2845" t="s">
        <v>2323</v>
      </c>
      <c r="Q32" s="2846" t="s">
        <v>2324</v>
      </c>
      <c r="R32" s="2968" t="s">
        <v>2325</v>
      </c>
      <c r="S32" s="2917"/>
      <c r="T32" s="2836"/>
      <c r="U32" s="2836"/>
      <c r="V32" s="2944"/>
    </row>
    <row r="33" spans="1:23" s="2848" customFormat="1" ht="13.15" customHeight="1">
      <c r="A33" s="2926"/>
      <c r="B33" s="2927"/>
      <c r="C33" s="2928"/>
      <c r="D33" s="2969"/>
      <c r="E33" s="2970"/>
      <c r="F33" s="2931"/>
      <c r="G33" s="2925"/>
      <c r="H33" s="2953"/>
      <c r="I33" s="2944"/>
      <c r="J33" s="3668" t="s">
        <v>2328</v>
      </c>
      <c r="K33" s="3669"/>
      <c r="L33" s="2851"/>
      <c r="M33" s="2851"/>
      <c r="N33" s="2851"/>
      <c r="O33" s="2851"/>
      <c r="P33" s="2851"/>
      <c r="Q33" s="2852"/>
      <c r="R33" s="2971">
        <f>SUM(L33:Q33)</f>
        <v>0</v>
      </c>
      <c r="S33" s="2917"/>
      <c r="T33" s="2836"/>
      <c r="U33" s="2836"/>
      <c r="V33" s="2844"/>
    </row>
    <row r="34" spans="1:23" s="2848" customFormat="1" ht="13.15" customHeight="1">
      <c r="A34" s="2926">
        <v>5</v>
      </c>
      <c r="B34" s="2927" t="s">
        <v>2427</v>
      </c>
      <c r="C34" s="2972"/>
      <c r="D34" s="2973"/>
      <c r="E34" s="2974"/>
      <c r="F34" s="2931"/>
      <c r="G34" s="2925"/>
      <c r="H34" s="2953"/>
      <c r="I34" s="2944"/>
      <c r="J34" s="3668" t="s">
        <v>2330</v>
      </c>
      <c r="K34" s="3669"/>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2428</v>
      </c>
      <c r="C35" s="2976"/>
      <c r="D35" s="2977"/>
      <c r="E35" s="2978"/>
      <c r="F35" s="2931"/>
      <c r="G35" s="2979"/>
      <c r="H35" s="2843"/>
      <c r="I35" s="2944"/>
      <c r="J35" s="2862" t="s">
        <v>2332</v>
      </c>
      <c r="K35" s="2863"/>
      <c r="L35" s="2863"/>
      <c r="M35" s="2864"/>
      <c r="N35" s="2864"/>
      <c r="O35" s="2864"/>
      <c r="P35" s="2864"/>
      <c r="Q35" s="2864"/>
      <c r="R35" s="2980">
        <f>R40+R41+R43</f>
        <v>0</v>
      </c>
      <c r="S35" s="2917"/>
      <c r="T35" s="2836" t="s">
        <v>2333</v>
      </c>
      <c r="U35" s="2836"/>
      <c r="V35" s="2844"/>
    </row>
    <row r="36" spans="1:23" s="2848" customFormat="1" ht="13.15" customHeight="1" thickBot="1">
      <c r="A36" s="2926">
        <v>7</v>
      </c>
      <c r="B36" s="2981" t="s">
        <v>2429</v>
      </c>
      <c r="C36" s="2982"/>
      <c r="D36" s="2983"/>
      <c r="E36" s="2984"/>
      <c r="F36" s="2985">
        <f>C36+D36+E36</f>
        <v>0</v>
      </c>
      <c r="G36" s="2925"/>
      <c r="H36" s="2843"/>
      <c r="I36" s="2844"/>
      <c r="J36" s="3673">
        <v>1</v>
      </c>
      <c r="K36" s="3674" t="s">
        <v>2430</v>
      </c>
      <c r="L36" s="2869"/>
      <c r="M36" s="2870"/>
      <c r="N36" s="2870"/>
      <c r="O36" s="2870"/>
      <c r="P36" s="2870"/>
      <c r="Q36" s="2870"/>
      <c r="R36" s="2853" t="s">
        <v>2342</v>
      </c>
      <c r="S36" s="2917"/>
      <c r="T36" s="2836" t="s">
        <v>2343</v>
      </c>
      <c r="U36" s="2836"/>
      <c r="V36" s="2844"/>
    </row>
    <row r="37" spans="1:23" s="2848" customFormat="1" ht="13.15" customHeight="1">
      <c r="A37" s="2926"/>
      <c r="B37" s="2927"/>
      <c r="C37" s="2927"/>
      <c r="D37" s="2927"/>
      <c r="E37" s="2927"/>
      <c r="F37" s="2931"/>
      <c r="G37" s="2925"/>
      <c r="H37" s="2843"/>
      <c r="I37" s="2844"/>
      <c r="J37" s="3673"/>
      <c r="K37" s="3675"/>
      <c r="L37" s="2878"/>
      <c r="M37" s="2879"/>
      <c r="N37" s="2855"/>
      <c r="O37" s="2880"/>
      <c r="P37" s="2880"/>
      <c r="Q37" s="2881"/>
      <c r="R37" s="2882"/>
      <c r="S37" s="2917"/>
      <c r="T37" s="2836" t="s">
        <v>2346</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673"/>
      <c r="K38" s="3675"/>
      <c r="L38" s="2878"/>
      <c r="M38" s="2879"/>
      <c r="N38" s="2855"/>
      <c r="O38" s="2880"/>
      <c r="P38" s="2880"/>
      <c r="Q38" s="2881"/>
      <c r="R38" s="2882"/>
      <c r="S38" s="2917"/>
      <c r="T38" s="2836" t="s">
        <v>2353</v>
      </c>
      <c r="U38" s="2836"/>
      <c r="V38" s="2844"/>
    </row>
    <row r="39" spans="1:23" s="2848" customFormat="1" ht="13.15" customHeight="1">
      <c r="A39" s="2926">
        <v>9</v>
      </c>
      <c r="B39" s="2927" t="s">
        <v>2431</v>
      </c>
      <c r="C39" s="2892" t="e">
        <f>C38</f>
        <v>#DIV/0!</v>
      </c>
      <c r="D39" s="2927">
        <f>D38/(1+D34)^C36</f>
        <v>0</v>
      </c>
      <c r="E39" s="2927">
        <f>E38/(1+E34)^(C36+D36)</f>
        <v>0</v>
      </c>
      <c r="F39" s="2931"/>
      <c r="G39" s="2986"/>
      <c r="H39" s="2843"/>
      <c r="I39" s="2844"/>
      <c r="J39" s="3673"/>
      <c r="K39" s="3675"/>
      <c r="L39" s="2878"/>
      <c r="M39" s="2879"/>
      <c r="N39" s="2855"/>
      <c r="O39" s="2880"/>
      <c r="P39" s="2880"/>
      <c r="Q39" s="2881"/>
      <c r="R39" s="2882"/>
      <c r="S39" s="2917"/>
      <c r="T39" s="2836"/>
      <c r="U39" s="2836"/>
      <c r="V39" s="2844"/>
    </row>
    <row r="40" spans="1:23" s="2848" customFormat="1" ht="13.15" customHeight="1">
      <c r="A40" s="2987">
        <v>10</v>
      </c>
      <c r="B40" s="2927" t="s">
        <v>2432</v>
      </c>
      <c r="C40" s="2988" t="e">
        <f>C39+D39+E39</f>
        <v>#DIV/0!</v>
      </c>
      <c r="D40" s="2989"/>
      <c r="E40" s="2989"/>
      <c r="F40" s="2990"/>
      <c r="G40" s="2925"/>
      <c r="H40" s="2843"/>
      <c r="I40" s="2844"/>
      <c r="J40" s="3673"/>
      <c r="K40" s="3676"/>
      <c r="L40" s="2898" t="s">
        <v>2371</v>
      </c>
      <c r="M40" s="2899"/>
      <c r="N40" s="2899"/>
      <c r="O40" s="2900"/>
      <c r="P40" s="2900"/>
      <c r="Q40" s="2901"/>
      <c r="R40" s="2847">
        <f>SUM(R37:R39)</f>
        <v>0</v>
      </c>
      <c r="S40" s="2917"/>
      <c r="T40" s="2836"/>
      <c r="U40" s="2836"/>
      <c r="V40" s="2844"/>
    </row>
    <row r="41" spans="1:23" s="2848" customFormat="1" ht="13.15" customHeight="1" thickBot="1">
      <c r="A41" s="2991">
        <v>11</v>
      </c>
      <c r="B41" s="2992" t="s">
        <v>2433</v>
      </c>
      <c r="C41" s="2992" t="e">
        <f>ROUND(C40*10000/B4,0)</f>
        <v>#DIV/0!</v>
      </c>
      <c r="D41" s="2993"/>
      <c r="E41" s="2993"/>
      <c r="F41" s="2994"/>
      <c r="G41" s="2995"/>
      <c r="H41" s="2843"/>
      <c r="I41" s="2844"/>
      <c r="J41" s="2939">
        <v>2</v>
      </c>
      <c r="K41" s="2940" t="s">
        <v>2411</v>
      </c>
      <c r="L41" s="2941"/>
      <c r="M41" s="2941"/>
      <c r="N41" s="2941"/>
      <c r="O41" s="2941"/>
      <c r="P41" s="2942"/>
      <c r="Q41" s="2943"/>
      <c r="R41" s="2914">
        <f>ROUND(R40*Q41,0)</f>
        <v>0</v>
      </c>
      <c r="S41" s="2917"/>
      <c r="T41" s="2836"/>
      <c r="U41" s="2951"/>
      <c r="V41" s="2844"/>
    </row>
    <row r="42" spans="1:23" s="2848" customFormat="1" ht="13.15" customHeight="1">
      <c r="G42" s="2995"/>
      <c r="H42" s="2843"/>
      <c r="I42" s="2844"/>
      <c r="J42" s="3683">
        <v>3</v>
      </c>
      <c r="K42" s="2946" t="s">
        <v>2413</v>
      </c>
      <c r="L42" s="2947"/>
      <c r="M42" s="2948"/>
      <c r="N42" s="2949" t="s">
        <v>2414</v>
      </c>
      <c r="O42" s="2949" t="s">
        <v>2415</v>
      </c>
      <c r="P42" s="2950" t="s">
        <v>2416</v>
      </c>
      <c r="Q42" s="2950" t="s">
        <v>2417</v>
      </c>
      <c r="R42" s="2853" t="s">
        <v>2342</v>
      </c>
      <c r="S42" s="2951"/>
      <c r="T42" s="2951"/>
      <c r="U42" s="2836"/>
      <c r="V42" s="2844"/>
    </row>
    <row r="43" spans="1:23" ht="13.15" customHeight="1">
      <c r="A43" s="2848"/>
      <c r="B43" s="2848"/>
      <c r="C43" s="2848"/>
      <c r="D43" s="2848"/>
      <c r="E43" s="2848"/>
      <c r="F43" s="2848"/>
      <c r="I43" s="2831"/>
      <c r="J43" s="3684"/>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2420</v>
      </c>
      <c r="L44" s="2999" t="s">
        <v>2421</v>
      </c>
      <c r="M44" s="2962"/>
      <c r="N44" s="2999" t="s">
        <v>2422</v>
      </c>
      <c r="O44" s="2962"/>
      <c r="P44" s="2999" t="s">
        <v>2423</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2"/>
      <c r="G1" s="1488"/>
      <c r="H1" s="1488"/>
      <c r="I1" s="1488"/>
      <c r="J1" s="1488"/>
      <c r="K1" s="1488"/>
      <c r="L1" s="1488"/>
      <c r="M1" s="1488"/>
      <c r="N1" s="1488"/>
      <c r="O1" s="1488"/>
      <c r="P1" s="1488"/>
      <c r="Q1" s="1488"/>
      <c r="R1" s="1488"/>
      <c r="S1" s="1488"/>
    </row>
    <row r="2" spans="1:22" ht="15.75">
      <c r="A2" s="1869" t="s">
        <v>1462</v>
      </c>
      <c r="B2" s="1870">
        <f ca="1">SUMIF(B6:B13,"&lt;&gt;#ref!",B6:B13)</f>
        <v>1498.4185</v>
      </c>
      <c r="C2" s="1871" t="s">
        <v>1651</v>
      </c>
      <c r="D2" s="1872" t="s">
        <v>1652</v>
      </c>
      <c r="E2" s="2602">
        <f>SUM(E6:E13)</f>
        <v>459.68</v>
      </c>
      <c r="F2" s="2702"/>
      <c r="G2" s="1488"/>
      <c r="H2" s="1488"/>
      <c r="I2" s="1488"/>
      <c r="J2" s="1488"/>
      <c r="K2" s="1488"/>
      <c r="L2" s="1488"/>
      <c r="M2" s="1488"/>
      <c r="N2" s="1488"/>
      <c r="O2" s="1488"/>
      <c r="P2" s="1488"/>
      <c r="Q2" s="1488"/>
      <c r="R2" s="1488"/>
      <c r="S2" s="1488"/>
    </row>
    <row r="3" spans="1:22" ht="15.75">
      <c r="A3" s="1869" t="s">
        <v>686</v>
      </c>
      <c r="B3" s="2596">
        <f ca="1">ROUND(B2*10000/E2,0)</f>
        <v>32597</v>
      </c>
      <c r="C3" s="1871" t="s">
        <v>1659</v>
      </c>
      <c r="D3" s="2704"/>
      <c r="E3" s="2706"/>
      <c r="F3" s="2702"/>
      <c r="G3" s="1488"/>
      <c r="H3" s="1488"/>
      <c r="I3" s="1488"/>
      <c r="J3" s="1488"/>
      <c r="K3" s="1488"/>
      <c r="L3" s="1488"/>
      <c r="M3" s="1488"/>
      <c r="N3" s="1488"/>
      <c r="O3" s="1488"/>
      <c r="P3" s="1488"/>
      <c r="Q3" s="1488"/>
      <c r="R3" s="1488"/>
      <c r="S3" s="1488"/>
    </row>
    <row r="4" spans="1:22" ht="15.75">
      <c r="A4" s="2707"/>
      <c r="B4" s="2704"/>
      <c r="C4" s="2704"/>
      <c r="D4" s="2704"/>
      <c r="E4" s="2706"/>
      <c r="F4" s="2702"/>
      <c r="G4" s="1488"/>
      <c r="H4" s="1488"/>
      <c r="I4" s="1488"/>
      <c r="J4" s="1488"/>
      <c r="K4" s="1488"/>
      <c r="L4" s="1488"/>
      <c r="M4" s="1488"/>
      <c r="N4" s="1488"/>
      <c r="O4" s="1488"/>
      <c r="P4" s="1488"/>
      <c r="Q4" s="1488"/>
      <c r="R4" s="1488"/>
      <c r="S4" s="1488"/>
    </row>
    <row r="5" spans="1:22" ht="15">
      <c r="A5" s="2598" t="s">
        <v>1653</v>
      </c>
      <c r="B5" s="3685" t="s">
        <v>1654</v>
      </c>
      <c r="C5" s="3686"/>
      <c r="D5" s="2703"/>
      <c r="E5" s="1873" t="s">
        <v>1655</v>
      </c>
      <c r="F5" s="1874" t="s">
        <v>1656</v>
      </c>
      <c r="G5" s="1488"/>
      <c r="H5" s="1488"/>
      <c r="I5" s="1488"/>
      <c r="J5" s="1488"/>
      <c r="K5" s="1488"/>
      <c r="L5" s="1488"/>
      <c r="M5" s="1488"/>
      <c r="N5" s="1488"/>
      <c r="O5" s="1488"/>
      <c r="P5" s="1488"/>
      <c r="Q5" s="1488"/>
      <c r="R5" s="1488"/>
      <c r="S5" s="1488"/>
    </row>
    <row r="6" spans="1:22">
      <c r="A6" s="2599" t="str">
        <f>'数据-取费表'!AN6</f>
        <v>收益法 (元)</v>
      </c>
      <c r="B6" s="2597">
        <f ca="1">IF(F6="是",'数据-取费表'!AO6,0)</f>
        <v>1498.4185</v>
      </c>
      <c r="C6" s="1871" t="s">
        <v>1651</v>
      </c>
      <c r="D6" s="2704"/>
      <c r="E6" s="2601">
        <f>IF(OR(A6=0,F6="否"),0,'数据-取费表'!K6+'数据-取费表'!S6)</f>
        <v>459.68</v>
      </c>
      <c r="F6" s="1875" t="s">
        <v>1657</v>
      </c>
      <c r="G6" s="1488"/>
      <c r="H6" s="1488"/>
      <c r="I6" s="1488"/>
      <c r="J6" s="1488"/>
      <c r="K6" s="1488"/>
      <c r="L6" s="1488"/>
      <c r="M6" s="1488"/>
      <c r="N6" s="1488"/>
      <c r="O6" s="1488"/>
      <c r="P6" s="1488"/>
      <c r="Q6" s="1488"/>
      <c r="R6" s="1488"/>
      <c r="S6" s="1488"/>
    </row>
    <row r="7" spans="1:22">
      <c r="A7" s="2599">
        <f>'数据-取费表'!AN7</f>
        <v>0</v>
      </c>
      <c r="B7" s="2597" t="e">
        <f ca="1">IF(F7="是",'数据-取费表'!AO7,0)</f>
        <v>#REF!</v>
      </c>
      <c r="C7" s="1871" t="s">
        <v>1651</v>
      </c>
      <c r="D7" s="2704"/>
      <c r="E7" s="2601">
        <f>IF(OR(A7=0,F7="否"),0,'数据-取费表'!K7+'数据-取费表'!S7)</f>
        <v>0</v>
      </c>
      <c r="F7" s="1875" t="s">
        <v>1657</v>
      </c>
      <c r="G7" s="1488"/>
      <c r="H7" s="1488"/>
      <c r="I7" s="1488"/>
      <c r="J7" s="1488"/>
      <c r="K7" s="1488"/>
      <c r="L7" s="1488"/>
      <c r="M7" s="1488"/>
      <c r="N7" s="1488"/>
      <c r="O7" s="1488"/>
      <c r="P7" s="1488"/>
      <c r="Q7" s="1488"/>
      <c r="R7" s="1488"/>
      <c r="S7" s="1488"/>
    </row>
    <row r="8" spans="1:22">
      <c r="A8" s="2599">
        <f>'数据-取费表'!AN8</f>
        <v>0</v>
      </c>
      <c r="B8" s="2597" t="e">
        <f ca="1">IF(F8="是",'数据-取费表'!AO8,0)</f>
        <v>#REF!</v>
      </c>
      <c r="C8" s="1871" t="s">
        <v>1651</v>
      </c>
      <c r="D8" s="2704"/>
      <c r="E8" s="2601">
        <f>IF(OR(A8=0,F8="否"),0,'数据-取费表'!K8+'数据-取费表'!S8)</f>
        <v>0</v>
      </c>
      <c r="F8" s="1875" t="s">
        <v>1657</v>
      </c>
      <c r="G8" s="1488"/>
      <c r="H8" s="1488"/>
      <c r="I8" s="1488"/>
      <c r="J8" s="1488"/>
      <c r="K8" s="1488"/>
      <c r="L8" s="1488"/>
      <c r="M8" s="1488"/>
      <c r="N8" s="1488"/>
      <c r="O8" s="1488"/>
      <c r="P8" s="1488"/>
      <c r="Q8" s="1488"/>
      <c r="R8" s="1488"/>
      <c r="S8" s="1488"/>
    </row>
    <row r="9" spans="1:22">
      <c r="A9" s="2599">
        <f>'数据-取费表'!AN9</f>
        <v>0</v>
      </c>
      <c r="B9" s="2597" t="e">
        <f ca="1">IF(F9="是",'数据-取费表'!AO9,0)</f>
        <v>#REF!</v>
      </c>
      <c r="C9" s="1871" t="s">
        <v>1651</v>
      </c>
      <c r="D9" s="2704"/>
      <c r="E9" s="2601">
        <f>IF(OR(A9=0,F9="否"),0,'数据-取费表'!K9+'数据-取费表'!S9)</f>
        <v>0</v>
      </c>
      <c r="F9" s="1875" t="s">
        <v>1657</v>
      </c>
      <c r="G9" s="1488"/>
      <c r="H9" s="1488"/>
      <c r="I9" s="1488"/>
      <c r="J9" s="1488"/>
      <c r="K9" s="1488"/>
      <c r="L9" s="1488"/>
      <c r="M9" s="1488"/>
      <c r="N9" s="1488"/>
      <c r="O9" s="1488"/>
      <c r="P9" s="1488"/>
      <c r="Q9" s="1488"/>
      <c r="R9" s="1488"/>
      <c r="S9" s="1488"/>
    </row>
    <row r="10" spans="1:22">
      <c r="A10" s="2599">
        <f>'数据-取费表'!AN10</f>
        <v>0</v>
      </c>
      <c r="B10" s="2597" t="e">
        <f ca="1">IF(F10="是",'数据-取费表'!AO10,0)</f>
        <v>#REF!</v>
      </c>
      <c r="C10" s="1871" t="s">
        <v>1651</v>
      </c>
      <c r="D10" s="2704"/>
      <c r="E10" s="2601">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599">
        <f>'数据-取费表'!AN11</f>
        <v>0</v>
      </c>
      <c r="B11" s="2597" t="e">
        <f ca="1">IF(F11="是",'数据-取费表'!AO11,0)</f>
        <v>#REF!</v>
      </c>
      <c r="C11" s="1871" t="s">
        <v>1651</v>
      </c>
      <c r="D11" s="2704"/>
      <c r="E11" s="2601">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599">
        <f>'数据-取费表'!AN12</f>
        <v>0</v>
      </c>
      <c r="B12" s="2597" t="e">
        <f ca="1">IF(F12="是",'数据-取费表'!AO12,0)</f>
        <v>#REF!</v>
      </c>
      <c r="C12" s="1871" t="s">
        <v>1651</v>
      </c>
      <c r="D12" s="2704"/>
      <c r="E12" s="2601">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0">
        <f>'数据-取费表'!AN13</f>
        <v>0</v>
      </c>
      <c r="B13" s="2597" t="e">
        <f ca="1">IF(F13="是",'数据-取费表'!AO13,0)</f>
        <v>#REF!</v>
      </c>
      <c r="C13" s="1876" t="s">
        <v>1651</v>
      </c>
      <c r="D13" s="2705"/>
      <c r="E13" s="2601">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 zoomScale="80" zoomScaleNormal="60" zoomScaleSheetLayoutView="80" workbookViewId="0">
      <selection activeCell="C11" sqref="C1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3381</v>
      </c>
      <c r="E1" s="3421" t="s">
        <v>3410</v>
      </c>
      <c r="F1" s="1878" t="s">
        <v>3411</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2" t="e">
        <f>IF(E1="项目模式",IF(C2="——",ROUND(C49*D3/10000,0),ROUND(C49*D3/10000,0)-D2),IF(E1="单套模式",IF(C2="——",ROUND(C49*D3/10000,4),ROUND(C49*D3/10000,4)-D2)))</f>
        <v>#DIV/0!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08"/>
      <c r="M2" s="2709"/>
      <c r="N2" s="2709"/>
      <c r="O2" s="2709"/>
      <c r="P2" s="1884"/>
      <c r="Q2" s="1885"/>
      <c r="R2" s="1885"/>
      <c r="S2" s="1885"/>
      <c r="T2" s="1885"/>
      <c r="U2" s="1885"/>
      <c r="V2" s="1885"/>
      <c r="W2" s="1885"/>
      <c r="X2" s="1885"/>
      <c r="Y2" s="1885"/>
      <c r="Z2" s="1885"/>
      <c r="AA2" s="1885"/>
      <c r="AB2" s="1885"/>
      <c r="AC2" s="1886"/>
    </row>
    <row r="3" spans="1:29" s="347" customFormat="1" ht="28.5" customHeight="1" thickBot="1">
      <c r="A3" s="203" t="s">
        <v>686</v>
      </c>
      <c r="B3" s="353" t="e">
        <f>IF(C2="——",C49,ROUND(B2*10000/D3,0))</f>
        <v>#DIV/0!</v>
      </c>
      <c r="C3" s="354" t="s">
        <v>1665</v>
      </c>
      <c r="D3" s="353">
        <f>IF(D1="",'数据-汇总表'!E3,SUMIF('数据-汇总表'!$C19:$C33,D1,'数据-汇总表'!$E19:$E33))</f>
        <v>0</v>
      </c>
      <c r="E3" s="907"/>
      <c r="F3" s="1887"/>
      <c r="G3" s="907"/>
      <c r="H3" s="907"/>
      <c r="I3" s="907"/>
      <c r="J3" s="907"/>
      <c r="K3" s="1883"/>
      <c r="L3" s="2708"/>
      <c r="M3" s="2709"/>
      <c r="N3" s="2709"/>
      <c r="O3" s="2709"/>
      <c r="P3" s="1884"/>
      <c r="Q3" s="1885"/>
      <c r="R3" s="1885"/>
      <c r="S3" s="1885"/>
      <c r="T3" s="1885"/>
      <c r="U3" s="1885"/>
      <c r="V3" s="1885"/>
      <c r="W3" s="1885"/>
      <c r="X3" s="1885"/>
      <c r="Y3" s="1885"/>
      <c r="Z3" s="1885"/>
      <c r="AA3" s="1885"/>
      <c r="AB3" s="1885"/>
      <c r="AC3" s="1061"/>
    </row>
    <row r="4" spans="1:29" ht="15">
      <c r="A4" s="355" t="s">
        <v>1666</v>
      </c>
      <c r="B4" s="356"/>
      <c r="C4" s="3706" t="s">
        <v>1667</v>
      </c>
      <c r="D4" s="3707"/>
      <c r="E4" s="3708" t="s">
        <v>1668</v>
      </c>
      <c r="F4" s="3709"/>
      <c r="G4" s="3706" t="s">
        <v>1669</v>
      </c>
      <c r="H4" s="3707"/>
      <c r="I4" s="3706" t="s">
        <v>1670</v>
      </c>
      <c r="J4" s="3707"/>
      <c r="K4" s="1888" t="s">
        <v>1671</v>
      </c>
      <c r="L4" s="2710"/>
      <c r="M4" s="2711"/>
      <c r="N4" s="2711"/>
      <c r="O4" s="2711"/>
      <c r="P4" s="3710" t="s">
        <v>1672</v>
      </c>
      <c r="Q4" s="3711"/>
      <c r="R4" s="3692" t="s">
        <v>1668</v>
      </c>
      <c r="S4" s="3693"/>
      <c r="T4" s="3692" t="s">
        <v>1669</v>
      </c>
      <c r="U4" s="3693"/>
      <c r="V4" s="3718" t="s">
        <v>1670</v>
      </c>
      <c r="W4" s="3718"/>
      <c r="X4" s="1354"/>
      <c r="Y4" s="3692" t="s">
        <v>1672</v>
      </c>
      <c r="Z4" s="3693"/>
      <c r="AA4" s="3687" t="s">
        <v>1668</v>
      </c>
      <c r="AB4" s="3687" t="s">
        <v>1669</v>
      </c>
      <c r="AC4" s="3687" t="s">
        <v>1670</v>
      </c>
    </row>
    <row r="5" spans="1:29" ht="15">
      <c r="A5" s="358"/>
      <c r="B5" s="359"/>
      <c r="C5" s="3698" t="s">
        <v>3397</v>
      </c>
      <c r="D5" s="3699"/>
      <c r="E5" s="3696" t="s">
        <v>1674</v>
      </c>
      <c r="F5" s="3697"/>
      <c r="G5" s="3702" t="s">
        <v>1675</v>
      </c>
      <c r="H5" s="3699"/>
      <c r="I5" s="3702" t="s">
        <v>1676</v>
      </c>
      <c r="J5" s="3699"/>
      <c r="K5" s="1889"/>
      <c r="L5" s="2710"/>
      <c r="M5" s="2711"/>
      <c r="N5" s="2711"/>
      <c r="O5" s="2711"/>
      <c r="P5" s="3712"/>
      <c r="Q5" s="3713"/>
      <c r="R5" s="3694"/>
      <c r="S5" s="3695"/>
      <c r="T5" s="3694"/>
      <c r="U5" s="3695"/>
      <c r="V5" s="3718"/>
      <c r="W5" s="3718"/>
      <c r="X5" s="1354"/>
      <c r="Y5" s="3694"/>
      <c r="Z5" s="3695"/>
      <c r="AA5" s="3688"/>
      <c r="AB5" s="3688"/>
      <c r="AC5" s="3688"/>
    </row>
    <row r="6" spans="1:29" ht="15.75" thickBot="1">
      <c r="A6" s="360"/>
      <c r="B6" s="361"/>
      <c r="C6" s="3700" t="s">
        <v>1677</v>
      </c>
      <c r="D6" s="3701"/>
      <c r="E6" s="3703" t="s">
        <v>1677</v>
      </c>
      <c r="F6" s="3704"/>
      <c r="G6" s="3700" t="s">
        <v>1677</v>
      </c>
      <c r="H6" s="3701"/>
      <c r="I6" s="3700" t="s">
        <v>1677</v>
      </c>
      <c r="J6" s="3701"/>
      <c r="K6" s="1889" t="s">
        <v>1678</v>
      </c>
      <c r="L6" s="2710"/>
      <c r="M6" s="2711"/>
      <c r="N6" s="2711"/>
      <c r="O6" s="2711"/>
      <c r="P6" s="3714"/>
      <c r="Q6" s="3715"/>
      <c r="R6" s="3694"/>
      <c r="S6" s="3695"/>
      <c r="T6" s="3716"/>
      <c r="U6" s="3717"/>
      <c r="V6" s="3718"/>
      <c r="W6" s="3718"/>
      <c r="X6" s="1354"/>
      <c r="Y6" s="3716"/>
      <c r="Z6" s="3717"/>
      <c r="AA6" s="3689"/>
      <c r="AB6" s="3689"/>
      <c r="AC6" s="3689"/>
    </row>
    <row r="7" spans="1:29" s="108" customFormat="1" ht="15.75" thickBot="1">
      <c r="A7" s="362" t="s">
        <v>1679</v>
      </c>
      <c r="B7" s="363"/>
      <c r="C7" s="364">
        <f>'数据-取费表'!B2</f>
        <v>44845</v>
      </c>
      <c r="D7" s="365">
        <v>100</v>
      </c>
      <c r="E7" s="366">
        <f>案例!$H$2</f>
        <v>5</v>
      </c>
      <c r="F7" s="367">
        <f>SUMIF(58:58,YEAR(E7)&amp;"-"&amp;MONTH(E7),59:59)</f>
        <v>0</v>
      </c>
      <c r="G7" s="366">
        <f>案例!H3</f>
        <v>7</v>
      </c>
      <c r="H7" s="365">
        <f>SUMIF(58:58,YEAR(G7)&amp;"-"&amp;MONTH(G7),59:59)</f>
        <v>0</v>
      </c>
      <c r="I7" s="366">
        <f>案例!H4</f>
        <v>4.8</v>
      </c>
      <c r="J7" s="365">
        <f>SUMIF(58:58,YEAR(I7)&amp;"-"&amp;MONTH(I7),59:59)</f>
        <v>0</v>
      </c>
      <c r="K7" s="1890"/>
      <c r="L7" s="2712"/>
      <c r="M7" s="2713"/>
      <c r="N7" s="2713"/>
      <c r="O7" s="2713"/>
      <c r="P7" s="3690" t="s">
        <v>1680</v>
      </c>
      <c r="Q7" s="3719"/>
      <c r="R7" s="701" t="s">
        <v>20</v>
      </c>
      <c r="S7" s="702">
        <f t="shared" ref="S7:S15" si="0">F7</f>
        <v>0</v>
      </c>
      <c r="T7" s="701" t="s">
        <v>20</v>
      </c>
      <c r="U7" s="702">
        <f t="shared" ref="U7:U15" si="1">H7</f>
        <v>0</v>
      </c>
      <c r="V7" s="701" t="s">
        <v>20</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t="s">
        <v>3398</v>
      </c>
      <c r="D8" s="365">
        <v>100</v>
      </c>
      <c r="E8" s="368" t="s">
        <v>3398</v>
      </c>
      <c r="F8" s="367">
        <f>SUMIF(61:61,E8,62:62)-SUMIF(61:61,C8,62:62)+100</f>
        <v>100</v>
      </c>
      <c r="G8" s="368" t="s">
        <v>3398</v>
      </c>
      <c r="H8" s="365">
        <f>SUMIF(61:61,G8,62:62)-SUMIF(61:61,C8,62:62)+100</f>
        <v>100</v>
      </c>
      <c r="I8" s="368" t="s">
        <v>3398</v>
      </c>
      <c r="J8" s="365">
        <f>SUMIF(61:61,I8,62:62)-SUMIF(61:61,C8,62:62)+100</f>
        <v>100</v>
      </c>
      <c r="K8" s="1890"/>
      <c r="L8" s="2712"/>
      <c r="M8" s="2713"/>
      <c r="N8" s="2713"/>
      <c r="O8" s="2713"/>
      <c r="P8" s="3690" t="s">
        <v>1683</v>
      </c>
      <c r="Q8" s="3691"/>
      <c r="R8" s="701" t="s">
        <v>20</v>
      </c>
      <c r="S8" s="702">
        <f t="shared" si="0"/>
        <v>100</v>
      </c>
      <c r="T8" s="701" t="s">
        <v>20</v>
      </c>
      <c r="U8" s="702">
        <f t="shared" si="1"/>
        <v>100</v>
      </c>
      <c r="V8" s="701" t="s">
        <v>20</v>
      </c>
      <c r="W8" s="702">
        <f t="shared" si="2"/>
        <v>100</v>
      </c>
      <c r="X8" s="703"/>
      <c r="Y8" s="3690" t="s">
        <v>1683</v>
      </c>
      <c r="Z8" s="3691"/>
      <c r="AA8" s="704">
        <f t="shared" ref="AA8:AA19" si="3">D8/F8</f>
        <v>1</v>
      </c>
      <c r="AB8" s="704">
        <f t="shared" ref="AB8:AB19" si="4">D8/H8</f>
        <v>1</v>
      </c>
      <c r="AC8" s="704">
        <f t="shared" ref="AC8:AC19" si="5">D8/J8</f>
        <v>1</v>
      </c>
    </row>
    <row r="9" spans="1:29" s="108" customFormat="1">
      <c r="A9" s="369" t="s">
        <v>1684</v>
      </c>
      <c r="B9" s="63" t="s">
        <v>1685</v>
      </c>
      <c r="C9" s="3452" t="s">
        <v>3421</v>
      </c>
      <c r="D9" s="126">
        <v>100</v>
      </c>
      <c r="E9" s="371" t="s">
        <v>3381</v>
      </c>
      <c r="F9" s="372">
        <f>SUMIF(63:63,E9,64:64)-SUMIF(63:63,C9,64:64)+100</f>
        <v>100</v>
      </c>
      <c r="G9" s="373" t="s">
        <v>3381</v>
      </c>
      <c r="H9" s="126">
        <f>SUMIF(63:63,G9,64:64)-SUMIF(63:63,C9,64:64)+100</f>
        <v>100</v>
      </c>
      <c r="I9" s="373" t="s">
        <v>3381</v>
      </c>
      <c r="J9" s="126">
        <f>SUMIF(63:63,I9,64:64)-SUMIF(63:63,C9,64:64)+100</f>
        <v>100</v>
      </c>
      <c r="K9" s="1890"/>
      <c r="L9" s="2712"/>
      <c r="M9" s="2713"/>
      <c r="N9" s="2713"/>
      <c r="O9" s="2713"/>
      <c r="P9" s="3705"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90"/>
      <c r="L10" s="2714"/>
      <c r="M10" s="2715"/>
      <c r="N10" s="2715"/>
      <c r="O10" s="2715"/>
      <c r="P10" s="3705"/>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705"/>
      <c r="Q11" s="1342" t="str">
        <f t="shared" si="6"/>
        <v>容积率</v>
      </c>
      <c r="R11" s="701" t="s">
        <v>18</v>
      </c>
      <c r="S11" s="702">
        <f t="shared" si="0"/>
        <v>100</v>
      </c>
      <c r="T11" s="701" t="s">
        <v>18</v>
      </c>
      <c r="U11" s="702">
        <f t="shared" si="1"/>
        <v>100</v>
      </c>
      <c r="V11" s="701" t="s">
        <v>18</v>
      </c>
      <c r="W11" s="702">
        <f t="shared" si="2"/>
        <v>100</v>
      </c>
      <c r="X11" s="703"/>
      <c r="Y11" s="3634"/>
      <c r="Z11" s="52" t="str">
        <f t="shared" si="7"/>
        <v>容积率</v>
      </c>
      <c r="AA11" s="704">
        <f t="shared" si="3"/>
        <v>1</v>
      </c>
      <c r="AB11" s="704">
        <f t="shared" si="4"/>
        <v>1</v>
      </c>
      <c r="AC11" s="704">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2"/>
      <c r="M12" s="2713"/>
      <c r="N12" s="2713"/>
      <c r="O12" s="2713"/>
      <c r="P12" s="3705"/>
      <c r="Q12" s="1342">
        <f t="shared" si="6"/>
        <v>111</v>
      </c>
      <c r="R12" s="701" t="s">
        <v>18</v>
      </c>
      <c r="S12" s="702">
        <f t="shared" si="0"/>
        <v>100</v>
      </c>
      <c r="T12" s="701" t="s">
        <v>18</v>
      </c>
      <c r="U12" s="702">
        <f t="shared" si="1"/>
        <v>100</v>
      </c>
      <c r="V12" s="701" t="s">
        <v>18</v>
      </c>
      <c r="W12" s="702">
        <f t="shared" si="2"/>
        <v>100</v>
      </c>
      <c r="X12" s="703"/>
      <c r="Y12" s="3634"/>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7"/>
      <c r="M13" s="2711"/>
      <c r="N13" s="2711"/>
      <c r="O13" s="2711"/>
      <c r="P13" s="3705"/>
      <c r="Q13" s="1342">
        <f t="shared" si="6"/>
        <v>111</v>
      </c>
      <c r="R13" s="701" t="s">
        <v>18</v>
      </c>
      <c r="S13" s="702">
        <f t="shared" si="0"/>
        <v>100</v>
      </c>
      <c r="T13" s="701" t="s">
        <v>18</v>
      </c>
      <c r="U13" s="702">
        <f t="shared" si="1"/>
        <v>100</v>
      </c>
      <c r="V13" s="701" t="s">
        <v>18</v>
      </c>
      <c r="W13" s="702">
        <f t="shared" si="2"/>
        <v>100</v>
      </c>
      <c r="X13" s="703"/>
      <c r="Y13" s="3634"/>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7"/>
      <c r="M14" s="2711"/>
      <c r="N14" s="2711"/>
      <c r="O14" s="2711"/>
      <c r="P14" s="3705"/>
      <c r="Q14" s="1342">
        <f t="shared" si="6"/>
        <v>111</v>
      </c>
      <c r="R14" s="701" t="s">
        <v>18</v>
      </c>
      <c r="S14" s="702">
        <f t="shared" si="0"/>
        <v>100</v>
      </c>
      <c r="T14" s="701" t="s">
        <v>18</v>
      </c>
      <c r="U14" s="702">
        <f t="shared" si="1"/>
        <v>100</v>
      </c>
      <c r="V14" s="701" t="s">
        <v>18</v>
      </c>
      <c r="W14" s="702">
        <f t="shared" si="2"/>
        <v>100</v>
      </c>
      <c r="X14" s="703"/>
      <c r="Y14" s="3634"/>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732" t="s">
        <v>1691</v>
      </c>
      <c r="Q15" s="1351" t="str">
        <f t="shared" si="6"/>
        <v>居住社区成熟度</v>
      </c>
      <c r="R15" s="705" t="s">
        <v>18</v>
      </c>
      <c r="S15" s="706">
        <f t="shared" si="0"/>
        <v>100</v>
      </c>
      <c r="T15" s="705" t="s">
        <v>18</v>
      </c>
      <c r="U15" s="706">
        <f t="shared" si="1"/>
        <v>100</v>
      </c>
      <c r="V15" s="705" t="s">
        <v>18</v>
      </c>
      <c r="W15" s="706">
        <f t="shared" si="2"/>
        <v>100</v>
      </c>
      <c r="X15" s="1354"/>
      <c r="Y15" s="3725" t="s">
        <v>1691</v>
      </c>
      <c r="Z15" s="1355" t="str">
        <f t="shared" si="7"/>
        <v>居住社区成熟度</v>
      </c>
      <c r="AA15" s="1352">
        <f t="shared" si="3"/>
        <v>1</v>
      </c>
      <c r="AB15" s="1352">
        <f t="shared" si="4"/>
        <v>1</v>
      </c>
      <c r="AC15" s="1352">
        <f t="shared" si="5"/>
        <v>1</v>
      </c>
    </row>
    <row r="16" spans="1:29" ht="15">
      <c r="A16" s="379"/>
      <c r="B16" s="397"/>
      <c r="C16" s="398" t="str">
        <f>基准地价修正!C72</f>
        <v>较好</v>
      </c>
      <c r="D16" s="399"/>
      <c r="E16" s="398" t="str">
        <f>C16</f>
        <v>较好</v>
      </c>
      <c r="F16" s="399"/>
      <c r="G16" s="398" t="str">
        <f>C16</f>
        <v>较好</v>
      </c>
      <c r="H16" s="401"/>
      <c r="I16" s="398" t="str">
        <f>C16</f>
        <v>较好</v>
      </c>
      <c r="J16" s="399"/>
      <c r="K16" s="1897"/>
      <c r="L16" s="2717"/>
      <c r="M16" s="2711"/>
      <c r="N16" s="2711"/>
      <c r="O16" s="2711"/>
      <c r="P16" s="3733"/>
      <c r="Q16" s="1351"/>
      <c r="R16" s="705"/>
      <c r="S16" s="706"/>
      <c r="T16" s="705"/>
      <c r="U16" s="706"/>
      <c r="V16" s="705"/>
      <c r="W16" s="706"/>
      <c r="X16" s="1354"/>
      <c r="Y16" s="3726"/>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733"/>
      <c r="Q17" s="1351" t="str">
        <f>B17</f>
        <v>交通便捷度</v>
      </c>
      <c r="R17" s="705" t="s">
        <v>18</v>
      </c>
      <c r="S17" s="706">
        <f>F17</f>
        <v>100</v>
      </c>
      <c r="T17" s="705" t="s">
        <v>18</v>
      </c>
      <c r="U17" s="706">
        <f>H17</f>
        <v>100</v>
      </c>
      <c r="V17" s="705" t="s">
        <v>18</v>
      </c>
      <c r="W17" s="706">
        <f>J17</f>
        <v>100</v>
      </c>
      <c r="X17" s="1354"/>
      <c r="Y17" s="3726"/>
      <c r="Z17" s="1355" t="str">
        <f>Q17</f>
        <v>交通便捷度</v>
      </c>
      <c r="AA17" s="1352">
        <f t="shared" si="3"/>
        <v>1</v>
      </c>
      <c r="AB17" s="1352">
        <f t="shared" si="4"/>
        <v>1</v>
      </c>
      <c r="AC17" s="1352">
        <f t="shared" si="5"/>
        <v>1</v>
      </c>
    </row>
    <row r="18" spans="1:29" ht="15">
      <c r="A18" s="379"/>
      <c r="B18" s="407"/>
      <c r="C18" s="1899" t="str">
        <f>基准地价修正!C73</f>
        <v>一般</v>
      </c>
      <c r="D18" s="401"/>
      <c r="E18" s="1899" t="str">
        <f>C18</f>
        <v>一般</v>
      </c>
      <c r="F18" s="401"/>
      <c r="G18" s="1899" t="str">
        <f>C18</f>
        <v>一般</v>
      </c>
      <c r="H18" s="399"/>
      <c r="I18" s="1899" t="str">
        <f>C18</f>
        <v>一般</v>
      </c>
      <c r="J18" s="399"/>
      <c r="K18" s="1897"/>
      <c r="L18" s="2717"/>
      <c r="M18" s="2711"/>
      <c r="N18" s="2711"/>
      <c r="O18" s="2711"/>
      <c r="P18" s="3733"/>
      <c r="Q18" s="1351"/>
      <c r="R18" s="705"/>
      <c r="S18" s="706"/>
      <c r="T18" s="705"/>
      <c r="U18" s="706"/>
      <c r="V18" s="705"/>
      <c r="W18" s="706"/>
      <c r="X18" s="1354"/>
      <c r="Y18" s="3726"/>
      <c r="Z18" s="1355"/>
      <c r="AA18" s="1352">
        <v>1</v>
      </c>
      <c r="AB18" s="1352">
        <v>1</v>
      </c>
      <c r="AC18" s="1352">
        <v>1</v>
      </c>
    </row>
    <row r="19" spans="1:29" ht="285">
      <c r="A19" s="379"/>
      <c r="B19" s="402" t="s">
        <v>1258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733"/>
      <c r="Q19" s="1351" t="str">
        <f>B19</f>
        <v>公共配套设施</v>
      </c>
      <c r="R19" s="705" t="s">
        <v>18</v>
      </c>
      <c r="S19" s="706">
        <f>F19</f>
        <v>100</v>
      </c>
      <c r="T19" s="705" t="s">
        <v>18</v>
      </c>
      <c r="U19" s="706">
        <f>H19</f>
        <v>100</v>
      </c>
      <c r="V19" s="705" t="s">
        <v>18</v>
      </c>
      <c r="W19" s="706">
        <f>J19</f>
        <v>100</v>
      </c>
      <c r="X19" s="1354"/>
      <c r="Y19" s="3726"/>
      <c r="Z19" s="1355" t="str">
        <f>Q19</f>
        <v>公共配套设施</v>
      </c>
      <c r="AA19" s="1352">
        <f t="shared" si="3"/>
        <v>1</v>
      </c>
      <c r="AB19" s="1352">
        <f t="shared" si="4"/>
        <v>1</v>
      </c>
      <c r="AC19" s="1352">
        <f t="shared" si="5"/>
        <v>1</v>
      </c>
    </row>
    <row r="20" spans="1:29" ht="15">
      <c r="A20" s="379"/>
      <c r="B20" s="407"/>
      <c r="C20" s="398" t="str">
        <f>基准地价修正!C76</f>
        <v>较好</v>
      </c>
      <c r="D20" s="399"/>
      <c r="E20" s="398" t="str">
        <f>C20</f>
        <v>较好</v>
      </c>
      <c r="F20" s="399"/>
      <c r="G20" s="398" t="str">
        <f>C20</f>
        <v>较好</v>
      </c>
      <c r="H20" s="399"/>
      <c r="I20" s="398" t="str">
        <f>C20</f>
        <v>较好</v>
      </c>
      <c r="J20" s="399"/>
      <c r="K20" s="1897"/>
      <c r="L20" s="2717"/>
      <c r="M20" s="2711"/>
      <c r="N20" s="2711"/>
      <c r="O20" s="2711"/>
      <c r="P20" s="3733"/>
      <c r="Q20" s="1351"/>
      <c r="R20" s="705"/>
      <c r="S20" s="706"/>
      <c r="T20" s="705"/>
      <c r="U20" s="706"/>
      <c r="V20" s="705"/>
      <c r="W20" s="706"/>
      <c r="X20" s="1354"/>
      <c r="Y20" s="3726"/>
      <c r="Z20" s="1355"/>
      <c r="AA20" s="1352">
        <v>1</v>
      </c>
      <c r="AB20" s="1352">
        <v>1</v>
      </c>
      <c r="AC20" s="1352">
        <v>1</v>
      </c>
    </row>
    <row r="21" spans="1:29" ht="42.75">
      <c r="A21" s="379"/>
      <c r="B21" s="1131" t="s">
        <v>1260</v>
      </c>
      <c r="C21" s="1898" t="str">
        <f>估价对象房地状况!C8</f>
        <v>估价对象所在区域基础设施水平-七通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733"/>
      <c r="Q21" s="1351" t="str">
        <f>B21</f>
        <v>基础设施水平</v>
      </c>
      <c r="R21" s="705" t="s">
        <v>14</v>
      </c>
      <c r="S21" s="706">
        <f>F21</f>
        <v>100</v>
      </c>
      <c r="T21" s="705" t="s">
        <v>14</v>
      </c>
      <c r="U21" s="706">
        <f>H21</f>
        <v>100</v>
      </c>
      <c r="V21" s="705" t="s">
        <v>14</v>
      </c>
      <c r="W21" s="706">
        <f>J21</f>
        <v>100</v>
      </c>
      <c r="X21" s="1354"/>
      <c r="Y21" s="3726"/>
      <c r="Z21" s="1355" t="str">
        <f>Q21</f>
        <v>基础设施水平</v>
      </c>
      <c r="AA21" s="1352">
        <f t="shared" ref="AA21" si="8">D21/F21</f>
        <v>1</v>
      </c>
      <c r="AB21" s="1352">
        <f t="shared" ref="AB21" si="9">D21/H21</f>
        <v>1</v>
      </c>
      <c r="AC21" s="1352">
        <f t="shared" ref="AC21" si="10">D21/J21</f>
        <v>1</v>
      </c>
    </row>
    <row r="22" spans="1:29" ht="15">
      <c r="A22" s="379"/>
      <c r="B22" s="1131"/>
      <c r="C22" s="1899" t="s">
        <v>3408</v>
      </c>
      <c r="D22" s="399"/>
      <c r="E22" s="398" t="str">
        <f>C22</f>
        <v>七通</v>
      </c>
      <c r="F22" s="399"/>
      <c r="G22" s="1902" t="str">
        <f>C22</f>
        <v>七通</v>
      </c>
      <c r="H22" s="399"/>
      <c r="I22" s="398" t="str">
        <f>C22</f>
        <v>七通</v>
      </c>
      <c r="J22" s="399"/>
      <c r="K22" s="1903"/>
      <c r="L22" s="2717"/>
      <c r="M22" s="2711"/>
      <c r="N22" s="2711"/>
      <c r="O22" s="2711"/>
      <c r="P22" s="3733"/>
      <c r="Q22" s="1351"/>
      <c r="R22" s="705"/>
      <c r="S22" s="706"/>
      <c r="T22" s="705"/>
      <c r="U22" s="706"/>
      <c r="V22" s="705"/>
      <c r="W22" s="706"/>
      <c r="X22" s="1354"/>
      <c r="Y22" s="3726"/>
      <c r="Z22" s="1355"/>
      <c r="AA22" s="1352">
        <v>1</v>
      </c>
      <c r="AB22" s="1352">
        <v>1</v>
      </c>
      <c r="AC22" s="1352">
        <v>1</v>
      </c>
    </row>
    <row r="23" spans="1:29" ht="99.75">
      <c r="A23" s="379"/>
      <c r="B23" s="402" t="s">
        <v>1261</v>
      </c>
      <c r="C23" s="1898" t="str">
        <f>估价对象房地状况!C9</f>
        <v>区域自然环境：知春公园、双榆树公园；人文环境；首体足球场、大运村网球场；
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733"/>
      <c r="Q23" s="1351" t="str">
        <f>B23</f>
        <v>自然及人文环境</v>
      </c>
      <c r="R23" s="705" t="s">
        <v>18</v>
      </c>
      <c r="S23" s="706">
        <f>F23</f>
        <v>100</v>
      </c>
      <c r="T23" s="705" t="s">
        <v>18</v>
      </c>
      <c r="U23" s="706">
        <f>H23</f>
        <v>100</v>
      </c>
      <c r="V23" s="705" t="s">
        <v>18</v>
      </c>
      <c r="W23" s="706">
        <f>J23</f>
        <v>100</v>
      </c>
      <c r="X23" s="1354"/>
      <c r="Y23" s="3726"/>
      <c r="Z23" s="1355" t="str">
        <f>Q23</f>
        <v>自然及人文环境</v>
      </c>
      <c r="AA23" s="1352">
        <f>D23/F23</f>
        <v>1</v>
      </c>
      <c r="AB23" s="1352">
        <f>D23/H23</f>
        <v>1</v>
      </c>
      <c r="AC23" s="1352">
        <f>D23/J23</f>
        <v>1</v>
      </c>
    </row>
    <row r="24" spans="1:29" ht="15">
      <c r="A24" s="379"/>
      <c r="B24" s="407"/>
      <c r="C24" s="398" t="str">
        <f>基准地价修正!C79</f>
        <v>较好</v>
      </c>
      <c r="D24" s="399"/>
      <c r="E24" s="398" t="str">
        <f>C24</f>
        <v>较好</v>
      </c>
      <c r="F24" s="399"/>
      <c r="G24" s="398" t="str">
        <f>C24</f>
        <v>较好</v>
      </c>
      <c r="H24" s="399"/>
      <c r="I24" s="398" t="str">
        <f>C24</f>
        <v>较好</v>
      </c>
      <c r="J24" s="399"/>
      <c r="K24" s="1897"/>
      <c r="L24" s="2717"/>
      <c r="M24" s="2711"/>
      <c r="N24" s="2711"/>
      <c r="O24" s="2711"/>
      <c r="P24" s="3733"/>
      <c r="Q24" s="1351"/>
      <c r="R24" s="705"/>
      <c r="S24" s="706"/>
      <c r="T24" s="705"/>
      <c r="U24" s="706"/>
      <c r="V24" s="705"/>
      <c r="W24" s="706"/>
      <c r="X24" s="1354"/>
      <c r="Y24" s="3726"/>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7"/>
      <c r="M25" s="2711"/>
      <c r="N25" s="2711"/>
      <c r="O25" s="2711"/>
      <c r="P25" s="3733"/>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26"/>
      <c r="Z25" s="1355" t="str">
        <f>Q25</f>
        <v>楼层-1</v>
      </c>
      <c r="AA25" s="1352">
        <f t="shared" ref="AA25:AA46" si="15">D25/F25</f>
        <v>1</v>
      </c>
      <c r="AB25" s="1352">
        <f t="shared" ref="AB25:AB46" si="16">D25/H25</f>
        <v>1</v>
      </c>
      <c r="AC25" s="1352">
        <f t="shared" ref="AC25:AC46" si="17">D25/J25</f>
        <v>1</v>
      </c>
    </row>
    <row r="26" spans="1:29" ht="15.75" thickBot="1">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7"/>
      <c r="M26" s="2711"/>
      <c r="N26" s="2711"/>
      <c r="O26" s="2711"/>
      <c r="P26" s="3733"/>
      <c r="Q26" s="1351" t="str">
        <f t="shared" si="11"/>
        <v>朝向</v>
      </c>
      <c r="R26" s="705" t="s">
        <v>18</v>
      </c>
      <c r="S26" s="706">
        <f t="shared" si="12"/>
        <v>100</v>
      </c>
      <c r="T26" s="705" t="s">
        <v>18</v>
      </c>
      <c r="U26" s="706">
        <f t="shared" si="13"/>
        <v>100</v>
      </c>
      <c r="V26" s="705" t="s">
        <v>18</v>
      </c>
      <c r="W26" s="706">
        <f t="shared" si="14"/>
        <v>100</v>
      </c>
      <c r="X26" s="1354"/>
      <c r="Y26" s="3726"/>
      <c r="Z26" s="1355" t="str">
        <f>Q26</f>
        <v>朝向</v>
      </c>
      <c r="AA26" s="1352">
        <f t="shared" si="15"/>
        <v>1</v>
      </c>
      <c r="AB26" s="1352">
        <f t="shared" si="16"/>
        <v>1</v>
      </c>
      <c r="AC26" s="1352">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2"/>
      <c r="L27" s="2712"/>
      <c r="M27" s="2713"/>
      <c r="N27" s="2713"/>
      <c r="O27" s="2713"/>
      <c r="P27" s="3733"/>
      <c r="Q27" s="1342">
        <f t="shared" si="11"/>
        <v>111</v>
      </c>
      <c r="R27" s="701" t="s">
        <v>18</v>
      </c>
      <c r="S27" s="702">
        <f t="shared" si="12"/>
        <v>100</v>
      </c>
      <c r="T27" s="701" t="s">
        <v>18</v>
      </c>
      <c r="U27" s="702">
        <f t="shared" si="13"/>
        <v>100</v>
      </c>
      <c r="V27" s="701" t="s">
        <v>18</v>
      </c>
      <c r="W27" s="702">
        <f t="shared" si="14"/>
        <v>100</v>
      </c>
      <c r="X27" s="703"/>
      <c r="Y27" s="3726"/>
      <c r="Z27" s="52">
        <f>Q27</f>
        <v>111</v>
      </c>
      <c r="AA27" s="1352">
        <f t="shared" si="15"/>
        <v>1</v>
      </c>
      <c r="AB27" s="1352">
        <f t="shared" si="16"/>
        <v>1</v>
      </c>
      <c r="AC27" s="1352">
        <f t="shared" si="17"/>
        <v>1</v>
      </c>
    </row>
    <row r="28" spans="1:29" ht="15" hidden="1">
      <c r="A28" s="379"/>
      <c r="B28" s="1133">
        <v>111</v>
      </c>
      <c r="C28" s="385"/>
      <c r="D28" s="386">
        <v>100</v>
      </c>
      <c r="E28" s="385"/>
      <c r="F28" s="386">
        <f>SUMIF(92:92,E28,93:93)-SUMIF(92:92,C28,93:93)+100</f>
        <v>100</v>
      </c>
      <c r="G28" s="1906"/>
      <c r="H28" s="386">
        <f>SUMIF(92:92,G28,93:93)-SUMIF(92:92,C28,93:93)+100</f>
        <v>100</v>
      </c>
      <c r="I28" s="385"/>
      <c r="J28" s="386">
        <f>SUMIF(92:92,I28,93:93)-SUMIF(92:92,C28,93:93)+100</f>
        <v>100</v>
      </c>
      <c r="K28" s="1892"/>
      <c r="L28" s="2717"/>
      <c r="M28" s="2711"/>
      <c r="N28" s="2711"/>
      <c r="O28" s="2711"/>
      <c r="P28" s="3733"/>
      <c r="Q28" s="1351">
        <f t="shared" si="11"/>
        <v>111</v>
      </c>
      <c r="R28" s="705" t="s">
        <v>18</v>
      </c>
      <c r="S28" s="706">
        <f t="shared" si="12"/>
        <v>100</v>
      </c>
      <c r="T28" s="705" t="s">
        <v>18</v>
      </c>
      <c r="U28" s="706">
        <f t="shared" si="13"/>
        <v>100</v>
      </c>
      <c r="V28" s="705" t="s">
        <v>18</v>
      </c>
      <c r="W28" s="706">
        <f t="shared" si="14"/>
        <v>100</v>
      </c>
      <c r="X28" s="1354"/>
      <c r="Y28" s="3726"/>
      <c r="Z28" s="1355">
        <f t="shared" ref="Z28:Z46" si="18">Q28</f>
        <v>111</v>
      </c>
      <c r="AA28" s="1352">
        <f t="shared" si="15"/>
        <v>1</v>
      </c>
      <c r="AB28" s="1352">
        <f t="shared" si="16"/>
        <v>1</v>
      </c>
      <c r="AC28" s="1352">
        <f t="shared" si="17"/>
        <v>1</v>
      </c>
    </row>
    <row r="29" spans="1:29" ht="15" hidden="1">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2"/>
      <c r="L29" s="2717"/>
      <c r="M29" s="2711"/>
      <c r="N29" s="2711"/>
      <c r="O29" s="2711"/>
      <c r="P29" s="3733"/>
      <c r="Q29" s="1351">
        <f t="shared" si="11"/>
        <v>111</v>
      </c>
      <c r="R29" s="705" t="s">
        <v>18</v>
      </c>
      <c r="S29" s="706">
        <f t="shared" si="12"/>
        <v>100</v>
      </c>
      <c r="T29" s="705" t="s">
        <v>18</v>
      </c>
      <c r="U29" s="706">
        <f t="shared" si="13"/>
        <v>100</v>
      </c>
      <c r="V29" s="705" t="s">
        <v>18</v>
      </c>
      <c r="W29" s="706">
        <f t="shared" si="14"/>
        <v>100</v>
      </c>
      <c r="X29" s="1354"/>
      <c r="Y29" s="3726"/>
      <c r="Z29" s="1355">
        <f t="shared" si="18"/>
        <v>111</v>
      </c>
      <c r="AA29" s="1352">
        <f t="shared" si="15"/>
        <v>1</v>
      </c>
      <c r="AB29" s="1352">
        <f t="shared" si="16"/>
        <v>1</v>
      </c>
      <c r="AC29" s="1352">
        <f t="shared" si="17"/>
        <v>1</v>
      </c>
    </row>
    <row r="30" spans="1:29" ht="15" hidden="1">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2"/>
      <c r="L30" s="2717"/>
      <c r="M30" s="2711"/>
      <c r="N30" s="2711"/>
      <c r="O30" s="2711"/>
      <c r="P30" s="3733"/>
      <c r="Q30" s="1351">
        <f t="shared" si="11"/>
        <v>111</v>
      </c>
      <c r="R30" s="705" t="s">
        <v>18</v>
      </c>
      <c r="S30" s="706">
        <f t="shared" si="12"/>
        <v>100</v>
      </c>
      <c r="T30" s="705" t="s">
        <v>18</v>
      </c>
      <c r="U30" s="706">
        <f t="shared" si="13"/>
        <v>100</v>
      </c>
      <c r="V30" s="705" t="s">
        <v>18</v>
      </c>
      <c r="W30" s="706">
        <f t="shared" si="14"/>
        <v>100</v>
      </c>
      <c r="X30" s="1354"/>
      <c r="Y30" s="3726"/>
      <c r="Z30" s="1355">
        <f t="shared" si="18"/>
        <v>111</v>
      </c>
      <c r="AA30" s="1352">
        <f t="shared" si="15"/>
        <v>1</v>
      </c>
      <c r="AB30" s="1352">
        <f t="shared" si="16"/>
        <v>1</v>
      </c>
      <c r="AC30" s="1352">
        <f t="shared" si="17"/>
        <v>1</v>
      </c>
    </row>
    <row r="31" spans="1:29" ht="15.75" hidden="1"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2"/>
      <c r="L31" s="2717"/>
      <c r="M31" s="2711"/>
      <c r="N31" s="2711"/>
      <c r="O31" s="2711"/>
      <c r="P31" s="3733"/>
      <c r="Q31" s="1351">
        <f t="shared" si="11"/>
        <v>111</v>
      </c>
      <c r="R31" s="705" t="s">
        <v>18</v>
      </c>
      <c r="S31" s="706">
        <f t="shared" si="12"/>
        <v>100</v>
      </c>
      <c r="T31" s="705" t="s">
        <v>18</v>
      </c>
      <c r="U31" s="706">
        <f t="shared" si="13"/>
        <v>100</v>
      </c>
      <c r="V31" s="705" t="s">
        <v>18</v>
      </c>
      <c r="W31" s="706">
        <f t="shared" si="14"/>
        <v>100</v>
      </c>
      <c r="X31" s="1354"/>
      <c r="Y31" s="3726"/>
      <c r="Z31" s="1355">
        <f t="shared" si="18"/>
        <v>111</v>
      </c>
      <c r="AA31" s="1352">
        <f t="shared" si="15"/>
        <v>1</v>
      </c>
      <c r="AB31" s="1352">
        <f t="shared" si="16"/>
        <v>1</v>
      </c>
      <c r="AC31" s="1352">
        <f t="shared" si="17"/>
        <v>1</v>
      </c>
    </row>
    <row r="32" spans="1:29" ht="15">
      <c r="A32" s="391" t="s">
        <v>1694</v>
      </c>
      <c r="B32" s="63" t="s">
        <v>1695</v>
      </c>
      <c r="C32" s="1908" t="s">
        <v>3389</v>
      </c>
      <c r="D32" s="418">
        <v>100</v>
      </c>
      <c r="E32" s="1908" t="s">
        <v>3389</v>
      </c>
      <c r="F32" s="412">
        <f>SUMIF(100:100,E32,101:101)-SUMIF(100:100,C32,101:101)+100</f>
        <v>100</v>
      </c>
      <c r="G32" s="1908" t="s">
        <v>3389</v>
      </c>
      <c r="H32" s="418">
        <f>SUMIF(100:100,G32,101:101)-SUMIF(100:100,C32,101:101)+100</f>
        <v>100</v>
      </c>
      <c r="I32" s="1908" t="s">
        <v>3389</v>
      </c>
      <c r="J32" s="386">
        <f>SUMIF(100:100,I32,101:101)-SUMIF(100:100,C32,101:101)+100</f>
        <v>100</v>
      </c>
      <c r="K32" s="377"/>
      <c r="L32" s="2717"/>
      <c r="M32" s="2711"/>
      <c r="N32" s="2711"/>
      <c r="O32" s="2711"/>
      <c r="P32" s="3727" t="s">
        <v>1696</v>
      </c>
      <c r="Q32" s="1351" t="str">
        <f t="shared" si="11"/>
        <v>建筑类型</v>
      </c>
      <c r="R32" s="705" t="s">
        <v>18</v>
      </c>
      <c r="S32" s="706">
        <f t="shared" si="12"/>
        <v>100</v>
      </c>
      <c r="T32" s="705" t="s">
        <v>18</v>
      </c>
      <c r="U32" s="706">
        <f t="shared" si="13"/>
        <v>100</v>
      </c>
      <c r="V32" s="705" t="s">
        <v>18</v>
      </c>
      <c r="W32" s="706">
        <f t="shared" si="14"/>
        <v>100</v>
      </c>
      <c r="X32" s="1354"/>
      <c r="Y32" s="3730"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459.68</v>
      </c>
      <c r="D33" s="127">
        <v>100</v>
      </c>
      <c r="E33" s="381">
        <f>案例!B2</f>
        <v>0</v>
      </c>
      <c r="F33" s="376">
        <f>LOOKUP(E33,103:103,104:104)-LOOKUP(C33,103:103,104:104)+100</f>
        <v>104</v>
      </c>
      <c r="G33" s="380">
        <f>案例!B3</f>
        <v>0</v>
      </c>
      <c r="H33" s="127">
        <f>LOOKUP(G33,103:103,104:104)-LOOKUP(C33,103:103,104:104)+100</f>
        <v>104</v>
      </c>
      <c r="I33" s="381">
        <f>案例!B4</f>
        <v>0</v>
      </c>
      <c r="J33" s="127">
        <f>LOOKUP(I33,103:103,104:104)-LOOKUP(C33,103:103,104:104)+100</f>
        <v>104</v>
      </c>
      <c r="K33" s="1892"/>
      <c r="L33" s="2716"/>
      <c r="M33" s="2718"/>
      <c r="N33" s="2718"/>
      <c r="O33" s="2718"/>
      <c r="P33" s="3728"/>
      <c r="Q33" s="707" t="str">
        <f t="shared" si="11"/>
        <v>项目建筑规模</v>
      </c>
      <c r="R33" s="708" t="s">
        <v>18</v>
      </c>
      <c r="S33" s="709">
        <f t="shared" si="12"/>
        <v>104</v>
      </c>
      <c r="T33" s="708" t="s">
        <v>18</v>
      </c>
      <c r="U33" s="709">
        <f t="shared" si="13"/>
        <v>104</v>
      </c>
      <c r="V33" s="708" t="s">
        <v>18</v>
      </c>
      <c r="W33" s="709">
        <f t="shared" si="14"/>
        <v>104</v>
      </c>
      <c r="X33" s="710"/>
      <c r="Y33" s="3730"/>
      <c r="Z33" s="711" t="str">
        <f t="shared" si="18"/>
        <v>项目建筑规模</v>
      </c>
      <c r="AA33" s="1352">
        <f t="shared" si="15"/>
        <v>0.96153846153846156</v>
      </c>
      <c r="AB33" s="1352">
        <f t="shared" si="16"/>
        <v>0.96153846153846156</v>
      </c>
      <c r="AC33" s="1352">
        <f t="shared" si="17"/>
        <v>0.96153846153846156</v>
      </c>
    </row>
    <row r="34" spans="1:29" ht="15">
      <c r="A34" s="423"/>
      <c r="B34" s="375" t="s">
        <v>1698</v>
      </c>
      <c r="C34" s="1909" t="s">
        <v>3391</v>
      </c>
      <c r="D34" s="386">
        <v>100</v>
      </c>
      <c r="E34" s="1909" t="s">
        <v>3391</v>
      </c>
      <c r="F34" s="412">
        <f>SUMIF(105:105,E34,106:106)-SUMIF(105:105,C34,106:106)+100</f>
        <v>100</v>
      </c>
      <c r="G34" s="1909" t="s">
        <v>3391</v>
      </c>
      <c r="H34" s="386">
        <f>SUMIF(105:105,G34,106:106)-SUMIF(105:105,C34,106:106)+100</f>
        <v>100</v>
      </c>
      <c r="I34" s="1909" t="s">
        <v>3391</v>
      </c>
      <c r="J34" s="386">
        <f>SUMIF(105:105,I34,106:106)-SUMIF(105:105,C34,106:106)+100</f>
        <v>100</v>
      </c>
      <c r="K34" s="377"/>
      <c r="L34" s="2717"/>
      <c r="M34" s="2711"/>
      <c r="N34" s="2711"/>
      <c r="O34" s="2711"/>
      <c r="P34" s="3728"/>
      <c r="Q34" s="1351" t="str">
        <f t="shared" si="11"/>
        <v>建筑结构</v>
      </c>
      <c r="R34" s="705" t="s">
        <v>18</v>
      </c>
      <c r="S34" s="706">
        <f t="shared" si="12"/>
        <v>100</v>
      </c>
      <c r="T34" s="705" t="s">
        <v>18</v>
      </c>
      <c r="U34" s="706">
        <f t="shared" si="13"/>
        <v>100</v>
      </c>
      <c r="V34" s="705" t="s">
        <v>18</v>
      </c>
      <c r="W34" s="706">
        <f t="shared" si="14"/>
        <v>100</v>
      </c>
      <c r="X34" s="1354"/>
      <c r="Y34" s="3730"/>
      <c r="Z34" s="1355" t="str">
        <f t="shared" si="18"/>
        <v>建筑结构</v>
      </c>
      <c r="AA34" s="1352">
        <f t="shared" si="15"/>
        <v>1</v>
      </c>
      <c r="AB34" s="1352">
        <f t="shared" si="16"/>
        <v>1</v>
      </c>
      <c r="AC34" s="1352">
        <f t="shared" si="17"/>
        <v>1</v>
      </c>
    </row>
    <row r="35" spans="1:29" ht="15">
      <c r="A35" s="423"/>
      <c r="B35" s="375" t="s">
        <v>1699</v>
      </c>
      <c r="C35" s="1904" t="s">
        <v>3402</v>
      </c>
      <c r="D35" s="386">
        <v>100</v>
      </c>
      <c r="E35" s="1904" t="s">
        <v>3402</v>
      </c>
      <c r="F35" s="412">
        <f>SUMIF(107:107,E35,108:108)-SUMIF(107:107,C35,108:108)+100</f>
        <v>100</v>
      </c>
      <c r="G35" s="1904" t="s">
        <v>3402</v>
      </c>
      <c r="H35" s="386">
        <f>SUMIF(107:107,G35,108:108)-SUMIF(107:107,C35,108:108)+100</f>
        <v>100</v>
      </c>
      <c r="I35" s="1904" t="s">
        <v>3402</v>
      </c>
      <c r="J35" s="386">
        <f>SUMIF(107:107,I35,108:108)-SUMIF(107:107,C35,108:108)+100</f>
        <v>100</v>
      </c>
      <c r="K35" s="377"/>
      <c r="L35" s="2717"/>
      <c r="M35" s="2711"/>
      <c r="N35" s="2711"/>
      <c r="O35" s="2711"/>
      <c r="P35" s="3728"/>
      <c r="Q35" s="1351" t="str">
        <f t="shared" si="11"/>
        <v>建筑品质</v>
      </c>
      <c r="R35" s="705" t="s">
        <v>18</v>
      </c>
      <c r="S35" s="706">
        <f t="shared" si="12"/>
        <v>100</v>
      </c>
      <c r="T35" s="705" t="s">
        <v>18</v>
      </c>
      <c r="U35" s="706">
        <f t="shared" si="13"/>
        <v>100</v>
      </c>
      <c r="V35" s="705" t="s">
        <v>18</v>
      </c>
      <c r="W35" s="706">
        <f t="shared" si="14"/>
        <v>100</v>
      </c>
      <c r="X35" s="1354"/>
      <c r="Y35" s="3730"/>
      <c r="Z35" s="1355" t="str">
        <f t="shared" si="18"/>
        <v>建筑品质</v>
      </c>
      <c r="AA35" s="1352">
        <f t="shared" si="15"/>
        <v>1</v>
      </c>
      <c r="AB35" s="1352">
        <f t="shared" si="16"/>
        <v>1</v>
      </c>
      <c r="AC35" s="1352">
        <f t="shared" si="17"/>
        <v>1</v>
      </c>
    </row>
    <row r="36" spans="1:29" ht="15" hidden="1">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7"/>
      <c r="M36" s="2711"/>
      <c r="N36" s="2711"/>
      <c r="O36" s="2711"/>
      <c r="P36" s="3728"/>
      <c r="Q36" s="1351" t="str">
        <f t="shared" si="11"/>
        <v>公共部分装修</v>
      </c>
      <c r="R36" s="705" t="s">
        <v>18</v>
      </c>
      <c r="S36" s="706">
        <f t="shared" si="12"/>
        <v>100</v>
      </c>
      <c r="T36" s="705" t="s">
        <v>18</v>
      </c>
      <c r="U36" s="706">
        <f t="shared" si="13"/>
        <v>100</v>
      </c>
      <c r="V36" s="705" t="s">
        <v>18</v>
      </c>
      <c r="W36" s="706">
        <f t="shared" si="14"/>
        <v>100</v>
      </c>
      <c r="X36" s="1354"/>
      <c r="Y36" s="3730"/>
      <c r="Z36" s="1355" t="str">
        <f t="shared" si="18"/>
        <v>公共部分装修</v>
      </c>
      <c r="AA36" s="1352">
        <f t="shared" si="15"/>
        <v>1</v>
      </c>
      <c r="AB36" s="1352">
        <f t="shared" si="16"/>
        <v>1</v>
      </c>
      <c r="AC36" s="1352">
        <f t="shared" si="17"/>
        <v>1</v>
      </c>
    </row>
    <row r="37" spans="1:29" s="108" customFormat="1" ht="15">
      <c r="A37" s="424"/>
      <c r="B37" s="375" t="s">
        <v>1701</v>
      </c>
      <c r="C37" s="425">
        <v>0.7</v>
      </c>
      <c r="D37" s="127">
        <v>100</v>
      </c>
      <c r="E37" s="425">
        <v>0.7</v>
      </c>
      <c r="F37" s="376">
        <f>LOOKUP(E37,112:112,113:113)-LOOKUP(C37,112:112,113:113)+100</f>
        <v>100</v>
      </c>
      <c r="G37" s="427">
        <v>0.7</v>
      </c>
      <c r="H37" s="127">
        <f>LOOKUP(G37,112:112,113:113)-LOOKUP(C37,112:112,113:113)+100</f>
        <v>100</v>
      </c>
      <c r="I37" s="426">
        <v>0.7</v>
      </c>
      <c r="J37" s="127">
        <f>LOOKUP(I37,112:112,113:113)-LOOKUP(C37,112:112,113:113)+100</f>
        <v>100</v>
      </c>
      <c r="K37" s="377"/>
      <c r="L37" s="2712"/>
      <c r="M37" s="2713"/>
      <c r="N37" s="2713"/>
      <c r="O37" s="2713"/>
      <c r="P37" s="3728"/>
      <c r="Q37" s="1342" t="str">
        <f t="shared" si="11"/>
        <v>成新度</v>
      </c>
      <c r="R37" s="701" t="s">
        <v>18</v>
      </c>
      <c r="S37" s="702">
        <f t="shared" si="12"/>
        <v>100</v>
      </c>
      <c r="T37" s="701" t="s">
        <v>18</v>
      </c>
      <c r="U37" s="702">
        <f t="shared" si="13"/>
        <v>100</v>
      </c>
      <c r="V37" s="701" t="s">
        <v>18</v>
      </c>
      <c r="W37" s="702">
        <f t="shared" si="14"/>
        <v>100</v>
      </c>
      <c r="X37" s="703"/>
      <c r="Y37" s="3730"/>
      <c r="Z37" s="52" t="str">
        <f t="shared" si="18"/>
        <v>成新度</v>
      </c>
      <c r="AA37" s="704">
        <f t="shared" si="15"/>
        <v>1</v>
      </c>
      <c r="AB37" s="704">
        <f t="shared" si="16"/>
        <v>1</v>
      </c>
      <c r="AC37" s="704">
        <f t="shared" si="17"/>
        <v>1</v>
      </c>
    </row>
    <row r="38" spans="1:29" ht="15">
      <c r="A38" s="423"/>
      <c r="B38" s="375" t="s">
        <v>1702</v>
      </c>
      <c r="C38" s="1904" t="s">
        <v>3406</v>
      </c>
      <c r="D38" s="386">
        <v>100</v>
      </c>
      <c r="E38" s="1904" t="s">
        <v>3406</v>
      </c>
      <c r="F38" s="412">
        <f>SUMIF(114:114,E38,115:115)-SUMIF(114:114,C38,115:115)+100</f>
        <v>100</v>
      </c>
      <c r="G38" s="1904" t="s">
        <v>3406</v>
      </c>
      <c r="H38" s="386">
        <f>SUMIF(114:114,G38,115:115)-SUMIF(114:114,C38,115:115)+100</f>
        <v>100</v>
      </c>
      <c r="I38" s="1904" t="s">
        <v>3406</v>
      </c>
      <c r="J38" s="386">
        <f>SUMIF(114:114,I38,115:115)-SUMIF(114:114,C38,115:115)+100</f>
        <v>100</v>
      </c>
      <c r="K38" s="377"/>
      <c r="L38" s="2717"/>
      <c r="M38" s="2711"/>
      <c r="N38" s="2711"/>
      <c r="O38" s="2711"/>
      <c r="P38" s="3728" t="s">
        <v>1696</v>
      </c>
      <c r="Q38" s="1351" t="str">
        <f t="shared" si="11"/>
        <v>物业管理</v>
      </c>
      <c r="R38" s="705" t="s">
        <v>18</v>
      </c>
      <c r="S38" s="706">
        <f t="shared" si="12"/>
        <v>100</v>
      </c>
      <c r="T38" s="705" t="s">
        <v>18</v>
      </c>
      <c r="U38" s="706">
        <f t="shared" si="13"/>
        <v>100</v>
      </c>
      <c r="V38" s="705" t="s">
        <v>18</v>
      </c>
      <c r="W38" s="706">
        <f t="shared" si="14"/>
        <v>100</v>
      </c>
      <c r="X38" s="1354"/>
      <c r="Y38" s="3730" t="s">
        <v>1696</v>
      </c>
      <c r="Z38" s="1355" t="str">
        <f t="shared" si="18"/>
        <v>物业管理</v>
      </c>
      <c r="AA38" s="1352">
        <f t="shared" si="15"/>
        <v>1</v>
      </c>
      <c r="AB38" s="1352">
        <f t="shared" si="16"/>
        <v>1</v>
      </c>
      <c r="AC38" s="1352">
        <f t="shared" si="17"/>
        <v>1</v>
      </c>
    </row>
    <row r="39" spans="1:29" ht="15">
      <c r="A39" s="423"/>
      <c r="B39" s="375" t="s">
        <v>1703</v>
      </c>
      <c r="C39" s="1904" t="s">
        <v>3408</v>
      </c>
      <c r="D39" s="386">
        <v>100</v>
      </c>
      <c r="E39" s="1904" t="s">
        <v>3408</v>
      </c>
      <c r="F39" s="412">
        <f>SUMIF(116:116,E39,117:117)-SUMIF(116:116,C39,117:117)+100</f>
        <v>100</v>
      </c>
      <c r="G39" s="1904" t="s">
        <v>3408</v>
      </c>
      <c r="H39" s="386">
        <f>SUMIF(116:116,G39,117:117)-SUMIF(116:116,C39,117:117)+100</f>
        <v>100</v>
      </c>
      <c r="I39" s="1904" t="s">
        <v>3408</v>
      </c>
      <c r="J39" s="386">
        <f>SUMIF(116:116,I39,117:117)-SUMIF(116:116,C39,117:117)+100</f>
        <v>100</v>
      </c>
      <c r="K39" s="377"/>
      <c r="L39" s="2717"/>
      <c r="M39" s="2711"/>
      <c r="N39" s="2711"/>
      <c r="O39" s="2711"/>
      <c r="P39" s="3728"/>
      <c r="Q39" s="1351" t="str">
        <f t="shared" si="11"/>
        <v>市政基础设施</v>
      </c>
      <c r="R39" s="705" t="s">
        <v>18</v>
      </c>
      <c r="S39" s="706">
        <f t="shared" si="12"/>
        <v>100</v>
      </c>
      <c r="T39" s="705" t="s">
        <v>18</v>
      </c>
      <c r="U39" s="706">
        <f t="shared" si="13"/>
        <v>100</v>
      </c>
      <c r="V39" s="705" t="s">
        <v>18</v>
      </c>
      <c r="W39" s="706">
        <f t="shared" si="14"/>
        <v>100</v>
      </c>
      <c r="X39" s="1354"/>
      <c r="Y39" s="3730"/>
      <c r="Z39" s="1355" t="str">
        <f t="shared" si="18"/>
        <v>市政基础设施</v>
      </c>
      <c r="AA39" s="1352">
        <f t="shared" si="15"/>
        <v>1</v>
      </c>
      <c r="AB39" s="1352">
        <f t="shared" si="16"/>
        <v>1</v>
      </c>
      <c r="AC39" s="1352">
        <f t="shared" si="17"/>
        <v>1</v>
      </c>
    </row>
    <row r="40" spans="1:29" ht="15" hidden="1">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7"/>
      <c r="M40" s="2711"/>
      <c r="N40" s="2711"/>
      <c r="O40" s="2711"/>
      <c r="P40" s="3728"/>
      <c r="Q40" s="1351" t="str">
        <f t="shared" si="11"/>
        <v>房型</v>
      </c>
      <c r="R40" s="705" t="s">
        <v>18</v>
      </c>
      <c r="S40" s="706">
        <f t="shared" si="12"/>
        <v>100</v>
      </c>
      <c r="T40" s="705" t="s">
        <v>18</v>
      </c>
      <c r="U40" s="706">
        <f t="shared" si="13"/>
        <v>100</v>
      </c>
      <c r="V40" s="705" t="s">
        <v>18</v>
      </c>
      <c r="W40" s="706">
        <f t="shared" si="14"/>
        <v>100</v>
      </c>
      <c r="X40" s="1354"/>
      <c r="Y40" s="3730"/>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6"/>
      <c r="M41" s="2718"/>
      <c r="N41" s="2718"/>
      <c r="O41" s="2718"/>
      <c r="P41" s="3728"/>
      <c r="Q41" s="707" t="str">
        <f t="shared" si="11"/>
        <v>单套/主力户型建筑面积</v>
      </c>
      <c r="R41" s="708" t="s">
        <v>18</v>
      </c>
      <c r="S41" s="709">
        <f t="shared" si="12"/>
        <v>100</v>
      </c>
      <c r="T41" s="708" t="s">
        <v>18</v>
      </c>
      <c r="U41" s="709">
        <f t="shared" si="13"/>
        <v>100</v>
      </c>
      <c r="V41" s="708" t="s">
        <v>18</v>
      </c>
      <c r="W41" s="709">
        <f t="shared" si="14"/>
        <v>100</v>
      </c>
      <c r="X41" s="710"/>
      <c r="Y41" s="3730"/>
      <c r="Z41" s="711" t="str">
        <f t="shared" si="18"/>
        <v>单套/主力户型建筑面积</v>
      </c>
      <c r="AA41" s="1352">
        <f t="shared" si="15"/>
        <v>1</v>
      </c>
      <c r="AB41" s="1352">
        <f t="shared" si="16"/>
        <v>1</v>
      </c>
      <c r="AC41" s="1352">
        <f t="shared" si="17"/>
        <v>1</v>
      </c>
    </row>
    <row r="42" spans="1:29" ht="15">
      <c r="A42" s="423"/>
      <c r="B42" s="375" t="s">
        <v>1706</v>
      </c>
      <c r="C42" s="1904" t="s">
        <v>3404</v>
      </c>
      <c r="D42" s="386">
        <v>100</v>
      </c>
      <c r="E42" s="1904" t="s">
        <v>3404</v>
      </c>
      <c r="F42" s="412">
        <f>SUMIF(122:122,E42,123:123)-SUMIF(122:122,C42,123:123)+100</f>
        <v>100</v>
      </c>
      <c r="G42" s="1904" t="s">
        <v>3415</v>
      </c>
      <c r="H42" s="386">
        <f>SUMIF(122:122,G42,123:123)-SUMIF(122:122,C42,123:123)+100</f>
        <v>95</v>
      </c>
      <c r="I42" s="1904" t="s">
        <v>3404</v>
      </c>
      <c r="J42" s="386">
        <f>SUMIF(122:122,I42,123:123)-SUMIF(122:122,C42,123:123)+100</f>
        <v>100</v>
      </c>
      <c r="K42" s="377">
        <v>5</v>
      </c>
      <c r="L42" s="2717"/>
      <c r="M42" s="2711"/>
      <c r="N42" s="2711"/>
      <c r="O42" s="2711"/>
      <c r="P42" s="3728"/>
      <c r="Q42" s="1351" t="str">
        <f t="shared" si="11"/>
        <v>内部装修</v>
      </c>
      <c r="R42" s="705" t="s">
        <v>18</v>
      </c>
      <c r="S42" s="706">
        <f t="shared" si="12"/>
        <v>100</v>
      </c>
      <c r="T42" s="705" t="s">
        <v>18</v>
      </c>
      <c r="U42" s="706">
        <f t="shared" si="13"/>
        <v>95</v>
      </c>
      <c r="V42" s="705" t="s">
        <v>18</v>
      </c>
      <c r="W42" s="706">
        <f t="shared" si="14"/>
        <v>100</v>
      </c>
      <c r="X42" s="1354"/>
      <c r="Y42" s="3730"/>
      <c r="Z42" s="1355" t="str">
        <f t="shared" si="18"/>
        <v>内部装修</v>
      </c>
      <c r="AA42" s="1352">
        <f t="shared" si="15"/>
        <v>1</v>
      </c>
      <c r="AB42" s="1352">
        <f t="shared" si="16"/>
        <v>1.0526315789473684</v>
      </c>
      <c r="AC42" s="1352">
        <f t="shared" si="17"/>
        <v>1</v>
      </c>
    </row>
    <row r="43" spans="1:29" ht="15">
      <c r="A43" s="423"/>
      <c r="B43" s="375" t="s">
        <v>1707</v>
      </c>
      <c r="C43" s="1904" t="s">
        <v>3393</v>
      </c>
      <c r="D43" s="386">
        <v>100</v>
      </c>
      <c r="E43" s="1904" t="s">
        <v>3393</v>
      </c>
      <c r="F43" s="412">
        <f>SUMIF(124:124,E43,125:125)-SUMIF(124:124,C43,125:125)+100</f>
        <v>100</v>
      </c>
      <c r="G43" s="1904" t="s">
        <v>3393</v>
      </c>
      <c r="H43" s="386">
        <f>SUMIF(124:124,G43,125:125)-SUMIF(124:124,C43,125:125)+100</f>
        <v>100</v>
      </c>
      <c r="I43" s="1904" t="s">
        <v>3393</v>
      </c>
      <c r="J43" s="386">
        <f>SUMIF(124:124,I43,125:125)-SUMIF(124:124,C43,125:125)+100</f>
        <v>100</v>
      </c>
      <c r="K43" s="377"/>
      <c r="L43" s="2717"/>
      <c r="M43" s="2711"/>
      <c r="N43" s="2711"/>
      <c r="O43" s="2711"/>
      <c r="P43" s="3728"/>
      <c r="Q43" s="1351" t="str">
        <f t="shared" si="11"/>
        <v>内部装修维护情况</v>
      </c>
      <c r="R43" s="705" t="s">
        <v>18</v>
      </c>
      <c r="S43" s="706">
        <f t="shared" si="12"/>
        <v>100</v>
      </c>
      <c r="T43" s="705" t="s">
        <v>18</v>
      </c>
      <c r="U43" s="706">
        <f t="shared" si="13"/>
        <v>100</v>
      </c>
      <c r="V43" s="705" t="s">
        <v>18</v>
      </c>
      <c r="W43" s="706">
        <f t="shared" si="14"/>
        <v>100</v>
      </c>
      <c r="X43" s="1354"/>
      <c r="Y43" s="3730"/>
      <c r="Z43" s="1355" t="str">
        <f t="shared" si="18"/>
        <v>内部装修维护情况</v>
      </c>
      <c r="AA43" s="1352">
        <f t="shared" si="15"/>
        <v>1</v>
      </c>
      <c r="AB43" s="1352">
        <f t="shared" si="16"/>
        <v>1</v>
      </c>
      <c r="AC43" s="1352">
        <f t="shared" si="17"/>
        <v>1</v>
      </c>
    </row>
    <row r="44" spans="1:29" s="108" customFormat="1" ht="15">
      <c r="A44" s="424"/>
      <c r="B44" s="3451" t="s">
        <v>3420</v>
      </c>
      <c r="C44" s="3449" t="s">
        <v>3412</v>
      </c>
      <c r="D44" s="127">
        <v>100</v>
      </c>
      <c r="E44" s="3449" t="s">
        <v>3413</v>
      </c>
      <c r="F44" s="376">
        <f>SUMIF(126:126,E44,127:127)-SUMIF(126:126,C44,127:127)+100</f>
        <v>90</v>
      </c>
      <c r="G44" s="3449" t="s">
        <v>3413</v>
      </c>
      <c r="H44" s="127">
        <f>SUMIF(126:126,G44,127:127)-SUMIF(126:126,C44,127:127)+100</f>
        <v>90</v>
      </c>
      <c r="I44" s="3449" t="s">
        <v>3413</v>
      </c>
      <c r="J44" s="127">
        <f>SUMIF(126:126,I44,127:127)-SUMIF(126:126,C44,127:127)+100</f>
        <v>90</v>
      </c>
      <c r="K44" s="1892"/>
      <c r="L44" s="2712"/>
      <c r="M44" s="2713"/>
      <c r="N44" s="2713"/>
      <c r="O44" s="2713"/>
      <c r="P44" s="3728"/>
      <c r="Q44" s="1342" t="str">
        <f t="shared" si="11"/>
        <v>位置</v>
      </c>
      <c r="R44" s="701" t="s">
        <v>18</v>
      </c>
      <c r="S44" s="702">
        <f t="shared" si="12"/>
        <v>90</v>
      </c>
      <c r="T44" s="701" t="s">
        <v>18</v>
      </c>
      <c r="U44" s="702">
        <f t="shared" si="13"/>
        <v>90</v>
      </c>
      <c r="V44" s="701" t="s">
        <v>18</v>
      </c>
      <c r="W44" s="702">
        <f t="shared" si="14"/>
        <v>90</v>
      </c>
      <c r="X44" s="703"/>
      <c r="Y44" s="3730"/>
      <c r="Z44" s="52" t="str">
        <f t="shared" si="18"/>
        <v>位置</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7"/>
      <c r="M45" s="2711"/>
      <c r="N45" s="2711"/>
      <c r="O45" s="2711"/>
      <c r="P45" s="3728"/>
      <c r="Q45" s="1351">
        <f t="shared" si="11"/>
        <v>111</v>
      </c>
      <c r="R45" s="705" t="s">
        <v>18</v>
      </c>
      <c r="S45" s="706">
        <f t="shared" si="12"/>
        <v>100</v>
      </c>
      <c r="T45" s="705" t="s">
        <v>18</v>
      </c>
      <c r="U45" s="706">
        <f t="shared" si="13"/>
        <v>100</v>
      </c>
      <c r="V45" s="705" t="s">
        <v>18</v>
      </c>
      <c r="W45" s="706">
        <f t="shared" si="14"/>
        <v>100</v>
      </c>
      <c r="X45" s="1354"/>
      <c r="Y45" s="3730"/>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7"/>
      <c r="M46" s="2711"/>
      <c r="N46" s="2711"/>
      <c r="O46" s="2711"/>
      <c r="P46" s="3729"/>
      <c r="Q46" s="1351">
        <f t="shared" si="11"/>
        <v>111</v>
      </c>
      <c r="R46" s="705" t="s">
        <v>17</v>
      </c>
      <c r="S46" s="706">
        <f t="shared" si="12"/>
        <v>100</v>
      </c>
      <c r="T46" s="705" t="s">
        <v>17</v>
      </c>
      <c r="U46" s="706">
        <f t="shared" si="13"/>
        <v>100</v>
      </c>
      <c r="V46" s="705" t="s">
        <v>17</v>
      </c>
      <c r="W46" s="706">
        <f t="shared" si="14"/>
        <v>100</v>
      </c>
      <c r="X46" s="1354"/>
      <c r="Y46" s="3731"/>
      <c r="Z46" s="1355">
        <f t="shared" si="18"/>
        <v>111</v>
      </c>
      <c r="AA46" s="1352">
        <f t="shared" si="15"/>
        <v>1</v>
      </c>
      <c r="AB46" s="1352">
        <f t="shared" si="16"/>
        <v>1</v>
      </c>
      <c r="AC46" s="1352">
        <f t="shared" si="17"/>
        <v>1</v>
      </c>
    </row>
    <row r="47" spans="1:29" ht="15">
      <c r="A47" s="430" t="s">
        <v>1708</v>
      </c>
      <c r="B47" s="431"/>
      <c r="C47" s="1154" t="s">
        <v>16</v>
      </c>
      <c r="D47" s="1155"/>
      <c r="E47" s="1156">
        <f>案例!G2</f>
        <v>0</v>
      </c>
      <c r="F47" s="1157"/>
      <c r="G47" s="1158">
        <f>案例!G3</f>
        <v>0</v>
      </c>
      <c r="H47" s="1159"/>
      <c r="I47" s="1156">
        <f>案例!G4</f>
        <v>0</v>
      </c>
      <c r="J47" s="1159"/>
      <c r="K47" s="1910"/>
      <c r="L47" s="2719"/>
      <c r="M47" s="2720"/>
      <c r="N47" s="2711"/>
      <c r="O47" s="2720"/>
      <c r="P47" s="3723" t="str">
        <f>A47</f>
        <v>成交单价（元/平方米）</v>
      </c>
      <c r="Q47" s="3723"/>
      <c r="R47" s="3724">
        <f>E47</f>
        <v>0</v>
      </c>
      <c r="S47" s="3724"/>
      <c r="T47" s="3724">
        <f>G47</f>
        <v>0</v>
      </c>
      <c r="U47" s="3724"/>
      <c r="V47" s="3724">
        <f>I47</f>
        <v>0</v>
      </c>
      <c r="W47" s="3724"/>
      <c r="X47" s="690"/>
      <c r="Y47" s="712"/>
      <c r="Z47" s="690"/>
      <c r="AA47" s="690"/>
      <c r="AB47" s="690"/>
      <c r="AC47" s="690"/>
    </row>
    <row r="48" spans="1:29" ht="15.75" thickBot="1">
      <c r="A48" s="437" t="s">
        <v>1709</v>
      </c>
      <c r="B48" s="438"/>
      <c r="C48" s="1160" t="e">
        <f>R49</f>
        <v>#DIV/0!</v>
      </c>
      <c r="D48" s="2313" t="s">
        <v>2138</v>
      </c>
      <c r="E48" s="1161" t="e">
        <f>R48</f>
        <v>#DIV/0!</v>
      </c>
      <c r="F48" s="2314"/>
      <c r="G48" s="1160" t="e">
        <f>T48</f>
        <v>#DIV/0!</v>
      </c>
      <c r="H48" s="2314"/>
      <c r="I48" s="1161" t="e">
        <f>V48</f>
        <v>#DIV/0!</v>
      </c>
      <c r="J48" s="2314"/>
      <c r="K48" s="2315">
        <f>F48+H48+J48</f>
        <v>0</v>
      </c>
      <c r="L48" s="2719"/>
      <c r="M48" s="2720"/>
      <c r="N48" s="2720"/>
      <c r="O48" s="2720"/>
      <c r="P48" s="3723" t="str">
        <f>A48</f>
        <v>比较价值（元/平方米）</v>
      </c>
      <c r="Q48" s="3723"/>
      <c r="R48" s="3724" t="e">
        <f>IF(F1="售价",ROUND(PRODUCT(R47,AA7:AA46),0),ROUND(PRODUCT(R47,AA7:AA46),1))</f>
        <v>#DIV/0!</v>
      </c>
      <c r="S48" s="3724"/>
      <c r="T48" s="3724" t="e">
        <f>IF(F1="售价",ROUND(PRODUCT(T47,AB7:AB46),0),ROUND(PRODUCT(T47,AB7:AB46),1))</f>
        <v>#DIV/0!</v>
      </c>
      <c r="U48" s="3724"/>
      <c r="V48" s="3724" t="e">
        <f>IF(F1="售价",ROUND(PRODUCT(V47,AC7:AC46),0),ROUND(PRODUCT(V47,AC7:AC46),1))</f>
        <v>#DIV/0!</v>
      </c>
      <c r="W48" s="372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1"/>
      <c r="L49" s="2719"/>
      <c r="M49" s="2720"/>
      <c r="N49" s="2720"/>
      <c r="O49" s="2720"/>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3"/>
    </row>
    <row r="55" spans="1:29" s="451" customFormat="1">
      <c r="A55" s="2723"/>
      <c r="B55" s="2726"/>
      <c r="C55" s="2727"/>
      <c r="D55" s="2723"/>
      <c r="E55" s="2723"/>
      <c r="F55" s="2723"/>
      <c r="G55" s="2723"/>
      <c r="H55" s="2723"/>
      <c r="I55" s="2723"/>
      <c r="J55" s="2723"/>
      <c r="K55" s="2728"/>
      <c r="L55" s="2722"/>
      <c r="M55" s="2723"/>
      <c r="N55" s="2723"/>
      <c r="O55" s="2723"/>
      <c r="P55" s="1913"/>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4"/>
      <c r="Q57" s="453"/>
    </row>
    <row r="58" spans="1:29" s="457" customFormat="1" ht="15">
      <c r="A58" s="454" t="s">
        <v>1715</v>
      </c>
      <c r="B58" s="455"/>
      <c r="C58" s="1185" t="str">
        <f>YEAR(C7)&amp;"-"&amp;MONTH(C7)</f>
        <v>2022-10</v>
      </c>
      <c r="D58" s="1184">
        <f>EDATE(C58,-1)</f>
        <v>44805</v>
      </c>
      <c r="E58" s="1184">
        <f>EDATE(D58,-1)</f>
        <v>44774</v>
      </c>
      <c r="F58" s="1184">
        <f t="shared" ref="F58:O58" si="19">EDATE(E58,-1)</f>
        <v>44743</v>
      </c>
      <c r="G58" s="1184">
        <f t="shared" si="19"/>
        <v>44713</v>
      </c>
      <c r="H58" s="1184">
        <f t="shared" si="19"/>
        <v>44682</v>
      </c>
      <c r="I58" s="1184">
        <f t="shared" si="19"/>
        <v>44652</v>
      </c>
      <c r="J58" s="1184">
        <f t="shared" si="19"/>
        <v>44621</v>
      </c>
      <c r="K58" s="1184">
        <f t="shared" si="19"/>
        <v>44593</v>
      </c>
      <c r="L58" s="1184">
        <f t="shared" si="19"/>
        <v>44562</v>
      </c>
      <c r="M58" s="1184">
        <f t="shared" si="19"/>
        <v>44531</v>
      </c>
      <c r="N58" s="1184">
        <f t="shared" si="19"/>
        <v>44501</v>
      </c>
      <c r="O58" s="1184">
        <f t="shared" si="19"/>
        <v>44470</v>
      </c>
      <c r="P58" s="3448">
        <f t="shared" ref="P58" si="20">EDATE(O58,-1)</f>
        <v>44440</v>
      </c>
      <c r="Q58" s="3448">
        <f t="shared" ref="Q58" si="21">EDATE(P58,-1)</f>
        <v>44409</v>
      </c>
      <c r="R58" s="3448">
        <f t="shared" ref="R58" si="22">EDATE(Q58,-1)</f>
        <v>44378</v>
      </c>
      <c r="S58" s="3448">
        <f t="shared" ref="S58" si="23">EDATE(R58,-1)</f>
        <v>44348</v>
      </c>
      <c r="T58" s="3448">
        <f t="shared" ref="T58" si="24">EDATE(S58,-1)</f>
        <v>44317</v>
      </c>
      <c r="U58" s="3448">
        <f t="shared" ref="U58" si="25">EDATE(T58,-1)</f>
        <v>44287</v>
      </c>
      <c r="V58" s="3448">
        <f t="shared" ref="V58" si="26">EDATE(U58,-1)</f>
        <v>44256</v>
      </c>
      <c r="W58" s="3448">
        <f t="shared" ref="W58" si="27">EDATE(V58,-1)</f>
        <v>44228</v>
      </c>
      <c r="X58" s="3448">
        <f t="shared" ref="X58" si="28">EDATE(W58,-1)</f>
        <v>44197</v>
      </c>
      <c r="Y58" s="3448">
        <f t="shared" ref="Y58" si="29">EDATE(X58,-1)</f>
        <v>44166</v>
      </c>
      <c r="Z58" s="3448">
        <f t="shared" ref="Z58" si="30">EDATE(Y58,-1)</f>
        <v>44136</v>
      </c>
      <c r="AA58" s="3448">
        <f t="shared" ref="AA58" si="31">EDATE(Z58,-1)</f>
        <v>44105</v>
      </c>
      <c r="AB58" s="3448">
        <f t="shared" ref="AB58" si="32">EDATE(AA58,-1)</f>
        <v>44075</v>
      </c>
    </row>
    <row r="59" spans="1:29" s="108" customFormat="1" ht="15">
      <c r="A59" s="458"/>
      <c r="B59" s="1915"/>
      <c r="C59" s="1182">
        <v>100</v>
      </c>
      <c r="D59" s="460">
        <v>100</v>
      </c>
      <c r="E59" s="461">
        <v>100</v>
      </c>
      <c r="F59" s="461">
        <v>99.8</v>
      </c>
      <c r="G59" s="461">
        <v>99.8</v>
      </c>
      <c r="H59" s="461">
        <v>99.8</v>
      </c>
      <c r="I59" s="461">
        <v>99.6</v>
      </c>
      <c r="J59" s="461">
        <v>99.6</v>
      </c>
      <c r="K59" s="461">
        <v>99.6</v>
      </c>
      <c r="L59" s="461">
        <v>99.4</v>
      </c>
      <c r="M59" s="462">
        <v>99.4</v>
      </c>
      <c r="N59" s="461">
        <v>99.4</v>
      </c>
      <c r="O59" s="462">
        <v>99.2</v>
      </c>
      <c r="P59" s="462">
        <v>99.2</v>
      </c>
      <c r="Q59" s="462">
        <v>99.2</v>
      </c>
      <c r="R59" s="462">
        <v>99</v>
      </c>
      <c r="S59" s="462">
        <v>99</v>
      </c>
      <c r="T59" s="462">
        <v>99</v>
      </c>
      <c r="U59" s="462">
        <v>98.8</v>
      </c>
      <c r="V59" s="462">
        <v>98.8</v>
      </c>
      <c r="W59" s="462">
        <v>98.8</v>
      </c>
      <c r="X59" s="462">
        <v>98.6</v>
      </c>
      <c r="Y59" s="462">
        <v>98.6</v>
      </c>
      <c r="Z59" s="462"/>
      <c r="AA59" s="462"/>
      <c r="AB59" s="462"/>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1719</v>
      </c>
      <c r="B63" s="477" t="s">
        <v>1685</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1688</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1689</v>
      </c>
      <c r="C67" s="496" t="str">
        <f>C68&amp;"（含）"&amp;"-"&amp;D68</f>
        <v>0（含）-1</v>
      </c>
      <c r="D67" s="496" t="str">
        <f t="shared" ref="D67:L67" si="33">D68&amp;"（含）"&amp;"-"&amp;E68</f>
        <v>1（含）-2</v>
      </c>
      <c r="E67" s="496" t="str">
        <f t="shared" si="33"/>
        <v>2（含）-3</v>
      </c>
      <c r="F67" s="496" t="str">
        <f t="shared" si="33"/>
        <v>3（含）-</v>
      </c>
      <c r="G67" s="496" t="str">
        <f t="shared" si="33"/>
        <v>（含）-</v>
      </c>
      <c r="H67" s="496" t="str">
        <f t="shared" si="33"/>
        <v>（含）-</v>
      </c>
      <c r="I67" s="496" t="str">
        <f t="shared" si="33"/>
        <v>（含）-</v>
      </c>
      <c r="J67" s="496" t="str">
        <f t="shared" si="33"/>
        <v>（含）-</v>
      </c>
      <c r="K67" s="496" t="str">
        <f>K68&amp;"（含）"&amp;"-"&amp;L68</f>
        <v>（含）-</v>
      </c>
      <c r="L67" s="496" t="str">
        <f t="shared" si="33"/>
        <v>（含）-</v>
      </c>
      <c r="M67" s="399" t="str">
        <f>M68&amp;"（含）"&amp;"-"&amp;P68</f>
        <v>（含）-</v>
      </c>
      <c r="N67" s="934"/>
      <c r="O67" s="934"/>
      <c r="P67" s="1918"/>
      <c r="Q67" s="453"/>
    </row>
    <row r="68" spans="1:17" ht="15">
      <c r="A68" s="483"/>
      <c r="B68" s="497"/>
      <c r="C68" s="498">
        <v>0</v>
      </c>
      <c r="D68" s="498">
        <v>1</v>
      </c>
      <c r="E68" s="498">
        <v>2</v>
      </c>
      <c r="F68" s="498">
        <v>3</v>
      </c>
      <c r="G68" s="498"/>
      <c r="H68" s="498"/>
      <c r="I68" s="498"/>
      <c r="J68" s="498"/>
      <c r="K68" s="499"/>
      <c r="L68" s="500"/>
      <c r="M68" s="501"/>
      <c r="N68" s="933"/>
      <c r="O68" s="933"/>
      <c r="P68" s="1918"/>
      <c r="Q68" s="453"/>
    </row>
    <row r="69" spans="1:17" ht="15.75" thickBot="1">
      <c r="A69" s="483"/>
      <c r="B69" s="484"/>
      <c r="C69" s="493">
        <v>100</v>
      </c>
      <c r="D69" s="493">
        <f t="shared" ref="D69:M69" si="34">C69-$K11</f>
        <v>100</v>
      </c>
      <c r="E69" s="493">
        <f t="shared" si="34"/>
        <v>100</v>
      </c>
      <c r="F69" s="493">
        <f t="shared" si="34"/>
        <v>100</v>
      </c>
      <c r="G69" s="493">
        <f t="shared" si="34"/>
        <v>100</v>
      </c>
      <c r="H69" s="493">
        <f t="shared" si="34"/>
        <v>100</v>
      </c>
      <c r="I69" s="493">
        <f t="shared" si="34"/>
        <v>100</v>
      </c>
      <c r="J69" s="493">
        <f t="shared" si="34"/>
        <v>100</v>
      </c>
      <c r="K69" s="493">
        <f t="shared" si="34"/>
        <v>100</v>
      </c>
      <c r="L69" s="493">
        <f t="shared" si="34"/>
        <v>100</v>
      </c>
      <c r="M69" s="494">
        <f t="shared" si="34"/>
        <v>100</v>
      </c>
      <c r="N69" s="934"/>
      <c r="O69" s="934"/>
      <c r="P69" s="1918"/>
      <c r="Q69" s="453"/>
    </row>
    <row r="70" spans="1:17" s="422" customFormat="1" ht="15.75" thickTop="1">
      <c r="A70" s="502"/>
      <c r="B70" s="487">
        <f>B12</f>
        <v>111</v>
      </c>
      <c r="C70" s="503"/>
      <c r="D70" s="503"/>
      <c r="E70" s="503"/>
      <c r="F70" s="503"/>
      <c r="G70" s="503"/>
      <c r="H70" s="504"/>
      <c r="I70" s="504"/>
      <c r="J70" s="504"/>
      <c r="K70" s="504"/>
      <c r="L70" s="505"/>
      <c r="M70" s="506"/>
      <c r="N70" s="935"/>
      <c r="O70" s="935"/>
      <c r="P70" s="1919"/>
      <c r="Q70" s="508"/>
    </row>
    <row r="71" spans="1:17" s="422" customFormat="1" ht="15.75" thickBot="1">
      <c r="A71" s="502"/>
      <c r="B71" s="492"/>
      <c r="C71" s="509"/>
      <c r="D71" s="485"/>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18"/>
      <c r="Q82" s="453"/>
    </row>
    <row r="83" spans="1:17" ht="15.75" thickBot="1">
      <c r="A83" s="483"/>
      <c r="B83" s="495"/>
      <c r="C83" s="608">
        <v>100</v>
      </c>
      <c r="D83" s="608">
        <f>C83-$K21</f>
        <v>100</v>
      </c>
      <c r="E83" s="608">
        <f t="shared" ref="E83:G83" si="35">D83-$K21</f>
        <v>100</v>
      </c>
      <c r="F83" s="608">
        <f t="shared" si="35"/>
        <v>100</v>
      </c>
      <c r="G83" s="608">
        <f t="shared" si="35"/>
        <v>100</v>
      </c>
      <c r="H83" s="608"/>
      <c r="I83" s="608"/>
      <c r="J83" s="608"/>
      <c r="K83" s="608"/>
      <c r="L83" s="608"/>
      <c r="M83" s="401"/>
      <c r="N83" s="934"/>
      <c r="O83" s="934"/>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8"/>
      <c r="Q85" s="453"/>
    </row>
    <row r="86" spans="1:17" s="108" customFormat="1" ht="15.75" thickTop="1">
      <c r="A86" s="528"/>
      <c r="B86" s="487" t="s">
        <v>1734</v>
      </c>
      <c r="C86" s="503"/>
      <c r="D86" s="503"/>
      <c r="E86" s="503"/>
      <c r="F86" s="503"/>
      <c r="G86" s="503"/>
      <c r="H86" s="503"/>
      <c r="I86" s="503"/>
      <c r="J86" s="503"/>
      <c r="K86" s="503"/>
      <c r="L86" s="529"/>
      <c r="M86" s="530"/>
      <c r="N86" s="932"/>
      <c r="O86" s="932"/>
      <c r="P86" s="1918"/>
      <c r="Q86" s="453"/>
    </row>
    <row r="87" spans="1:17" s="108" customFormat="1" ht="15.75" thickBot="1">
      <c r="A87" s="528"/>
      <c r="B87" s="492"/>
      <c r="C87" s="531">
        <v>100</v>
      </c>
      <c r="D87" s="493">
        <f t="shared" ref="D87:M87" si="36">$C$87-($C$86-D86)*$K$25</f>
        <v>100</v>
      </c>
      <c r="E87" s="493">
        <f t="shared" si="36"/>
        <v>100</v>
      </c>
      <c r="F87" s="493">
        <f t="shared" si="36"/>
        <v>100</v>
      </c>
      <c r="G87" s="493">
        <f t="shared" si="36"/>
        <v>100</v>
      </c>
      <c r="H87" s="493">
        <f t="shared" si="36"/>
        <v>100</v>
      </c>
      <c r="I87" s="493">
        <f t="shared" si="36"/>
        <v>100</v>
      </c>
      <c r="J87" s="493">
        <f t="shared" si="36"/>
        <v>100</v>
      </c>
      <c r="K87" s="493">
        <f t="shared" si="36"/>
        <v>100</v>
      </c>
      <c r="L87" s="493">
        <f t="shared" si="36"/>
        <v>100</v>
      </c>
      <c r="M87" s="493">
        <f t="shared" si="36"/>
        <v>100</v>
      </c>
      <c r="N87" s="934"/>
      <c r="O87" s="934"/>
      <c r="P87" s="1918"/>
      <c r="Q87" s="453"/>
    </row>
    <row r="88" spans="1:17" s="108" customFormat="1" ht="15.75" thickTop="1">
      <c r="A88" s="528"/>
      <c r="B88" s="487" t="s">
        <v>1735</v>
      </c>
      <c r="C88" s="3446" t="s">
        <v>3400</v>
      </c>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37">C89-$K26</f>
        <v>100</v>
      </c>
      <c r="E89" s="493">
        <f t="shared" si="37"/>
        <v>100</v>
      </c>
      <c r="F89" s="493">
        <f t="shared" si="37"/>
        <v>100</v>
      </c>
      <c r="G89" s="493">
        <f t="shared" si="37"/>
        <v>100</v>
      </c>
      <c r="H89" s="493">
        <f t="shared" si="37"/>
        <v>100</v>
      </c>
      <c r="I89" s="493">
        <f t="shared" si="37"/>
        <v>100</v>
      </c>
      <c r="J89" s="493">
        <f t="shared" si="37"/>
        <v>100</v>
      </c>
      <c r="K89" s="493">
        <f t="shared" si="37"/>
        <v>100</v>
      </c>
      <c r="L89" s="493">
        <f t="shared" si="37"/>
        <v>100</v>
      </c>
      <c r="M89" s="493">
        <f t="shared" si="37"/>
        <v>100</v>
      </c>
      <c r="N89" s="934"/>
      <c r="O89" s="934"/>
      <c r="P89" s="1918"/>
      <c r="Q89" s="453"/>
    </row>
    <row r="90" spans="1:17" s="422" customFormat="1" ht="15.75" thickTop="1">
      <c r="A90" s="502"/>
      <c r="B90" s="487">
        <f>B27</f>
        <v>111</v>
      </c>
      <c r="C90" s="503"/>
      <c r="D90" s="503"/>
      <c r="E90" s="503"/>
      <c r="F90" s="503"/>
      <c r="G90" s="503"/>
      <c r="H90" s="504"/>
      <c r="I90" s="504"/>
      <c r="J90" s="504"/>
      <c r="K90" s="504"/>
      <c r="L90" s="505"/>
      <c r="M90" s="506"/>
      <c r="N90" s="935"/>
      <c r="O90" s="935"/>
      <c r="P90" s="1919"/>
      <c r="Q90" s="508"/>
    </row>
    <row r="91" spans="1:17" s="422" customFormat="1" ht="15.75" thickBot="1">
      <c r="A91" s="502"/>
      <c r="B91" s="492"/>
      <c r="C91" s="509"/>
      <c r="D91" s="509"/>
      <c r="E91" s="509"/>
      <c r="F91" s="509"/>
      <c r="G91" s="509"/>
      <c r="H91" s="511"/>
      <c r="I91" s="511"/>
      <c r="J91" s="511"/>
      <c r="K91" s="511"/>
      <c r="L91" s="511"/>
      <c r="M91" s="512"/>
      <c r="N91" s="935"/>
      <c r="O91" s="935"/>
      <c r="P91" s="1919"/>
      <c r="Q91" s="508"/>
    </row>
    <row r="92" spans="1:17" ht="15.75" thickTop="1">
      <c r="A92" s="483"/>
      <c r="B92" s="487">
        <f>B28</f>
        <v>111</v>
      </c>
      <c r="C92" s="503"/>
      <c r="D92" s="503"/>
      <c r="E92" s="503"/>
      <c r="F92" s="503"/>
      <c r="G92" s="532"/>
      <c r="H92" s="532"/>
      <c r="I92" s="532"/>
      <c r="J92" s="532"/>
      <c r="K92" s="533"/>
      <c r="L92" s="534"/>
      <c r="M92" s="535"/>
      <c r="N92" s="933"/>
      <c r="O92" s="933"/>
      <c r="P92" s="1918"/>
      <c r="Q92" s="453"/>
    </row>
    <row r="93" spans="1:17" ht="15.75" thickBot="1">
      <c r="A93" s="483"/>
      <c r="B93" s="492"/>
      <c r="C93" s="509"/>
      <c r="D93" s="485"/>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1694</v>
      </c>
      <c r="B100" s="477" t="s">
        <v>1736</v>
      </c>
      <c r="C100" s="3445" t="s">
        <v>3399</v>
      </c>
      <c r="D100" s="479"/>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38">C101-$K32</f>
        <v>100</v>
      </c>
      <c r="E101" s="493">
        <f t="shared" si="38"/>
        <v>100</v>
      </c>
      <c r="F101" s="493">
        <f t="shared" si="38"/>
        <v>100</v>
      </c>
      <c r="G101" s="493">
        <f t="shared" si="38"/>
        <v>100</v>
      </c>
      <c r="H101" s="493">
        <f t="shared" si="38"/>
        <v>100</v>
      </c>
      <c r="I101" s="493">
        <f t="shared" si="38"/>
        <v>100</v>
      </c>
      <c r="J101" s="493">
        <f t="shared" si="38"/>
        <v>100</v>
      </c>
      <c r="K101" s="493">
        <f t="shared" si="38"/>
        <v>100</v>
      </c>
      <c r="L101" s="493">
        <f t="shared" si="38"/>
        <v>100</v>
      </c>
      <c r="M101" s="493">
        <f t="shared" si="38"/>
        <v>100</v>
      </c>
      <c r="N101" s="934"/>
      <c r="O101" s="934"/>
      <c r="P101" s="1918"/>
      <c r="Q101" s="453"/>
    </row>
    <row r="102" spans="1:17" ht="15.75" thickTop="1">
      <c r="A102" s="483"/>
      <c r="B102" s="487" t="s">
        <v>1737</v>
      </c>
      <c r="C102" s="527" t="str">
        <f>C103&amp;"(含)"&amp;"-"&amp;D103</f>
        <v>0(含)-200</v>
      </c>
      <c r="D102" s="527" t="str">
        <f t="shared" ref="D102:L102" si="39">D103&amp;"(含)"&amp;"-"&amp;E103</f>
        <v>200(含)-300</v>
      </c>
      <c r="E102" s="527" t="str">
        <f t="shared" si="39"/>
        <v>300(含)-</v>
      </c>
      <c r="F102" s="527" t="str">
        <f t="shared" si="39"/>
        <v>(含)-</v>
      </c>
      <c r="G102" s="527" t="str">
        <f t="shared" si="39"/>
        <v>(含)-</v>
      </c>
      <c r="H102" s="527" t="str">
        <f t="shared" si="39"/>
        <v>(含)-</v>
      </c>
      <c r="I102" s="527" t="str">
        <f t="shared" si="39"/>
        <v>(含)-</v>
      </c>
      <c r="J102" s="527" t="str">
        <f t="shared" si="39"/>
        <v>(含)-</v>
      </c>
      <c r="K102" s="527" t="str">
        <f>K103&amp;"(含)"&amp;"-"&amp;L103</f>
        <v>(含)-</v>
      </c>
      <c r="L102" s="527" t="str">
        <f t="shared" si="39"/>
        <v>(含)-</v>
      </c>
      <c r="M102" s="527" t="str">
        <f>M103&amp;"(含)"&amp;"-"&amp;P103</f>
        <v>(含)-</v>
      </c>
      <c r="N102" s="932"/>
      <c r="O102" s="932"/>
      <c r="P102" s="1918"/>
      <c r="Q102" s="453"/>
    </row>
    <row r="103" spans="1:17" s="422" customFormat="1">
      <c r="A103" s="542"/>
      <c r="B103" s="543"/>
      <c r="C103" s="544">
        <v>0</v>
      </c>
      <c r="D103" s="544">
        <v>200</v>
      </c>
      <c r="E103" s="544">
        <v>300</v>
      </c>
      <c r="F103" s="544"/>
      <c r="G103" s="544"/>
      <c r="H103" s="544"/>
      <c r="I103" s="544"/>
      <c r="J103" s="545"/>
      <c r="K103" s="545"/>
      <c r="L103" s="546"/>
      <c r="M103" s="547"/>
      <c r="N103" s="935"/>
      <c r="O103" s="935"/>
      <c r="P103" s="1919"/>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19"/>
      <c r="Q104" s="508"/>
    </row>
    <row r="105" spans="1:17" ht="15" thickTop="1">
      <c r="A105" s="548"/>
      <c r="B105" s="487" t="s">
        <v>1738</v>
      </c>
      <c r="C105" s="3446" t="s">
        <v>3401</v>
      </c>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40">C106-$K34</f>
        <v>100</v>
      </c>
      <c r="E106" s="493">
        <f t="shared" si="40"/>
        <v>100</v>
      </c>
      <c r="F106" s="493">
        <f t="shared" si="40"/>
        <v>100</v>
      </c>
      <c r="G106" s="493">
        <f t="shared" si="40"/>
        <v>100</v>
      </c>
      <c r="H106" s="493">
        <f t="shared" si="40"/>
        <v>100</v>
      </c>
      <c r="I106" s="493">
        <f t="shared" si="40"/>
        <v>100</v>
      </c>
      <c r="J106" s="493">
        <f t="shared" si="40"/>
        <v>100</v>
      </c>
      <c r="K106" s="493">
        <f t="shared" si="40"/>
        <v>100</v>
      </c>
      <c r="L106" s="493">
        <f t="shared" si="40"/>
        <v>100</v>
      </c>
      <c r="M106" s="493">
        <f t="shared" si="40"/>
        <v>100</v>
      </c>
      <c r="N106" s="934"/>
      <c r="O106" s="934"/>
      <c r="P106" s="1918"/>
      <c r="Q106" s="453"/>
    </row>
    <row r="107" spans="1:17" ht="15" thickTop="1">
      <c r="A107" s="548"/>
      <c r="B107" s="487" t="s">
        <v>1739</v>
      </c>
      <c r="C107" s="3447" t="s">
        <v>3403</v>
      </c>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41">C108-$K35</f>
        <v>100</v>
      </c>
      <c r="E108" s="493">
        <f t="shared" si="41"/>
        <v>100</v>
      </c>
      <c r="F108" s="493">
        <f t="shared" si="41"/>
        <v>100</v>
      </c>
      <c r="G108" s="493">
        <f t="shared" si="41"/>
        <v>100</v>
      </c>
      <c r="H108" s="493">
        <f t="shared" si="41"/>
        <v>100</v>
      </c>
      <c r="I108" s="493">
        <f t="shared" si="41"/>
        <v>100</v>
      </c>
      <c r="J108" s="493">
        <f t="shared" si="41"/>
        <v>100</v>
      </c>
      <c r="K108" s="493">
        <f t="shared" si="41"/>
        <v>100</v>
      </c>
      <c r="L108" s="493">
        <f t="shared" si="41"/>
        <v>100</v>
      </c>
      <c r="M108" s="493">
        <f t="shared" si="41"/>
        <v>100</v>
      </c>
      <c r="N108" s="934"/>
      <c r="O108" s="934"/>
      <c r="P108" s="1918"/>
      <c r="Q108" s="453"/>
    </row>
    <row r="109" spans="1:17" ht="15" thickTop="1">
      <c r="A109" s="548"/>
      <c r="B109" s="487" t="s">
        <v>1740</v>
      </c>
      <c r="C109" s="3446" t="s">
        <v>3405</v>
      </c>
      <c r="D109" s="503"/>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42">C110-$K36</f>
        <v>100</v>
      </c>
      <c r="E110" s="493">
        <f t="shared" si="42"/>
        <v>100</v>
      </c>
      <c r="F110" s="493">
        <f t="shared" si="42"/>
        <v>100</v>
      </c>
      <c r="G110" s="493">
        <f t="shared" si="42"/>
        <v>100</v>
      </c>
      <c r="H110" s="493">
        <f t="shared" si="42"/>
        <v>100</v>
      </c>
      <c r="I110" s="493">
        <f t="shared" si="42"/>
        <v>100</v>
      </c>
      <c r="J110" s="493">
        <f t="shared" si="42"/>
        <v>100</v>
      </c>
      <c r="K110" s="493">
        <f t="shared" si="42"/>
        <v>100</v>
      </c>
      <c r="L110" s="493">
        <f t="shared" si="42"/>
        <v>100</v>
      </c>
      <c r="M110" s="493">
        <f t="shared" si="42"/>
        <v>100</v>
      </c>
      <c r="N110" s="934"/>
      <c r="O110" s="934"/>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9"/>
      <c r="Q113" s="508"/>
    </row>
    <row r="114" spans="1:17" ht="15" thickTop="1">
      <c r="A114" s="548"/>
      <c r="B114" s="487" t="s">
        <v>1741</v>
      </c>
      <c r="C114" s="3446" t="s">
        <v>3407</v>
      </c>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43">C115-$K38</f>
        <v>100</v>
      </c>
      <c r="E115" s="493">
        <f t="shared" si="43"/>
        <v>100</v>
      </c>
      <c r="F115" s="493">
        <f t="shared" si="43"/>
        <v>100</v>
      </c>
      <c r="G115" s="493">
        <f t="shared" si="43"/>
        <v>100</v>
      </c>
      <c r="H115" s="493">
        <f t="shared" si="43"/>
        <v>100</v>
      </c>
      <c r="I115" s="493">
        <f t="shared" si="43"/>
        <v>100</v>
      </c>
      <c r="J115" s="493">
        <f t="shared" si="43"/>
        <v>100</v>
      </c>
      <c r="K115" s="493">
        <f t="shared" si="43"/>
        <v>100</v>
      </c>
      <c r="L115" s="493">
        <f t="shared" si="43"/>
        <v>100</v>
      </c>
      <c r="M115" s="493">
        <f t="shared" si="43"/>
        <v>100</v>
      </c>
      <c r="N115" s="934"/>
      <c r="O115" s="934"/>
      <c r="P115" s="1918"/>
      <c r="Q115" s="453"/>
    </row>
    <row r="116" spans="1:17" ht="15" thickTop="1">
      <c r="A116" s="548"/>
      <c r="B116" s="487" t="s">
        <v>1742</v>
      </c>
      <c r="C116" s="3446" t="s">
        <v>3409</v>
      </c>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8"/>
      <c r="Q117" s="453"/>
    </row>
    <row r="118" spans="1:17" ht="15" thickTop="1">
      <c r="A118" s="548"/>
      <c r="B118" s="487" t="s">
        <v>1743</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44">C119-$K40</f>
        <v>100</v>
      </c>
      <c r="E119" s="493">
        <f t="shared" si="44"/>
        <v>100</v>
      </c>
      <c r="F119" s="493">
        <f t="shared" si="44"/>
        <v>100</v>
      </c>
      <c r="G119" s="493">
        <f t="shared" si="44"/>
        <v>100</v>
      </c>
      <c r="H119" s="493">
        <f t="shared" si="44"/>
        <v>100</v>
      </c>
      <c r="I119" s="493">
        <f t="shared" si="44"/>
        <v>100</v>
      </c>
      <c r="J119" s="493">
        <f t="shared" si="44"/>
        <v>100</v>
      </c>
      <c r="K119" s="493">
        <f t="shared" si="44"/>
        <v>100</v>
      </c>
      <c r="L119" s="493">
        <f t="shared" si="44"/>
        <v>100</v>
      </c>
      <c r="M119" s="493">
        <f t="shared" si="44"/>
        <v>100</v>
      </c>
      <c r="N119" s="934"/>
      <c r="O119" s="934"/>
      <c r="P119" s="1918"/>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1744</v>
      </c>
      <c r="C122" s="3446" t="s">
        <v>3405</v>
      </c>
      <c r="D122" s="3446" t="s">
        <v>3416</v>
      </c>
      <c r="E122" s="503"/>
      <c r="F122" s="532"/>
      <c r="G122" s="532"/>
      <c r="H122" s="532"/>
      <c r="I122" s="532"/>
      <c r="J122" s="532"/>
      <c r="K122" s="533"/>
      <c r="L122" s="534"/>
      <c r="M122" s="535"/>
      <c r="N122" s="933"/>
      <c r="O122" s="933"/>
      <c r="P122" s="1918"/>
      <c r="Q122" s="453"/>
    </row>
    <row r="123" spans="1:17" ht="15.75" thickBot="1">
      <c r="A123" s="483"/>
      <c r="B123" s="492"/>
      <c r="C123" s="493">
        <v>100</v>
      </c>
      <c r="D123" s="493">
        <f t="shared" ref="D123:M123" si="45">C123-$K42</f>
        <v>95</v>
      </c>
      <c r="E123" s="493">
        <f t="shared" si="45"/>
        <v>90</v>
      </c>
      <c r="F123" s="493">
        <f t="shared" si="45"/>
        <v>85</v>
      </c>
      <c r="G123" s="493">
        <f t="shared" si="45"/>
        <v>80</v>
      </c>
      <c r="H123" s="493">
        <f t="shared" si="45"/>
        <v>75</v>
      </c>
      <c r="I123" s="493">
        <f t="shared" si="45"/>
        <v>70</v>
      </c>
      <c r="J123" s="493">
        <f t="shared" si="45"/>
        <v>65</v>
      </c>
      <c r="K123" s="493">
        <f t="shared" si="45"/>
        <v>60</v>
      </c>
      <c r="L123" s="493">
        <f t="shared" si="45"/>
        <v>55</v>
      </c>
      <c r="M123" s="493">
        <f t="shared" si="45"/>
        <v>50</v>
      </c>
      <c r="N123" s="934"/>
      <c r="O123" s="934"/>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8"/>
      <c r="Q125" s="453"/>
    </row>
    <row r="126" spans="1:17" s="422" customFormat="1" ht="15" thickTop="1">
      <c r="A126" s="542"/>
      <c r="B126" s="487" t="str">
        <f>B44</f>
        <v>位置</v>
      </c>
      <c r="C126" s="3446" t="s">
        <v>3412</v>
      </c>
      <c r="D126" s="3446" t="s">
        <v>3413</v>
      </c>
      <c r="E126" s="503"/>
      <c r="F126" s="503"/>
      <c r="G126" s="503"/>
      <c r="H126" s="504"/>
      <c r="I126" s="504"/>
      <c r="J126" s="504"/>
      <c r="K126" s="504"/>
      <c r="L126" s="505"/>
      <c r="M126" s="506"/>
      <c r="N126" s="935"/>
      <c r="O126" s="935"/>
      <c r="P126" s="1919"/>
      <c r="Q126" s="508"/>
    </row>
    <row r="127" spans="1:17" s="422" customFormat="1" ht="15.75" thickBot="1">
      <c r="A127" s="502"/>
      <c r="B127" s="492"/>
      <c r="C127" s="509">
        <v>100</v>
      </c>
      <c r="D127" s="485">
        <v>90</v>
      </c>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7">
        <v>6</v>
      </c>
      <c r="C139" s="868">
        <v>96</v>
      </c>
      <c r="D139" s="1936" t="s">
        <v>1755</v>
      </c>
      <c r="E139" s="869">
        <v>100</v>
      </c>
      <c r="F139" s="870">
        <v>102.5</v>
      </c>
      <c r="G139" s="1936" t="s">
        <v>1755</v>
      </c>
      <c r="H139" s="871">
        <v>105</v>
      </c>
      <c r="I139" s="1937" t="s">
        <v>1756</v>
      </c>
      <c r="J139" s="868">
        <v>20</v>
      </c>
      <c r="K139" s="872">
        <f>C145/(J139-2)</f>
        <v>4.0555555555555553E-3</v>
      </c>
    </row>
    <row r="140" spans="1:17" ht="15">
      <c r="B140" s="873">
        <v>5</v>
      </c>
      <c r="C140" s="874">
        <v>100</v>
      </c>
      <c r="D140" s="874"/>
      <c r="E140" s="875"/>
      <c r="F140" s="876">
        <v>102</v>
      </c>
      <c r="G140" s="874"/>
      <c r="H140" s="877"/>
      <c r="I140" s="1938" t="s">
        <v>1757</v>
      </c>
      <c r="J140" s="271">
        <f>ROUNDUP((J139-1)/2,0)</f>
        <v>10</v>
      </c>
      <c r="K140" s="878">
        <v>100</v>
      </c>
    </row>
    <row r="141" spans="1:17" ht="15">
      <c r="B141" s="873">
        <v>4</v>
      </c>
      <c r="C141" s="874">
        <v>102</v>
      </c>
      <c r="D141" s="874"/>
      <c r="E141" s="875"/>
      <c r="F141" s="876">
        <v>101.5</v>
      </c>
      <c r="G141" s="874"/>
      <c r="H141" s="877"/>
      <c r="I141" s="1938" t="s">
        <v>1758</v>
      </c>
      <c r="J141" s="271">
        <v>1</v>
      </c>
      <c r="K141" s="879">
        <f>ROUND(100+(J141-J140)*K139*100,1)</f>
        <v>96.4</v>
      </c>
    </row>
    <row r="142" spans="1:17" ht="15">
      <c r="B142" s="873">
        <v>3</v>
      </c>
      <c r="C142" s="874">
        <v>103</v>
      </c>
      <c r="D142" s="874"/>
      <c r="E142" s="875"/>
      <c r="F142" s="876">
        <v>101</v>
      </c>
      <c r="G142" s="874"/>
      <c r="H142" s="877"/>
      <c r="I142" s="1938" t="s">
        <v>1759</v>
      </c>
      <c r="J142" s="271">
        <f>J139</f>
        <v>20</v>
      </c>
      <c r="K142" s="880">
        <v>95</v>
      </c>
    </row>
    <row r="143" spans="1:17" ht="15">
      <c r="B143" s="873">
        <v>2</v>
      </c>
      <c r="C143" s="874">
        <v>100</v>
      </c>
      <c r="D143" s="874"/>
      <c r="E143" s="875"/>
      <c r="F143" s="876">
        <v>100.5</v>
      </c>
      <c r="G143" s="874"/>
      <c r="H143" s="877"/>
      <c r="I143" s="1938" t="s">
        <v>1760</v>
      </c>
      <c r="J143" s="874">
        <v>15</v>
      </c>
      <c r="K143" s="879">
        <f>ROUND(100+(J143-J140)*K139*100,1)</f>
        <v>102</v>
      </c>
    </row>
    <row r="144" spans="1:17" ht="15">
      <c r="B144" s="873">
        <v>1</v>
      </c>
      <c r="C144" s="874">
        <v>98</v>
      </c>
      <c r="D144" s="1939" t="s">
        <v>1761</v>
      </c>
      <c r="E144" s="875">
        <v>102</v>
      </c>
      <c r="F144" s="881">
        <v>100</v>
      </c>
      <c r="G144" s="1939" t="s">
        <v>1761</v>
      </c>
      <c r="H144" s="877">
        <v>105</v>
      </c>
      <c r="I144" s="1938" t="s">
        <v>1760</v>
      </c>
      <c r="J144" s="874">
        <v>18</v>
      </c>
      <c r="K144" s="879">
        <f>ROUND(100+(J144-J140)*K139*100,1)</f>
        <v>103.2</v>
      </c>
    </row>
    <row r="145" spans="2:11" ht="15.75" thickBot="1">
      <c r="B145" s="1940" t="s">
        <v>1762</v>
      </c>
      <c r="C145" s="882">
        <f>ROUND(MAX(C139:C144)/MIN(C139:C144)-1,3)</f>
        <v>7.2999999999999995E-2</v>
      </c>
      <c r="D145" s="883"/>
      <c r="E145" s="883"/>
      <c r="F145" s="1941" t="s">
        <v>1763</v>
      </c>
      <c r="G145" s="1942"/>
      <c r="H145" s="1943"/>
      <c r="I145" s="1944" t="s">
        <v>1760</v>
      </c>
      <c r="J145" s="884">
        <v>8</v>
      </c>
      <c r="K145" s="885">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1"/>
      <c r="F1" s="1878"/>
      <c r="G1" s="1234" t="s">
        <v>1767</v>
      </c>
      <c r="H1" s="1233"/>
      <c r="I1" s="1233"/>
      <c r="J1" s="1233"/>
      <c r="K1" s="1235"/>
      <c r="L1" s="1236"/>
      <c r="M1" s="1237"/>
      <c r="N1" s="1237"/>
      <c r="O1" s="1237"/>
      <c r="P1" s="1945"/>
      <c r="Q1" s="1946"/>
      <c r="R1" s="1946"/>
      <c r="S1" s="1946"/>
      <c r="T1" s="1946"/>
      <c r="U1" s="1946"/>
      <c r="V1" s="1946"/>
      <c r="W1" s="1946"/>
      <c r="X1" s="1946"/>
      <c r="Y1" s="1946"/>
      <c r="Z1" s="1946"/>
      <c r="AA1" s="1946"/>
      <c r="AB1" s="1946"/>
      <c r="AC1" s="1947"/>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1948"/>
      <c r="Q2" s="912"/>
      <c r="R2" s="912"/>
      <c r="S2" s="912"/>
      <c r="T2" s="912"/>
      <c r="U2" s="912"/>
      <c r="V2" s="912"/>
      <c r="W2" s="912"/>
      <c r="X2" s="912"/>
      <c r="Y2" s="912"/>
      <c r="Z2" s="912"/>
      <c r="AA2" s="912"/>
      <c r="AB2" s="912"/>
      <c r="AC2" s="1949"/>
    </row>
    <row r="3" spans="1:29" s="352" customFormat="1" ht="28.5" customHeight="1" thickBot="1">
      <c r="A3" s="203" t="s">
        <v>1464</v>
      </c>
      <c r="B3" s="558">
        <f>IF(C2="——",C49,ROUND(B2*10000/D3,0))</f>
        <v>0</v>
      </c>
      <c r="C3" s="354" t="s">
        <v>1768</v>
      </c>
      <c r="D3" s="353">
        <f>IF(D1="",'数据-汇总表'!E3,SUMIF('数据-汇总表'!$C19:$C33,D1,'数据-汇总表'!$E19:$E33))</f>
        <v>459.68</v>
      </c>
      <c r="E3" s="1950"/>
      <c r="F3" s="909"/>
      <c r="G3" s="908"/>
      <c r="H3" s="908"/>
      <c r="I3" s="908"/>
      <c r="J3" s="908"/>
      <c r="K3" s="910"/>
      <c r="L3" s="2729"/>
      <c r="M3" s="2730"/>
      <c r="N3" s="2730"/>
      <c r="O3" s="2730"/>
      <c r="P3" s="1948"/>
      <c r="Q3" s="912"/>
      <c r="R3" s="912"/>
      <c r="S3" s="912"/>
      <c r="T3" s="912"/>
      <c r="U3" s="912"/>
      <c r="V3" s="912"/>
      <c r="W3" s="912"/>
      <c r="X3" s="912"/>
      <c r="Y3" s="912"/>
      <c r="Z3" s="912"/>
      <c r="AA3" s="912"/>
      <c r="AB3" s="912"/>
      <c r="AC3" s="1950"/>
    </row>
    <row r="4" spans="1:29" ht="15">
      <c r="A4" s="355" t="s">
        <v>1769</v>
      </c>
      <c r="B4" s="356"/>
      <c r="C4" s="3706" t="s">
        <v>1770</v>
      </c>
      <c r="D4" s="3707"/>
      <c r="E4" s="3708" t="s">
        <v>1771</v>
      </c>
      <c r="F4" s="3709"/>
      <c r="G4" s="3706" t="s">
        <v>1772</v>
      </c>
      <c r="H4" s="3707"/>
      <c r="I4" s="3706" t="s">
        <v>1773</v>
      </c>
      <c r="J4" s="3707"/>
      <c r="K4" s="559" t="s">
        <v>1774</v>
      </c>
      <c r="L4" s="2710"/>
      <c r="M4" s="2711"/>
      <c r="N4" s="2711"/>
      <c r="O4" s="2711"/>
      <c r="P4" s="3710" t="s">
        <v>1775</v>
      </c>
      <c r="Q4" s="3711"/>
      <c r="R4" s="3692" t="s">
        <v>1771</v>
      </c>
      <c r="S4" s="3693"/>
      <c r="T4" s="3692" t="s">
        <v>1772</v>
      </c>
      <c r="U4" s="3693"/>
      <c r="V4" s="3718" t="s">
        <v>1773</v>
      </c>
      <c r="W4" s="3718"/>
      <c r="X4" s="1354"/>
      <c r="Y4" s="3692" t="s">
        <v>1775</v>
      </c>
      <c r="Z4" s="3693"/>
      <c r="AA4" s="3687" t="s">
        <v>1771</v>
      </c>
      <c r="AB4" s="3718" t="s">
        <v>1772</v>
      </c>
      <c r="AC4" s="3687" t="s">
        <v>1773</v>
      </c>
    </row>
    <row r="5" spans="1:29" ht="15">
      <c r="A5" s="358"/>
      <c r="B5" s="359"/>
      <c r="C5" s="3702" t="s">
        <v>1673</v>
      </c>
      <c r="D5" s="3699"/>
      <c r="E5" s="3696" t="s">
        <v>1674</v>
      </c>
      <c r="F5" s="3697"/>
      <c r="G5" s="3702" t="s">
        <v>1675</v>
      </c>
      <c r="H5" s="3699"/>
      <c r="I5" s="3702" t="s">
        <v>1676</v>
      </c>
      <c r="J5" s="3699"/>
      <c r="K5" s="559"/>
      <c r="L5" s="2710"/>
      <c r="M5" s="2711"/>
      <c r="N5" s="2711"/>
      <c r="O5" s="2711"/>
      <c r="P5" s="3712"/>
      <c r="Q5" s="3713"/>
      <c r="R5" s="3694"/>
      <c r="S5" s="3695"/>
      <c r="T5" s="3694"/>
      <c r="U5" s="3695"/>
      <c r="V5" s="3718"/>
      <c r="W5" s="3718"/>
      <c r="X5" s="1354"/>
      <c r="Y5" s="3694"/>
      <c r="Z5" s="3695"/>
      <c r="AA5" s="3688"/>
      <c r="AB5" s="3718"/>
      <c r="AC5" s="3688"/>
    </row>
    <row r="6" spans="1:29" ht="15.75" thickBot="1">
      <c r="A6" s="360"/>
      <c r="B6" s="361"/>
      <c r="C6" s="3700" t="s">
        <v>1677</v>
      </c>
      <c r="D6" s="3701"/>
      <c r="E6" s="3703" t="s">
        <v>1677</v>
      </c>
      <c r="F6" s="3704"/>
      <c r="G6" s="3700" t="s">
        <v>1677</v>
      </c>
      <c r="H6" s="3701"/>
      <c r="I6" s="3700" t="s">
        <v>1677</v>
      </c>
      <c r="J6" s="3701"/>
      <c r="K6" s="559" t="s">
        <v>1678</v>
      </c>
      <c r="L6" s="2710"/>
      <c r="M6" s="2711"/>
      <c r="N6" s="2711"/>
      <c r="O6" s="2711"/>
      <c r="P6" s="3714"/>
      <c r="Q6" s="3715"/>
      <c r="R6" s="3694"/>
      <c r="S6" s="3695"/>
      <c r="T6" s="3716"/>
      <c r="U6" s="3717"/>
      <c r="V6" s="3718"/>
      <c r="W6" s="3718"/>
      <c r="X6" s="1354"/>
      <c r="Y6" s="3716"/>
      <c r="Z6" s="3717"/>
      <c r="AA6" s="3689"/>
      <c r="AB6" s="3718"/>
      <c r="AC6" s="3689"/>
    </row>
    <row r="7" spans="1:29" s="108" customFormat="1" ht="15.75" thickBot="1">
      <c r="A7" s="362" t="s">
        <v>1679</v>
      </c>
      <c r="B7" s="363"/>
      <c r="C7" s="364">
        <f>'数据-取费表'!B2</f>
        <v>44845</v>
      </c>
      <c r="D7" s="365">
        <v>100</v>
      </c>
      <c r="E7" s="366"/>
      <c r="F7" s="367">
        <f>SUMIF(58:58,YEAR(E7)&amp;"-"&amp;MONTH(E7),59:59)</f>
        <v>0</v>
      </c>
      <c r="G7" s="366"/>
      <c r="H7" s="365">
        <f>SUMIF(58:58,YEAR(G7)&amp;"-"&amp;MONTH(G7),59:59)</f>
        <v>0</v>
      </c>
      <c r="I7" s="366"/>
      <c r="J7" s="365">
        <f>SUMIF(58:58,YEAR(I7)&amp;"-"&amp;MONTH(I7),59:59)</f>
        <v>0</v>
      </c>
      <c r="K7" s="560"/>
      <c r="L7" s="2712"/>
      <c r="M7" s="2713"/>
      <c r="N7" s="2713"/>
      <c r="O7" s="2713"/>
      <c r="P7" s="3690" t="s">
        <v>1680</v>
      </c>
      <c r="Q7" s="3719"/>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690" t="s">
        <v>1683</v>
      </c>
      <c r="Q8" s="3691"/>
      <c r="R8" s="701" t="s">
        <v>14</v>
      </c>
      <c r="S8" s="702">
        <f t="shared" si="0"/>
        <v>100</v>
      </c>
      <c r="T8" s="701" t="s">
        <v>14</v>
      </c>
      <c r="U8" s="702">
        <f t="shared" si="1"/>
        <v>100</v>
      </c>
      <c r="V8" s="701" t="s">
        <v>14</v>
      </c>
      <c r="W8" s="702">
        <f t="shared" si="2"/>
        <v>100</v>
      </c>
      <c r="X8" s="703"/>
      <c r="Y8" s="3690" t="s">
        <v>1683</v>
      </c>
      <c r="Z8" s="369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705"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705"/>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705"/>
      <c r="Q11" s="1342"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705"/>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705"/>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705"/>
      <c r="Q14" s="1342">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732" t="s">
        <v>1691</v>
      </c>
      <c r="Q15" s="1351" t="str">
        <f t="shared" si="6"/>
        <v>商业繁华度</v>
      </c>
      <c r="R15" s="705" t="s">
        <v>14</v>
      </c>
      <c r="S15" s="706">
        <f t="shared" si="0"/>
        <v>100</v>
      </c>
      <c r="T15" s="705" t="s">
        <v>14</v>
      </c>
      <c r="U15" s="706">
        <f t="shared" si="1"/>
        <v>100</v>
      </c>
      <c r="V15" s="705" t="s">
        <v>14</v>
      </c>
      <c r="W15" s="706">
        <f t="shared" si="2"/>
        <v>100</v>
      </c>
      <c r="X15" s="1354"/>
      <c r="Y15" s="3725"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7"/>
      <c r="M16" s="2711"/>
      <c r="N16" s="2711"/>
      <c r="O16" s="2711"/>
      <c r="P16" s="3733"/>
      <c r="Q16" s="1351"/>
      <c r="R16" s="705"/>
      <c r="S16" s="706"/>
      <c r="T16" s="705"/>
      <c r="U16" s="706"/>
      <c r="V16" s="705"/>
      <c r="W16" s="706"/>
      <c r="X16" s="1354"/>
      <c r="Y16" s="3726"/>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33"/>
      <c r="Q17" s="1351" t="str">
        <f>B17</f>
        <v>交通便捷度</v>
      </c>
      <c r="R17" s="705" t="s">
        <v>14</v>
      </c>
      <c r="S17" s="706">
        <f>F17</f>
        <v>100</v>
      </c>
      <c r="T17" s="705" t="s">
        <v>14</v>
      </c>
      <c r="U17" s="706">
        <f>H17</f>
        <v>100</v>
      </c>
      <c r="V17" s="705" t="s">
        <v>14</v>
      </c>
      <c r="W17" s="706">
        <f>J17</f>
        <v>100</v>
      </c>
      <c r="X17" s="1354"/>
      <c r="Y17" s="3726"/>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17"/>
      <c r="M18" s="2711"/>
      <c r="N18" s="2711"/>
      <c r="O18" s="2711"/>
      <c r="P18" s="3733"/>
      <c r="Q18" s="1351"/>
      <c r="R18" s="705"/>
      <c r="S18" s="706"/>
      <c r="T18" s="705"/>
      <c r="U18" s="706"/>
      <c r="V18" s="705"/>
      <c r="W18" s="706"/>
      <c r="X18" s="1354"/>
      <c r="Y18" s="3726"/>
      <c r="Z18" s="1355"/>
      <c r="AA18" s="1352">
        <v>1</v>
      </c>
      <c r="AB18" s="1352">
        <v>1</v>
      </c>
      <c r="AC18" s="1352">
        <v>1</v>
      </c>
    </row>
    <row r="19" spans="1:29" ht="313.5">
      <c r="A19" s="379"/>
      <c r="B19" s="402" t="s">
        <v>1778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33"/>
      <c r="Q19" s="1351" t="str">
        <f>B19</f>
        <v>公共配套设施</v>
      </c>
      <c r="R19" s="705" t="s">
        <v>14</v>
      </c>
      <c r="S19" s="706">
        <f>F19</f>
        <v>100</v>
      </c>
      <c r="T19" s="705" t="s">
        <v>14</v>
      </c>
      <c r="U19" s="706">
        <f>H19</f>
        <v>100</v>
      </c>
      <c r="V19" s="705" t="s">
        <v>14</v>
      </c>
      <c r="W19" s="706">
        <f>J19</f>
        <v>100</v>
      </c>
      <c r="X19" s="1354"/>
      <c r="Y19" s="3726"/>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17"/>
      <c r="M20" s="2711"/>
      <c r="N20" s="2711"/>
      <c r="O20" s="2711"/>
      <c r="P20" s="3733"/>
      <c r="Q20" s="1351"/>
      <c r="R20" s="705"/>
      <c r="S20" s="706"/>
      <c r="T20" s="705"/>
      <c r="U20" s="706"/>
      <c r="V20" s="705"/>
      <c r="W20" s="706"/>
      <c r="X20" s="1354"/>
      <c r="Y20" s="3726"/>
      <c r="Z20" s="1355"/>
      <c r="AA20" s="1352">
        <v>1</v>
      </c>
      <c r="AB20" s="1352">
        <v>1</v>
      </c>
      <c r="AC20" s="1352">
        <v>1</v>
      </c>
    </row>
    <row r="21" spans="1:29" ht="42.75">
      <c r="A21" s="379"/>
      <c r="B21" s="1131" t="s">
        <v>1779</v>
      </c>
      <c r="C21" s="1898" t="str">
        <f>估价对象房地状况!C8</f>
        <v>估价对象所在区域基础设施水平-七通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33"/>
      <c r="Q21" s="1351" t="str">
        <f>B21</f>
        <v>基础设施水平</v>
      </c>
      <c r="R21" s="705" t="s">
        <v>14</v>
      </c>
      <c r="S21" s="706">
        <f>F21</f>
        <v>100</v>
      </c>
      <c r="T21" s="705" t="s">
        <v>14</v>
      </c>
      <c r="U21" s="706">
        <f>H21</f>
        <v>100</v>
      </c>
      <c r="V21" s="705" t="s">
        <v>14</v>
      </c>
      <c r="W21" s="706">
        <f>J21</f>
        <v>100</v>
      </c>
      <c r="X21" s="1354"/>
      <c r="Y21" s="3726"/>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2717"/>
      <c r="M22" s="2711"/>
      <c r="N22" s="2711"/>
      <c r="O22" s="2711"/>
      <c r="P22" s="3733"/>
      <c r="Q22" s="1351"/>
      <c r="R22" s="705"/>
      <c r="S22" s="706"/>
      <c r="T22" s="705"/>
      <c r="U22" s="706"/>
      <c r="V22" s="705"/>
      <c r="W22" s="706"/>
      <c r="X22" s="1354"/>
      <c r="Y22" s="3726"/>
      <c r="Z22" s="1355"/>
      <c r="AA22" s="1352">
        <v>1</v>
      </c>
      <c r="AB22" s="1352">
        <v>1</v>
      </c>
      <c r="AC22" s="1352">
        <v>1</v>
      </c>
    </row>
    <row r="23" spans="1:29" ht="114">
      <c r="A23" s="379"/>
      <c r="B23" s="402" t="s">
        <v>1261</v>
      </c>
      <c r="C23" s="1951" t="str">
        <f>估价对象房地状况!C9</f>
        <v>区域自然环境：知春公园、双榆树公园；人文环境；首体足球场、大运村网球场；
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33"/>
      <c r="Q23" s="1351" t="str">
        <f>B23</f>
        <v>自然及人文环境</v>
      </c>
      <c r="R23" s="705" t="s">
        <v>14</v>
      </c>
      <c r="S23" s="706">
        <f>F23</f>
        <v>100</v>
      </c>
      <c r="T23" s="705" t="s">
        <v>14</v>
      </c>
      <c r="U23" s="706">
        <f>H23</f>
        <v>100</v>
      </c>
      <c r="V23" s="705" t="s">
        <v>14</v>
      </c>
      <c r="W23" s="706">
        <f>J23</f>
        <v>100</v>
      </c>
      <c r="X23" s="1354"/>
      <c r="Y23" s="3726"/>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17"/>
      <c r="M24" s="2711"/>
      <c r="N24" s="2711"/>
      <c r="O24" s="2711"/>
      <c r="P24" s="3733"/>
      <c r="Q24" s="1351"/>
      <c r="R24" s="705"/>
      <c r="S24" s="706"/>
      <c r="T24" s="705"/>
      <c r="U24" s="706"/>
      <c r="V24" s="705"/>
      <c r="W24" s="706"/>
      <c r="X24" s="1354"/>
      <c r="Y24" s="3726"/>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33"/>
      <c r="Q25" s="1351" t="str">
        <f t="shared" ref="Q25:Q46" si="11">B25</f>
        <v>临街状况</v>
      </c>
      <c r="R25" s="705" t="s">
        <v>14</v>
      </c>
      <c r="S25" s="706">
        <f>F25</f>
        <v>100</v>
      </c>
      <c r="T25" s="705" t="s">
        <v>14</v>
      </c>
      <c r="U25" s="706">
        <f>H25</f>
        <v>100</v>
      </c>
      <c r="V25" s="705" t="s">
        <v>14</v>
      </c>
      <c r="W25" s="706">
        <f>J25</f>
        <v>100</v>
      </c>
      <c r="X25" s="1354"/>
      <c r="Y25" s="3726"/>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33"/>
      <c r="Q26" s="1351" t="str">
        <f t="shared" si="11"/>
        <v>平面位置/可视性</v>
      </c>
      <c r="R26" s="705" t="s">
        <v>14</v>
      </c>
      <c r="S26" s="706">
        <f>F26</f>
        <v>100</v>
      </c>
      <c r="T26" s="705" t="s">
        <v>14</v>
      </c>
      <c r="U26" s="706">
        <f>H26</f>
        <v>100</v>
      </c>
      <c r="V26" s="705" t="s">
        <v>14</v>
      </c>
      <c r="W26" s="706">
        <f>J26</f>
        <v>100</v>
      </c>
      <c r="X26" s="1354"/>
      <c r="Y26" s="3726"/>
      <c r="Z26" s="1355" t="str">
        <f>Q26</f>
        <v>平面位置/可视性</v>
      </c>
      <c r="AA26" s="1352">
        <f t="shared" si="3"/>
        <v>1</v>
      </c>
      <c r="AB26" s="1352">
        <f t="shared" si="4"/>
        <v>1</v>
      </c>
      <c r="AC26" s="1352">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2"/>
      <c r="M27" s="2713"/>
      <c r="N27" s="2713"/>
      <c r="O27" s="2713"/>
      <c r="P27" s="3733"/>
      <c r="Q27" s="1342" t="str">
        <f t="shared" si="11"/>
        <v>人流量</v>
      </c>
      <c r="R27" s="701" t="s">
        <v>14</v>
      </c>
      <c r="S27" s="702">
        <f>F27</f>
        <v>100</v>
      </c>
      <c r="T27" s="701" t="s">
        <v>14</v>
      </c>
      <c r="U27" s="702">
        <f>H27</f>
        <v>100</v>
      </c>
      <c r="V27" s="701" t="s">
        <v>14</v>
      </c>
      <c r="W27" s="702">
        <f>J27</f>
        <v>100</v>
      </c>
      <c r="X27" s="703"/>
      <c r="Y27" s="3726"/>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33"/>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26"/>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33"/>
      <c r="Q29" s="1351">
        <f t="shared" si="11"/>
        <v>111</v>
      </c>
      <c r="R29" s="705" t="s">
        <v>14</v>
      </c>
      <c r="S29" s="706">
        <f t="shared" si="12"/>
        <v>100</v>
      </c>
      <c r="T29" s="705" t="s">
        <v>14</v>
      </c>
      <c r="U29" s="706">
        <f t="shared" si="13"/>
        <v>100</v>
      </c>
      <c r="V29" s="705" t="s">
        <v>14</v>
      </c>
      <c r="W29" s="706">
        <f t="shared" si="14"/>
        <v>100</v>
      </c>
      <c r="X29" s="1354"/>
      <c r="Y29" s="3726"/>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33"/>
      <c r="Q30" s="1351">
        <f t="shared" si="11"/>
        <v>111</v>
      </c>
      <c r="R30" s="705" t="s">
        <v>14</v>
      </c>
      <c r="S30" s="706">
        <f t="shared" si="12"/>
        <v>100</v>
      </c>
      <c r="T30" s="705" t="s">
        <v>14</v>
      </c>
      <c r="U30" s="706">
        <f t="shared" si="13"/>
        <v>100</v>
      </c>
      <c r="V30" s="705" t="s">
        <v>14</v>
      </c>
      <c r="W30" s="706">
        <f t="shared" si="14"/>
        <v>100</v>
      </c>
      <c r="X30" s="1354"/>
      <c r="Y30" s="3726"/>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33"/>
      <c r="Q31" s="1351">
        <f t="shared" si="11"/>
        <v>111</v>
      </c>
      <c r="R31" s="705" t="s">
        <v>14</v>
      </c>
      <c r="S31" s="706">
        <f t="shared" si="12"/>
        <v>100</v>
      </c>
      <c r="T31" s="705" t="s">
        <v>14</v>
      </c>
      <c r="U31" s="706">
        <f t="shared" si="13"/>
        <v>100</v>
      </c>
      <c r="V31" s="705" t="s">
        <v>14</v>
      </c>
      <c r="W31" s="706">
        <f t="shared" si="14"/>
        <v>100</v>
      </c>
      <c r="X31" s="1354"/>
      <c r="Y31" s="3726"/>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7"/>
      <c r="M32" s="2711"/>
      <c r="N32" s="2711"/>
      <c r="O32" s="2711"/>
      <c r="P32" s="3727" t="s">
        <v>1696</v>
      </c>
      <c r="Q32" s="1351" t="str">
        <f t="shared" si="11"/>
        <v>商业类型</v>
      </c>
      <c r="R32" s="705" t="s">
        <v>14</v>
      </c>
      <c r="S32" s="706">
        <f t="shared" si="12"/>
        <v>100</v>
      </c>
      <c r="T32" s="705" t="s">
        <v>14</v>
      </c>
      <c r="U32" s="706">
        <f t="shared" si="13"/>
        <v>100</v>
      </c>
      <c r="V32" s="705" t="s">
        <v>14</v>
      </c>
      <c r="W32" s="706">
        <f t="shared" si="14"/>
        <v>100</v>
      </c>
      <c r="X32" s="1354"/>
      <c r="Y32" s="3730"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728"/>
      <c r="Q33" s="707" t="str">
        <f t="shared" si="11"/>
        <v>项目建筑规模</v>
      </c>
      <c r="R33" s="708" t="s">
        <v>14</v>
      </c>
      <c r="S33" s="709" t="e">
        <f t="shared" si="12"/>
        <v>#N/A</v>
      </c>
      <c r="T33" s="708" t="s">
        <v>14</v>
      </c>
      <c r="U33" s="709" t="e">
        <f t="shared" si="13"/>
        <v>#N/A</v>
      </c>
      <c r="V33" s="708" t="s">
        <v>14</v>
      </c>
      <c r="W33" s="709" t="e">
        <f t="shared" si="14"/>
        <v>#N/A</v>
      </c>
      <c r="X33" s="710"/>
      <c r="Y33" s="3730"/>
      <c r="Z33" s="711" t="str">
        <f t="shared" si="15"/>
        <v>项目建筑规模</v>
      </c>
      <c r="AA33" s="1352" t="e">
        <f t="shared" si="3"/>
        <v>#N/A</v>
      </c>
      <c r="AB33" s="1352" t="e">
        <f t="shared" si="4"/>
        <v>#N/A</v>
      </c>
      <c r="AC33" s="1352"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7"/>
      <c r="M34" s="2711"/>
      <c r="N34" s="2711"/>
      <c r="O34" s="2711"/>
      <c r="P34" s="3728"/>
      <c r="Q34" s="1351" t="str">
        <f t="shared" si="11"/>
        <v>建筑结构</v>
      </c>
      <c r="R34" s="705" t="s">
        <v>14</v>
      </c>
      <c r="S34" s="706">
        <f t="shared" si="12"/>
        <v>100</v>
      </c>
      <c r="T34" s="705" t="s">
        <v>14</v>
      </c>
      <c r="U34" s="706">
        <f t="shared" si="13"/>
        <v>100</v>
      </c>
      <c r="V34" s="705" t="s">
        <v>14</v>
      </c>
      <c r="W34" s="706">
        <f t="shared" si="14"/>
        <v>100</v>
      </c>
      <c r="X34" s="1354"/>
      <c r="Y34" s="3730"/>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7"/>
      <c r="M35" s="2711"/>
      <c r="N35" s="2711"/>
      <c r="O35" s="2711"/>
      <c r="P35" s="3728"/>
      <c r="Q35" s="1351" t="str">
        <f t="shared" si="11"/>
        <v>公共部分装修</v>
      </c>
      <c r="R35" s="705" t="s">
        <v>14</v>
      </c>
      <c r="S35" s="706">
        <f t="shared" si="12"/>
        <v>100</v>
      </c>
      <c r="T35" s="705" t="s">
        <v>14</v>
      </c>
      <c r="U35" s="706">
        <f t="shared" si="13"/>
        <v>100</v>
      </c>
      <c r="V35" s="705" t="s">
        <v>14</v>
      </c>
      <c r="W35" s="706">
        <f t="shared" si="14"/>
        <v>100</v>
      </c>
      <c r="X35" s="1354"/>
      <c r="Y35" s="3730"/>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728"/>
      <c r="Q36" s="1351" t="str">
        <f t="shared" si="11"/>
        <v>成新度</v>
      </c>
      <c r="R36" s="705" t="s">
        <v>14</v>
      </c>
      <c r="S36" s="706" t="e">
        <f t="shared" si="12"/>
        <v>#N/A</v>
      </c>
      <c r="T36" s="705" t="s">
        <v>14</v>
      </c>
      <c r="U36" s="706" t="e">
        <f t="shared" si="13"/>
        <v>#N/A</v>
      </c>
      <c r="V36" s="705" t="s">
        <v>14</v>
      </c>
      <c r="W36" s="706" t="e">
        <f t="shared" si="14"/>
        <v>#N/A</v>
      </c>
      <c r="X36" s="1354"/>
      <c r="Y36" s="3730"/>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2"/>
      <c r="M37" s="2713"/>
      <c r="N37" s="2713"/>
      <c r="O37" s="2713"/>
      <c r="P37" s="3728"/>
      <c r="Q37" s="1342" t="str">
        <f t="shared" si="11"/>
        <v>市政基础设施</v>
      </c>
      <c r="R37" s="701" t="s">
        <v>14</v>
      </c>
      <c r="S37" s="702">
        <f t="shared" si="12"/>
        <v>100</v>
      </c>
      <c r="T37" s="701" t="s">
        <v>14</v>
      </c>
      <c r="U37" s="702">
        <f t="shared" si="13"/>
        <v>100</v>
      </c>
      <c r="V37" s="701" t="s">
        <v>14</v>
      </c>
      <c r="W37" s="702">
        <f t="shared" si="14"/>
        <v>100</v>
      </c>
      <c r="X37" s="703"/>
      <c r="Y37" s="3730"/>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7"/>
      <c r="M38" s="2711"/>
      <c r="N38" s="2711"/>
      <c r="O38" s="2711"/>
      <c r="P38" s="3728" t="s">
        <v>1696</v>
      </c>
      <c r="Q38" s="1351" t="str">
        <f t="shared" si="11"/>
        <v>业态</v>
      </c>
      <c r="R38" s="705" t="s">
        <v>14</v>
      </c>
      <c r="S38" s="706">
        <f t="shared" si="12"/>
        <v>100</v>
      </c>
      <c r="T38" s="705" t="s">
        <v>14</v>
      </c>
      <c r="U38" s="706">
        <f t="shared" si="13"/>
        <v>100</v>
      </c>
      <c r="V38" s="705" t="s">
        <v>14</v>
      </c>
      <c r="W38" s="706">
        <f t="shared" si="14"/>
        <v>100</v>
      </c>
      <c r="X38" s="1354"/>
      <c r="Y38" s="3730"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7"/>
      <c r="M39" s="2711"/>
      <c r="N39" s="2711"/>
      <c r="O39" s="2711"/>
      <c r="P39" s="3728"/>
      <c r="Q39" s="1351" t="str">
        <f t="shared" si="11"/>
        <v>层高</v>
      </c>
      <c r="R39" s="705" t="s">
        <v>14</v>
      </c>
      <c r="S39" s="706">
        <f t="shared" si="12"/>
        <v>100</v>
      </c>
      <c r="T39" s="705" t="s">
        <v>14</v>
      </c>
      <c r="U39" s="706">
        <f t="shared" si="13"/>
        <v>100</v>
      </c>
      <c r="V39" s="705" t="s">
        <v>14</v>
      </c>
      <c r="W39" s="706">
        <f t="shared" si="14"/>
        <v>100</v>
      </c>
      <c r="X39" s="1354"/>
      <c r="Y39" s="3730"/>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28"/>
      <c r="Q40" s="1351" t="str">
        <f t="shared" si="11"/>
        <v>单套建筑面积</v>
      </c>
      <c r="R40" s="705" t="s">
        <v>14</v>
      </c>
      <c r="S40" s="706">
        <f t="shared" si="12"/>
        <v>100</v>
      </c>
      <c r="T40" s="705" t="s">
        <v>14</v>
      </c>
      <c r="U40" s="706">
        <f t="shared" si="13"/>
        <v>100</v>
      </c>
      <c r="V40" s="705" t="s">
        <v>14</v>
      </c>
      <c r="W40" s="706">
        <f t="shared" si="14"/>
        <v>100</v>
      </c>
      <c r="X40" s="1354"/>
      <c r="Y40" s="3730"/>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28"/>
      <c r="Q41" s="707" t="str">
        <f t="shared" si="11"/>
        <v>进深比</v>
      </c>
      <c r="R41" s="708" t="s">
        <v>14</v>
      </c>
      <c r="S41" s="709">
        <f t="shared" si="12"/>
        <v>100</v>
      </c>
      <c r="T41" s="708" t="s">
        <v>14</v>
      </c>
      <c r="U41" s="709">
        <f t="shared" si="13"/>
        <v>100</v>
      </c>
      <c r="V41" s="708" t="s">
        <v>14</v>
      </c>
      <c r="W41" s="709">
        <f t="shared" si="14"/>
        <v>100</v>
      </c>
      <c r="X41" s="710"/>
      <c r="Y41" s="3730"/>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7"/>
      <c r="M42" s="2711"/>
      <c r="N42" s="2711"/>
      <c r="O42" s="2711"/>
      <c r="P42" s="3728"/>
      <c r="Q42" s="1351" t="str">
        <f t="shared" si="11"/>
        <v>内部装修</v>
      </c>
      <c r="R42" s="705" t="s">
        <v>14</v>
      </c>
      <c r="S42" s="706">
        <f t="shared" si="12"/>
        <v>100</v>
      </c>
      <c r="T42" s="705" t="s">
        <v>14</v>
      </c>
      <c r="U42" s="706">
        <f t="shared" si="13"/>
        <v>100</v>
      </c>
      <c r="V42" s="705" t="s">
        <v>14</v>
      </c>
      <c r="W42" s="706">
        <f t="shared" si="14"/>
        <v>100</v>
      </c>
      <c r="X42" s="1354"/>
      <c r="Y42" s="3730"/>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7"/>
      <c r="M43" s="2711"/>
      <c r="N43" s="2711"/>
      <c r="O43" s="2711"/>
      <c r="P43" s="3728"/>
      <c r="Q43" s="1351" t="str">
        <f t="shared" si="11"/>
        <v>内部装修维护情况</v>
      </c>
      <c r="R43" s="705" t="s">
        <v>14</v>
      </c>
      <c r="S43" s="706">
        <f t="shared" si="12"/>
        <v>100</v>
      </c>
      <c r="T43" s="705" t="s">
        <v>14</v>
      </c>
      <c r="U43" s="706">
        <f t="shared" si="13"/>
        <v>100</v>
      </c>
      <c r="V43" s="705" t="s">
        <v>14</v>
      </c>
      <c r="W43" s="706">
        <f t="shared" si="14"/>
        <v>100</v>
      </c>
      <c r="X43" s="1354"/>
      <c r="Y43" s="3730"/>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728"/>
      <c r="Q44" s="1342">
        <f t="shared" si="11"/>
        <v>111</v>
      </c>
      <c r="R44" s="701" t="s">
        <v>14</v>
      </c>
      <c r="S44" s="702">
        <f t="shared" si="12"/>
        <v>100</v>
      </c>
      <c r="T44" s="701" t="s">
        <v>14</v>
      </c>
      <c r="U44" s="702">
        <f t="shared" si="13"/>
        <v>100</v>
      </c>
      <c r="V44" s="701" t="s">
        <v>14</v>
      </c>
      <c r="W44" s="702">
        <f t="shared" si="14"/>
        <v>100</v>
      </c>
      <c r="X44" s="703"/>
      <c r="Y44" s="373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28"/>
      <c r="Q45" s="1351">
        <f t="shared" si="11"/>
        <v>111</v>
      </c>
      <c r="R45" s="705" t="s">
        <v>14</v>
      </c>
      <c r="S45" s="706">
        <f t="shared" si="12"/>
        <v>100</v>
      </c>
      <c r="T45" s="705" t="s">
        <v>14</v>
      </c>
      <c r="U45" s="706">
        <f t="shared" si="13"/>
        <v>100</v>
      </c>
      <c r="V45" s="705" t="s">
        <v>14</v>
      </c>
      <c r="W45" s="706">
        <f t="shared" si="14"/>
        <v>100</v>
      </c>
      <c r="X45" s="1354"/>
      <c r="Y45" s="3730"/>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29"/>
      <c r="Q46" s="1351">
        <f t="shared" si="11"/>
        <v>111</v>
      </c>
      <c r="R46" s="705" t="s">
        <v>14</v>
      </c>
      <c r="S46" s="706">
        <f t="shared" si="12"/>
        <v>100</v>
      </c>
      <c r="T46" s="705" t="s">
        <v>14</v>
      </c>
      <c r="U46" s="706">
        <f t="shared" si="13"/>
        <v>100</v>
      </c>
      <c r="V46" s="705" t="s">
        <v>14</v>
      </c>
      <c r="W46" s="706">
        <f t="shared" si="14"/>
        <v>100</v>
      </c>
      <c r="X46" s="1354"/>
      <c r="Y46" s="3731"/>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19"/>
      <c r="M47" s="2720"/>
      <c r="N47" s="2711"/>
      <c r="O47" s="2720"/>
      <c r="P47" s="3723" t="str">
        <f>A47</f>
        <v>成交单价（元/平方米）</v>
      </c>
      <c r="Q47" s="3723"/>
      <c r="R47" s="3718">
        <f>E47</f>
        <v>0</v>
      </c>
      <c r="S47" s="3718"/>
      <c r="T47" s="3718">
        <f>G47</f>
        <v>0</v>
      </c>
      <c r="U47" s="3718"/>
      <c r="V47" s="3718">
        <f>I47</f>
        <v>0</v>
      </c>
      <c r="W47" s="3718"/>
      <c r="X47" s="690"/>
      <c r="Y47" s="712"/>
      <c r="Z47" s="690"/>
      <c r="AA47" s="690"/>
      <c r="AB47" s="690"/>
      <c r="AC47" s="690"/>
    </row>
    <row r="48" spans="1:29" ht="15.75" thickBot="1">
      <c r="A48" s="437" t="s">
        <v>1793</v>
      </c>
      <c r="B48" s="438"/>
      <c r="C48" s="1160" t="e">
        <f>R49</f>
        <v>#DIV/0!</v>
      </c>
      <c r="D48" s="2313" t="s">
        <v>2138</v>
      </c>
      <c r="E48" s="1161" t="e">
        <f>R48</f>
        <v>#DIV/0!</v>
      </c>
      <c r="F48" s="2314"/>
      <c r="G48" s="1160" t="e">
        <f>T48</f>
        <v>#DIV/0!</v>
      </c>
      <c r="H48" s="2314"/>
      <c r="I48" s="1161" t="e">
        <f>V48</f>
        <v>#DIV/0!</v>
      </c>
      <c r="J48" s="2314"/>
      <c r="K48" s="2316">
        <f>F48+H48+J48</f>
        <v>0</v>
      </c>
      <c r="L48" s="2719"/>
      <c r="M48" s="2720"/>
      <c r="N48" s="2711"/>
      <c r="O48" s="2720"/>
      <c r="P48" s="3723" t="str">
        <f>A48</f>
        <v>比较价值（元/平方米）</v>
      </c>
      <c r="Q48" s="3723"/>
      <c r="R48" s="3724" t="e">
        <f>IF(F1="售价",ROUND(PRODUCT(R47,AA7:AA46),0),ROUND(PRODUCT(R47,AA7:AA46),1))</f>
        <v>#DIV/0!</v>
      </c>
      <c r="S48" s="3724"/>
      <c r="T48" s="3724" t="e">
        <f>IF(F1="售价",ROUND(PRODUCT(T47,AB7:AB46),0),ROUND(PRODUCT(T47,AB7:AB46),1))</f>
        <v>#DIV/0!</v>
      </c>
      <c r="U48" s="3724"/>
      <c r="V48" s="3724" t="e">
        <f>IF(F1="售价",ROUND(PRODUCT(V47,AC7:AC46),0),ROUND(PRODUCT(V47,AC7:AC46),1))</f>
        <v>#DIV/0!</v>
      </c>
      <c r="W48" s="372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9"/>
      <c r="M49" s="2720"/>
      <c r="N49" s="2711"/>
      <c r="O49" s="2720"/>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3" t="str">
        <f>YEAR(C7)&amp;"-"&amp;MONTH(C7)</f>
        <v>2022-10</v>
      </c>
      <c r="D58" s="1184">
        <f>EDATE(C58,-1)</f>
        <v>44805</v>
      </c>
      <c r="E58" s="1184">
        <f t="shared" ref="E58:N58" si="16">EDATE(D58,-1)</f>
        <v>44774</v>
      </c>
      <c r="F58" s="1184">
        <f t="shared" si="16"/>
        <v>44743</v>
      </c>
      <c r="G58" s="1184">
        <f t="shared" si="16"/>
        <v>44713</v>
      </c>
      <c r="H58" s="1184">
        <f t="shared" si="16"/>
        <v>44682</v>
      </c>
      <c r="I58" s="1184">
        <f t="shared" si="16"/>
        <v>44652</v>
      </c>
      <c r="J58" s="1184">
        <f t="shared" si="16"/>
        <v>44621</v>
      </c>
      <c r="K58" s="1184">
        <f t="shared" si="16"/>
        <v>44593</v>
      </c>
      <c r="L58" s="1184">
        <f t="shared" si="16"/>
        <v>44562</v>
      </c>
      <c r="M58" s="1184">
        <f t="shared" si="16"/>
        <v>44531</v>
      </c>
      <c r="N58" s="1184">
        <f t="shared" si="16"/>
        <v>44501</v>
      </c>
      <c r="O58" s="1184">
        <f>EDATE(N58,-1)</f>
        <v>44470</v>
      </c>
      <c r="P58" s="2735"/>
      <c r="Q58" s="2736"/>
      <c r="R58" s="2736"/>
      <c r="S58" s="2736"/>
      <c r="T58" s="2736"/>
      <c r="U58" s="2736"/>
      <c r="V58" s="2736"/>
      <c r="W58" s="2736"/>
      <c r="X58" s="2736"/>
      <c r="Y58" s="2736"/>
      <c r="Z58" s="2736"/>
      <c r="AA58" s="2736"/>
      <c r="AB58" s="2736"/>
      <c r="AC58" s="2736"/>
    </row>
    <row r="59" spans="1:29" s="108" customFormat="1" ht="15">
      <c r="A59" s="458"/>
      <c r="B59" s="459"/>
      <c r="C59" s="1182">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3"/>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4"/>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4"/>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topLeftCell="A27" zoomScale="80" zoomScaleNormal="70" zoomScaleSheetLayoutView="80" workbookViewId="0">
      <selection activeCell="K28" sqref="K2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7.1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7.25" style="906" customWidth="1"/>
    <col min="17" max="17" width="19.5" style="357" customWidth="1"/>
    <col min="18" max="22" width="6.125" style="357" customWidth="1"/>
    <col min="23" max="23" width="5.75" style="357" customWidth="1"/>
    <col min="24" max="24" width="6.25" style="357" customWidth="1"/>
    <col min="25" max="25" width="6.75" style="357" customWidth="1"/>
    <col min="26" max="26" width="19.75" style="357" customWidth="1"/>
    <col min="27" max="28" width="9.375" style="357" customWidth="1"/>
    <col min="29" max="16384" width="9" style="357"/>
  </cols>
  <sheetData>
    <row r="1" spans="1:29" s="1232" customFormat="1" ht="28.5" customHeight="1" thickBot="1">
      <c r="A1" s="1221" t="s">
        <v>1660</v>
      </c>
      <c r="B1" s="1953" t="s">
        <v>1810</v>
      </c>
      <c r="C1" s="1223" t="s">
        <v>1662</v>
      </c>
      <c r="D1" s="1224" t="s">
        <v>21</v>
      </c>
      <c r="E1" s="3428" t="s">
        <v>3410</v>
      </c>
      <c r="F1" s="1878" t="s">
        <v>3411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f>IF(E1="项目模式",IF(C2="——",ROUND(C50*D3/10000,0),ROUND(C50*D3/10000,0)-D2),IF(E1="单套模式",IF(C2="——",ROUND(C50*D3/10000,4),ROUND(C50*D3/10000,4)-D2)))</f>
        <v>2154.1523999999999</v>
      </c>
      <c r="C2" s="1880" t="s">
        <v>43</v>
      </c>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46862</v>
      </c>
      <c r="C3" s="354" t="s">
        <v>1768</v>
      </c>
      <c r="D3" s="353">
        <f>IF(D1="",'数据-汇总表'!E3,SUMIF('数据-汇总表'!$C19:$C33,D1,'数据-汇总表'!$E19:$E33))</f>
        <v>459.68</v>
      </c>
      <c r="E3" s="1950"/>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706" t="s">
        <v>1770</v>
      </c>
      <c r="D4" s="3707"/>
      <c r="E4" s="3708" t="s">
        <v>1771</v>
      </c>
      <c r="F4" s="3709"/>
      <c r="G4" s="3706" t="s">
        <v>1772</v>
      </c>
      <c r="H4" s="3707"/>
      <c r="I4" s="3706" t="s">
        <v>1773</v>
      </c>
      <c r="J4" s="3707"/>
      <c r="K4" s="559" t="s">
        <v>1774</v>
      </c>
      <c r="L4" s="2710"/>
      <c r="M4" s="2711"/>
      <c r="N4" s="2711"/>
      <c r="O4" s="2711"/>
      <c r="P4" s="3740" t="s">
        <v>1775</v>
      </c>
      <c r="Q4" s="3741"/>
      <c r="R4" s="3735" t="s">
        <v>1771</v>
      </c>
      <c r="S4" s="3736"/>
      <c r="T4" s="3735" t="s">
        <v>1772</v>
      </c>
      <c r="U4" s="3736"/>
      <c r="V4" s="3744" t="s">
        <v>1773</v>
      </c>
      <c r="W4" s="3744"/>
      <c r="X4" s="1954"/>
      <c r="Y4" s="3735" t="s">
        <v>1775</v>
      </c>
      <c r="Z4" s="3736"/>
      <c r="AA4" s="3734" t="s">
        <v>1771</v>
      </c>
      <c r="AB4" s="3734" t="s">
        <v>1772</v>
      </c>
      <c r="AC4" s="3737" t="s">
        <v>1773</v>
      </c>
    </row>
    <row r="5" spans="1:29" ht="15">
      <c r="A5" s="358"/>
      <c r="B5" s="359"/>
      <c r="C5" s="3698" t="s">
        <v>3467</v>
      </c>
      <c r="D5" s="3699"/>
      <c r="E5" s="3698" t="s">
        <v>3467</v>
      </c>
      <c r="F5" s="3699"/>
      <c r="G5" s="3698" t="s">
        <v>3467</v>
      </c>
      <c r="H5" s="3699"/>
      <c r="I5" s="3698" t="s">
        <v>3467</v>
      </c>
      <c r="J5" s="3699"/>
      <c r="K5" s="559"/>
      <c r="L5" s="2710"/>
      <c r="M5" s="2711"/>
      <c r="N5" s="2711"/>
      <c r="O5" s="2711"/>
      <c r="P5" s="3742"/>
      <c r="Q5" s="3713"/>
      <c r="R5" s="3694"/>
      <c r="S5" s="3695"/>
      <c r="T5" s="3694"/>
      <c r="U5" s="3695"/>
      <c r="V5" s="3718"/>
      <c r="W5" s="3718"/>
      <c r="X5" s="1354"/>
      <c r="Y5" s="3694"/>
      <c r="Z5" s="3695"/>
      <c r="AA5" s="3688"/>
      <c r="AB5" s="3688"/>
      <c r="AC5" s="3738"/>
    </row>
    <row r="6" spans="1:29" ht="15.75" thickBot="1">
      <c r="A6" s="360"/>
      <c r="B6" s="361"/>
      <c r="C6" s="3700" t="s">
        <v>1677</v>
      </c>
      <c r="D6" s="3701"/>
      <c r="E6" s="3703" t="s">
        <v>1677</v>
      </c>
      <c r="F6" s="3704"/>
      <c r="G6" s="3700" t="s">
        <v>1677</v>
      </c>
      <c r="H6" s="3701"/>
      <c r="I6" s="3700" t="s">
        <v>1677</v>
      </c>
      <c r="J6" s="3701"/>
      <c r="K6" s="559" t="s">
        <v>1678</v>
      </c>
      <c r="L6" s="2710"/>
      <c r="M6" s="2711"/>
      <c r="N6" s="2711"/>
      <c r="O6" s="2711"/>
      <c r="P6" s="3743"/>
      <c r="Q6" s="3715"/>
      <c r="R6" s="3694"/>
      <c r="S6" s="3695"/>
      <c r="T6" s="3716"/>
      <c r="U6" s="3717"/>
      <c r="V6" s="3718"/>
      <c r="W6" s="3718"/>
      <c r="X6" s="1354"/>
      <c r="Y6" s="3716"/>
      <c r="Z6" s="3717"/>
      <c r="AA6" s="3689"/>
      <c r="AB6" s="3689"/>
      <c r="AC6" s="3739"/>
    </row>
    <row r="7" spans="1:29" s="108" customFormat="1" ht="15.75" thickBot="1">
      <c r="A7" s="362" t="s">
        <v>1679</v>
      </c>
      <c r="B7" s="363"/>
      <c r="C7" s="364">
        <f>'数据-取费表'!B2</f>
        <v>44845</v>
      </c>
      <c r="D7" s="365">
        <v>100</v>
      </c>
      <c r="E7" s="366">
        <f>市场成交!F6</f>
        <v>44301</v>
      </c>
      <c r="F7" s="367">
        <f>SUMIF(59:59,YEAR(E7)&amp;"-"&amp;MONTH(E7),60:60)</f>
        <v>98.8</v>
      </c>
      <c r="G7" s="366">
        <f>市场成交!F7</f>
        <v>44182</v>
      </c>
      <c r="H7" s="365">
        <f>SUMIF(59:59,YEAR(G7)&amp;"-"&amp;MONTH(G7),60:60)</f>
        <v>98.6</v>
      </c>
      <c r="I7" s="366">
        <f>市场成交!F8</f>
        <v>44151</v>
      </c>
      <c r="J7" s="365">
        <f>SUMIF(59:59,YEAR(I7)&amp;"-"&amp;MONTH(I7),60:60)</f>
        <v>98.6</v>
      </c>
      <c r="K7" s="560"/>
      <c r="L7" s="2712"/>
      <c r="M7" s="2713"/>
      <c r="N7" s="2713"/>
      <c r="O7" s="2713"/>
      <c r="P7" s="3745" t="s">
        <v>1680</v>
      </c>
      <c r="Q7" s="3719"/>
      <c r="R7" s="701" t="s">
        <v>14</v>
      </c>
      <c r="S7" s="702">
        <f t="shared" ref="S7:S15" si="0">F7</f>
        <v>98.8</v>
      </c>
      <c r="T7" s="701" t="s">
        <v>14</v>
      </c>
      <c r="U7" s="702">
        <f t="shared" ref="U7:U15" si="1">H7</f>
        <v>98.6</v>
      </c>
      <c r="V7" s="701" t="s">
        <v>14</v>
      </c>
      <c r="W7" s="702">
        <f t="shared" ref="W7:W15" si="2">J7</f>
        <v>98.6</v>
      </c>
      <c r="X7" s="703"/>
      <c r="Y7" s="3690" t="s">
        <v>1680</v>
      </c>
      <c r="Z7" s="3691"/>
      <c r="AA7" s="704">
        <f>D7/F7</f>
        <v>1.0121457489878543</v>
      </c>
      <c r="AB7" s="704">
        <f>D7/H7</f>
        <v>1.0141987829614605</v>
      </c>
      <c r="AC7" s="1955">
        <f>D7/J7</f>
        <v>1.0141987829614605</v>
      </c>
    </row>
    <row r="8" spans="1:29" s="108" customFormat="1" ht="15.75" thickBot="1">
      <c r="A8" s="362" t="s">
        <v>1681</v>
      </c>
      <c r="B8" s="363"/>
      <c r="C8" s="368" t="s">
        <v>3398</v>
      </c>
      <c r="D8" s="365">
        <v>100</v>
      </c>
      <c r="E8" s="368" t="s">
        <v>3398</v>
      </c>
      <c r="F8" s="367">
        <f>SUMIF(62:62,E8,63:63)-SUMIF(62:62,C8,63:63)+100</f>
        <v>100</v>
      </c>
      <c r="G8" s="368" t="s">
        <v>3398</v>
      </c>
      <c r="H8" s="365">
        <f>SUMIF(62:62,G8,63:63)-SUMIF(62:62,C8,63:63)+100</f>
        <v>100</v>
      </c>
      <c r="I8" s="368" t="s">
        <v>3398</v>
      </c>
      <c r="J8" s="365">
        <f>SUMIF(62:62,I8,63:63)-SUMIF(62:62,C8,63:63)+100</f>
        <v>100</v>
      </c>
      <c r="K8" s="560"/>
      <c r="L8" s="2712"/>
      <c r="M8" s="2713"/>
      <c r="N8" s="2713"/>
      <c r="O8" s="2713"/>
      <c r="P8" s="3745" t="s">
        <v>1683</v>
      </c>
      <c r="Q8" s="3691"/>
      <c r="R8" s="701" t="s">
        <v>14</v>
      </c>
      <c r="S8" s="702">
        <f t="shared" si="0"/>
        <v>100</v>
      </c>
      <c r="T8" s="701" t="s">
        <v>14</v>
      </c>
      <c r="U8" s="702">
        <f t="shared" si="1"/>
        <v>100</v>
      </c>
      <c r="V8" s="701" t="s">
        <v>14</v>
      </c>
      <c r="W8" s="702">
        <f t="shared" si="2"/>
        <v>100</v>
      </c>
      <c r="X8" s="703"/>
      <c r="Y8" s="3690" t="s">
        <v>1683</v>
      </c>
      <c r="Z8" s="3691"/>
      <c r="AA8" s="704">
        <f t="shared" ref="AA8:AA47" si="3">D8/F8</f>
        <v>1</v>
      </c>
      <c r="AB8" s="704">
        <f t="shared" ref="AB8:AB47" si="4">D8/H8</f>
        <v>1</v>
      </c>
      <c r="AC8" s="1955">
        <f t="shared" ref="AC8:AC47" si="5">D8/J8</f>
        <v>1</v>
      </c>
    </row>
    <row r="9" spans="1:29" s="108" customFormat="1" ht="15" thickBot="1">
      <c r="A9" s="369" t="s">
        <v>1684</v>
      </c>
      <c r="B9" s="63" t="s">
        <v>1685</v>
      </c>
      <c r="C9" s="3452" t="s">
        <v>3468</v>
      </c>
      <c r="D9" s="126">
        <v>100</v>
      </c>
      <c r="E9" s="3452" t="s">
        <v>3468</v>
      </c>
      <c r="F9" s="126">
        <f>SUMIF(64:64,E9,65:65)-SUMIF(64:64,C9,65:65)+100</f>
        <v>100</v>
      </c>
      <c r="G9" s="3452" t="s">
        <v>3468</v>
      </c>
      <c r="H9" s="126">
        <f>SUMIF(64:64,G9,65:65)-SUMIF(64:64,C9,65:65)+100</f>
        <v>100</v>
      </c>
      <c r="I9" s="3452" t="s">
        <v>3468</v>
      </c>
      <c r="J9" s="126">
        <f>SUMIF(64:64,I9,65:65)-SUMIF(64:64,C9,65:65)+100</f>
        <v>100</v>
      </c>
      <c r="K9" s="560"/>
      <c r="L9" s="2712"/>
      <c r="M9" s="2713"/>
      <c r="N9" s="2713"/>
      <c r="O9" s="2713"/>
      <c r="P9" s="3705"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1955">
        <f t="shared" si="5"/>
        <v>1</v>
      </c>
    </row>
    <row r="10" spans="1:29" s="378" customFormat="1" ht="27" hidden="1">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705"/>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1955">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705"/>
      <c r="Q11" s="1342" t="str">
        <f t="shared" si="6"/>
        <v>容积率</v>
      </c>
      <c r="R11" s="701" t="s">
        <v>14</v>
      </c>
      <c r="S11" s="702">
        <f t="shared" si="0"/>
        <v>100</v>
      </c>
      <c r="T11" s="701" t="s">
        <v>14</v>
      </c>
      <c r="U11" s="702">
        <f t="shared" si="1"/>
        <v>100</v>
      </c>
      <c r="V11" s="701" t="s">
        <v>14</v>
      </c>
      <c r="W11" s="702">
        <f t="shared" si="2"/>
        <v>100</v>
      </c>
      <c r="X11" s="703"/>
      <c r="Y11" s="3634"/>
      <c r="Z11" s="52" t="str">
        <f t="shared" si="7"/>
        <v>容积率</v>
      </c>
      <c r="AA11" s="704">
        <f t="shared" si="3"/>
        <v>1</v>
      </c>
      <c r="AB11" s="704">
        <f t="shared" si="4"/>
        <v>1</v>
      </c>
      <c r="AC11" s="1955">
        <f t="shared" si="5"/>
        <v>1</v>
      </c>
    </row>
    <row r="12" spans="1:29" s="108" customFormat="1" ht="15" hidden="1">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12"/>
      <c r="M12" s="2713"/>
      <c r="N12" s="2713"/>
      <c r="O12" s="2713"/>
      <c r="P12" s="3705"/>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1955">
        <f>D12/J12</f>
        <v>1</v>
      </c>
    </row>
    <row r="13" spans="1:29" ht="15" hidden="1">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7"/>
      <c r="M13" s="2711"/>
      <c r="N13" s="2711"/>
      <c r="O13" s="2711"/>
      <c r="P13" s="3705"/>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1955">
        <f t="shared" si="5"/>
        <v>1</v>
      </c>
    </row>
    <row r="14" spans="1:29" ht="15.75" hidden="1" thickBot="1">
      <c r="A14" s="387"/>
      <c r="B14" s="1893">
        <v>111</v>
      </c>
      <c r="C14" s="388"/>
      <c r="D14" s="389">
        <v>100</v>
      </c>
      <c r="E14" s="576"/>
      <c r="F14" s="389">
        <f>SUMIF(75:75,E14,76:76)-SUMIF(75:75,C14,76:76)+100</f>
        <v>100</v>
      </c>
      <c r="G14" s="1956"/>
      <c r="H14" s="389">
        <f>SUMIF(75:75,G14,76:76)-SUMIF(75:75,C14,76:76)+100</f>
        <v>100</v>
      </c>
      <c r="I14" s="383"/>
      <c r="J14" s="389">
        <f>SUMIF(75:75,I14,76:76)-SUMIF(75:75,C14,76:76)+100</f>
        <v>100</v>
      </c>
      <c r="K14" s="562"/>
      <c r="L14" s="2717"/>
      <c r="M14" s="2711"/>
      <c r="N14" s="2711"/>
      <c r="O14" s="2711"/>
      <c r="P14" s="3705"/>
      <c r="Q14" s="1342">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1955">
        <f t="shared" si="5"/>
        <v>1</v>
      </c>
    </row>
    <row r="15" spans="1:29" ht="54.75" customHeight="1">
      <c r="A15" s="391" t="s">
        <v>1690</v>
      </c>
      <c r="B15" s="577" t="s">
        <v>1811</v>
      </c>
      <c r="C15" s="1957" t="str">
        <f>估价对象房地状况!C5</f>
        <v>估价对象位于知春路商圈，周边办公楼项目有希格玛大厦、资金数码园、厦门大厦、卫星大厦、金仪科技大厦，入驻率高，办公集聚程度较好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32" t="s">
        <v>1691</v>
      </c>
      <c r="Q15" s="1351" t="str">
        <f t="shared" si="6"/>
        <v>办公集聚程度</v>
      </c>
      <c r="R15" s="705" t="s">
        <v>14</v>
      </c>
      <c r="S15" s="706">
        <f t="shared" si="0"/>
        <v>100</v>
      </c>
      <c r="T15" s="705" t="s">
        <v>14</v>
      </c>
      <c r="U15" s="706">
        <f t="shared" si="1"/>
        <v>100</v>
      </c>
      <c r="V15" s="705" t="s">
        <v>14</v>
      </c>
      <c r="W15" s="706">
        <f t="shared" si="2"/>
        <v>100</v>
      </c>
      <c r="X15" s="1354"/>
      <c r="Y15" s="3725" t="s">
        <v>1691</v>
      </c>
      <c r="Z15" s="1355" t="str">
        <f t="shared" si="7"/>
        <v>办公集聚程度</v>
      </c>
      <c r="AA15" s="1352">
        <f t="shared" si="3"/>
        <v>1</v>
      </c>
      <c r="AB15" s="1352">
        <f t="shared" si="4"/>
        <v>1</v>
      </c>
      <c r="AC15" s="1958">
        <f t="shared" si="5"/>
        <v>1</v>
      </c>
    </row>
    <row r="16" spans="1:29" ht="15">
      <c r="A16" s="379"/>
      <c r="B16" s="578"/>
      <c r="C16" s="1902" t="str">
        <f>基准地价修正!C61</f>
        <v>较好</v>
      </c>
      <c r="D16" s="399"/>
      <c r="E16" s="398" t="s">
        <v>3393</v>
      </c>
      <c r="F16" s="399"/>
      <c r="G16" s="398" t="s">
        <v>3393</v>
      </c>
      <c r="H16" s="401"/>
      <c r="I16" s="398" t="s">
        <v>3393</v>
      </c>
      <c r="J16" s="399"/>
      <c r="K16" s="564"/>
      <c r="L16" s="2717"/>
      <c r="M16" s="2711"/>
      <c r="N16" s="2711"/>
      <c r="O16" s="2711"/>
      <c r="P16" s="3733"/>
      <c r="Q16" s="1351"/>
      <c r="R16" s="705"/>
      <c r="S16" s="706"/>
      <c r="T16" s="705"/>
      <c r="U16" s="706"/>
      <c r="V16" s="705"/>
      <c r="W16" s="706"/>
      <c r="X16" s="1354"/>
      <c r="Y16" s="3726"/>
      <c r="Z16" s="1355"/>
      <c r="AA16" s="1352">
        <v>1</v>
      </c>
      <c r="AB16" s="1352">
        <v>1</v>
      </c>
      <c r="AC16" s="1958">
        <v>1</v>
      </c>
    </row>
    <row r="17" spans="1:29" ht="49.5" customHeight="1">
      <c r="A17" s="379"/>
      <c r="B17" s="579" t="s">
        <v>1259</v>
      </c>
      <c r="C17" s="1959" t="str">
        <f>估价对象房地状况!C6</f>
        <v>估价对象临近知春路，距离地铁10、13号线知春路站约100米，周边有专168路、311路、319路、630路等公交车通达，停车便捷程度较好，综合评价交通便捷度好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33"/>
      <c r="Q17" s="1351" t="str">
        <f>B17</f>
        <v>交通便捷度</v>
      </c>
      <c r="R17" s="705" t="s">
        <v>14</v>
      </c>
      <c r="S17" s="706">
        <f>F17</f>
        <v>100</v>
      </c>
      <c r="T17" s="705" t="s">
        <v>14</v>
      </c>
      <c r="U17" s="706">
        <f>H17</f>
        <v>100</v>
      </c>
      <c r="V17" s="705" t="s">
        <v>14</v>
      </c>
      <c r="W17" s="706">
        <f>J17</f>
        <v>100</v>
      </c>
      <c r="X17" s="1354"/>
      <c r="Y17" s="3726"/>
      <c r="Z17" s="1355" t="str">
        <f>Q17</f>
        <v>交通便捷度</v>
      </c>
      <c r="AA17" s="1352">
        <f t="shared" si="3"/>
        <v>1</v>
      </c>
      <c r="AB17" s="1352">
        <f t="shared" si="4"/>
        <v>1</v>
      </c>
      <c r="AC17" s="1958">
        <f t="shared" si="5"/>
        <v>1</v>
      </c>
    </row>
    <row r="18" spans="1:29" ht="15">
      <c r="A18" s="379"/>
      <c r="B18" s="580"/>
      <c r="C18" s="1960" t="str">
        <f>基准地价修正!C62</f>
        <v>好</v>
      </c>
      <c r="D18" s="401"/>
      <c r="E18" s="1960" t="s">
        <v>3395</v>
      </c>
      <c r="F18" s="401"/>
      <c r="G18" s="1960" t="s">
        <v>3395</v>
      </c>
      <c r="H18" s="399"/>
      <c r="I18" s="1960" t="s">
        <v>3395</v>
      </c>
      <c r="J18" s="399"/>
      <c r="K18" s="564"/>
      <c r="L18" s="2717"/>
      <c r="M18" s="2711"/>
      <c r="N18" s="2711"/>
      <c r="O18" s="2711"/>
      <c r="P18" s="3733"/>
      <c r="Q18" s="1351"/>
      <c r="R18" s="705"/>
      <c r="S18" s="706"/>
      <c r="T18" s="705"/>
      <c r="U18" s="706"/>
      <c r="V18" s="705"/>
      <c r="W18" s="706"/>
      <c r="X18" s="1354"/>
      <c r="Y18" s="3726"/>
      <c r="Z18" s="1355"/>
      <c r="AA18" s="1352">
        <v>1</v>
      </c>
      <c r="AB18" s="1352">
        <v>1</v>
      </c>
      <c r="AC18" s="1958">
        <v>1</v>
      </c>
    </row>
    <row r="19" spans="1:29" ht="59.25" customHeight="1">
      <c r="A19" s="379"/>
      <c r="B19" s="579" t="s">
        <v>1812</v>
      </c>
      <c r="C19" s="1959"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33"/>
      <c r="Q19" s="1351" t="str">
        <f>B19</f>
        <v>公共配套设施</v>
      </c>
      <c r="R19" s="705" t="s">
        <v>14</v>
      </c>
      <c r="S19" s="706">
        <f>F19</f>
        <v>100</v>
      </c>
      <c r="T19" s="705" t="s">
        <v>14</v>
      </c>
      <c r="U19" s="706">
        <f>H19</f>
        <v>100</v>
      </c>
      <c r="V19" s="705" t="s">
        <v>14</v>
      </c>
      <c r="W19" s="706">
        <f>J19</f>
        <v>100</v>
      </c>
      <c r="X19" s="1354"/>
      <c r="Y19" s="3726"/>
      <c r="Z19" s="1355" t="str">
        <f>Q19</f>
        <v>公共配套设施</v>
      </c>
      <c r="AA19" s="1352">
        <f t="shared" si="3"/>
        <v>1</v>
      </c>
      <c r="AB19" s="1352">
        <f t="shared" si="4"/>
        <v>1</v>
      </c>
      <c r="AC19" s="1958">
        <f t="shared" si="5"/>
        <v>1</v>
      </c>
    </row>
    <row r="20" spans="1:29" ht="15">
      <c r="A20" s="379"/>
      <c r="B20" s="580"/>
      <c r="C20" s="1902" t="str">
        <f>基准地价修正!C67</f>
        <v>较好</v>
      </c>
      <c r="D20" s="399"/>
      <c r="E20" s="398" t="s">
        <v>3393</v>
      </c>
      <c r="F20" s="399"/>
      <c r="G20" s="398" t="s">
        <v>3393</v>
      </c>
      <c r="H20" s="399"/>
      <c r="I20" s="398" t="s">
        <v>3393</v>
      </c>
      <c r="J20" s="399"/>
      <c r="K20" s="564"/>
      <c r="L20" s="2717"/>
      <c r="M20" s="2711"/>
      <c r="N20" s="2711"/>
      <c r="O20" s="2711"/>
      <c r="P20" s="3733"/>
      <c r="Q20" s="1351"/>
      <c r="R20" s="705"/>
      <c r="S20" s="706"/>
      <c r="T20" s="705"/>
      <c r="U20" s="706"/>
      <c r="V20" s="705"/>
      <c r="W20" s="706"/>
      <c r="X20" s="1354"/>
      <c r="Y20" s="3726"/>
      <c r="Z20" s="1355"/>
      <c r="AA20" s="1352">
        <v>1</v>
      </c>
      <c r="AB20" s="1352">
        <v>1</v>
      </c>
      <c r="AC20" s="1958">
        <v>1</v>
      </c>
    </row>
    <row r="21" spans="1:29" ht="42.75">
      <c r="A21" s="379"/>
      <c r="B21" s="581" t="s">
        <v>1813</v>
      </c>
      <c r="C21" s="1959" t="str">
        <f>估价对象房地状况!C8</f>
        <v>估价对象所在区域基础设施水平-七通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33"/>
      <c r="Q21" s="1351" t="str">
        <f>B21</f>
        <v>基础设施水平</v>
      </c>
      <c r="R21" s="705" t="s">
        <v>14</v>
      </c>
      <c r="S21" s="706">
        <f>F21</f>
        <v>100</v>
      </c>
      <c r="T21" s="705" t="s">
        <v>14</v>
      </c>
      <c r="U21" s="706">
        <f>H21</f>
        <v>100</v>
      </c>
      <c r="V21" s="705" t="s">
        <v>14</v>
      </c>
      <c r="W21" s="706">
        <f>J21</f>
        <v>100</v>
      </c>
      <c r="X21" s="1354"/>
      <c r="Y21" s="3726"/>
      <c r="Z21" s="1355" t="str">
        <f>Q21</f>
        <v>基础设施水平</v>
      </c>
      <c r="AA21" s="1352">
        <f t="shared" ref="AA21" si="8">D21/F21</f>
        <v>1</v>
      </c>
      <c r="AB21" s="1352">
        <f t="shared" ref="AB21" si="9">D21/H21</f>
        <v>1</v>
      </c>
      <c r="AC21" s="1958">
        <f t="shared" ref="AC21" si="10">D21/J21</f>
        <v>1</v>
      </c>
    </row>
    <row r="22" spans="1:29" ht="15">
      <c r="A22" s="379"/>
      <c r="B22" s="581"/>
      <c r="C22" s="1960" t="s">
        <v>3408</v>
      </c>
      <c r="D22" s="399"/>
      <c r="E22" s="1960" t="s">
        <v>3408</v>
      </c>
      <c r="F22" s="399"/>
      <c r="G22" s="1960" t="s">
        <v>3408</v>
      </c>
      <c r="H22" s="399"/>
      <c r="I22" s="1960" t="s">
        <v>3408</v>
      </c>
      <c r="J22" s="399"/>
      <c r="K22" s="1130"/>
      <c r="L22" s="2717"/>
      <c r="M22" s="2711"/>
      <c r="N22" s="2711"/>
      <c r="O22" s="2711"/>
      <c r="P22" s="3733"/>
      <c r="Q22" s="1351"/>
      <c r="R22" s="705"/>
      <c r="S22" s="706"/>
      <c r="T22" s="705"/>
      <c r="U22" s="706"/>
      <c r="V22" s="705"/>
      <c r="W22" s="706"/>
      <c r="X22" s="1354"/>
      <c r="Y22" s="3726"/>
      <c r="Z22" s="1355"/>
      <c r="AA22" s="1352">
        <v>1</v>
      </c>
      <c r="AB22" s="1352">
        <v>1</v>
      </c>
      <c r="AC22" s="1958">
        <v>1</v>
      </c>
    </row>
    <row r="23" spans="1:29" ht="33" customHeight="1">
      <c r="A23" s="379"/>
      <c r="B23" s="579" t="s">
        <v>1814</v>
      </c>
      <c r="C23" s="1959" t="str">
        <f>估价对象房地状况!C9</f>
        <v>区域自然环境：知春公园、双榆树公园；人文环境；首体足球场、大运村网球场；
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33"/>
      <c r="Q23" s="1351" t="str">
        <f>B23</f>
        <v>环境质量</v>
      </c>
      <c r="R23" s="705" t="s">
        <v>14</v>
      </c>
      <c r="S23" s="706">
        <f>F23</f>
        <v>100</v>
      </c>
      <c r="T23" s="705" t="s">
        <v>14</v>
      </c>
      <c r="U23" s="706">
        <f>H23</f>
        <v>100</v>
      </c>
      <c r="V23" s="705" t="s">
        <v>14</v>
      </c>
      <c r="W23" s="706">
        <f>J23</f>
        <v>100</v>
      </c>
      <c r="X23" s="1354"/>
      <c r="Y23" s="3726"/>
      <c r="Z23" s="1355" t="str">
        <f>Q23</f>
        <v>环境质量</v>
      </c>
      <c r="AA23" s="1352">
        <f t="shared" si="3"/>
        <v>1</v>
      </c>
      <c r="AB23" s="1352">
        <f t="shared" si="4"/>
        <v>1</v>
      </c>
      <c r="AC23" s="1958">
        <f t="shared" si="5"/>
        <v>1</v>
      </c>
    </row>
    <row r="24" spans="1:29" ht="15">
      <c r="A24" s="379"/>
      <c r="B24" s="581"/>
      <c r="C24" s="1902" t="str">
        <f>基准地价修正!C69</f>
        <v>较好</v>
      </c>
      <c r="D24" s="399"/>
      <c r="E24" s="398" t="s">
        <v>3393</v>
      </c>
      <c r="F24" s="399"/>
      <c r="G24" s="398" t="s">
        <v>3393</v>
      </c>
      <c r="H24" s="399"/>
      <c r="I24" s="398" t="s">
        <v>3393</v>
      </c>
      <c r="J24" s="399"/>
      <c r="K24" s="564"/>
      <c r="L24" s="2717"/>
      <c r="M24" s="2711"/>
      <c r="N24" s="2711"/>
      <c r="O24" s="2711"/>
      <c r="P24" s="3733"/>
      <c r="Q24" s="1351"/>
      <c r="R24" s="705"/>
      <c r="S24" s="706"/>
      <c r="T24" s="705"/>
      <c r="U24" s="706"/>
      <c r="V24" s="705"/>
      <c r="W24" s="706"/>
      <c r="X24" s="1354"/>
      <c r="Y24" s="3726"/>
      <c r="Z24" s="1355"/>
      <c r="AA24" s="1352">
        <v>1</v>
      </c>
      <c r="AB24" s="1352">
        <v>1</v>
      </c>
      <c r="AC24" s="1958">
        <v>1</v>
      </c>
    </row>
    <row r="25" spans="1:29" ht="27.75">
      <c r="A25" s="358"/>
      <c r="B25" s="579" t="s">
        <v>1815</v>
      </c>
      <c r="C25" s="3472" t="s">
        <v>3503</v>
      </c>
      <c r="D25" s="386">
        <v>100</v>
      </c>
      <c r="E25" s="385"/>
      <c r="F25" s="386">
        <f>SUMIF(87:87,E26,88:88)-SUMIF(87:87,C26,88:88)+100</f>
        <v>100</v>
      </c>
      <c r="G25" s="1906"/>
      <c r="H25" s="386">
        <f>SUMIF(87:87,G26,88:88)-SUMIF(87:87,C26,88:88)+100</f>
        <v>100</v>
      </c>
      <c r="I25" s="385"/>
      <c r="J25" s="386">
        <f>SUMIF(87:87,I26,88:88)-SUMIF(87:87,C26,88:88)+100</f>
        <v>100</v>
      </c>
      <c r="K25" s="563"/>
      <c r="L25" s="2717"/>
      <c r="M25" s="2711"/>
      <c r="N25" s="2711"/>
      <c r="O25" s="2711"/>
      <c r="P25" s="3733"/>
      <c r="Q25" s="1351" t="str">
        <f>B25</f>
        <v>毗邻道路的类型与等级</v>
      </c>
      <c r="R25" s="705" t="s">
        <v>14</v>
      </c>
      <c r="S25" s="706">
        <f>F25</f>
        <v>100</v>
      </c>
      <c r="T25" s="705" t="s">
        <v>14</v>
      </c>
      <c r="U25" s="706">
        <f>H25</f>
        <v>100</v>
      </c>
      <c r="V25" s="705" t="s">
        <v>14</v>
      </c>
      <c r="W25" s="706">
        <f>J25</f>
        <v>100</v>
      </c>
      <c r="X25" s="1354"/>
      <c r="Y25" s="3726"/>
      <c r="Z25" s="1355" t="str">
        <f>Q25</f>
        <v>毗邻道路的类型与等级</v>
      </c>
      <c r="AA25" s="1352">
        <f t="shared" si="3"/>
        <v>1</v>
      </c>
      <c r="AB25" s="1352">
        <f t="shared" si="4"/>
        <v>1</v>
      </c>
      <c r="AC25" s="1958">
        <f t="shared" si="5"/>
        <v>1</v>
      </c>
    </row>
    <row r="26" spans="1:29" ht="15">
      <c r="A26" s="358"/>
      <c r="B26" s="580"/>
      <c r="C26" s="582" t="s">
        <v>3494</v>
      </c>
      <c r="D26" s="386"/>
      <c r="E26" s="582" t="s">
        <v>3494</v>
      </c>
      <c r="F26" s="386"/>
      <c r="G26" s="582" t="s">
        <v>3494</v>
      </c>
      <c r="H26" s="386"/>
      <c r="I26" s="582" t="s">
        <v>3494</v>
      </c>
      <c r="J26" s="386"/>
      <c r="K26" s="564"/>
      <c r="L26" s="2717"/>
      <c r="M26" s="2711"/>
      <c r="N26" s="2711"/>
      <c r="O26" s="2711"/>
      <c r="P26" s="3733"/>
      <c r="Q26" s="1351"/>
      <c r="R26" s="705"/>
      <c r="S26" s="706"/>
      <c r="T26" s="705"/>
      <c r="U26" s="706"/>
      <c r="V26" s="705"/>
      <c r="W26" s="706"/>
      <c r="X26" s="1354"/>
      <c r="Y26" s="3726"/>
      <c r="Z26" s="1355"/>
      <c r="AA26" s="1352">
        <v>1</v>
      </c>
      <c r="AB26" s="1352">
        <v>1</v>
      </c>
      <c r="AC26" s="1958">
        <v>1</v>
      </c>
    </row>
    <row r="27" spans="1:29" ht="15">
      <c r="A27" s="379"/>
      <c r="B27" s="580" t="s">
        <v>1783</v>
      </c>
      <c r="C27" s="582" t="s">
        <v>3485</v>
      </c>
      <c r="D27" s="386">
        <v>100</v>
      </c>
      <c r="E27" s="565" t="s">
        <v>3483</v>
      </c>
      <c r="F27" s="386">
        <f>SUMIF(89:89,E27,90:90)-SUMIF(89:89,C27,90:90)+100</f>
        <v>102</v>
      </c>
      <c r="G27" s="582" t="s">
        <v>3485</v>
      </c>
      <c r="H27" s="386">
        <f>SUMIF(89:89,G27,90:90)-SUMIF(89:89,C27,90:90)+100</f>
        <v>100</v>
      </c>
      <c r="I27" s="565" t="s">
        <v>3485</v>
      </c>
      <c r="J27" s="386">
        <f>SUMIF(89:89,I27,90:90)-SUMIF(89:89,C27,90:90)+100</f>
        <v>100</v>
      </c>
      <c r="K27" s="561">
        <v>2</v>
      </c>
      <c r="L27" s="2717"/>
      <c r="M27" s="2711"/>
      <c r="N27" s="2711"/>
      <c r="O27" s="2711"/>
      <c r="P27" s="3733"/>
      <c r="Q27" s="1351" t="str">
        <f t="shared" ref="Q27:Q47" si="11">B27</f>
        <v>楼层</v>
      </c>
      <c r="R27" s="705" t="s">
        <v>14</v>
      </c>
      <c r="S27" s="706">
        <f>F27</f>
        <v>102</v>
      </c>
      <c r="T27" s="705" t="s">
        <v>14</v>
      </c>
      <c r="U27" s="706">
        <f>H27</f>
        <v>100</v>
      </c>
      <c r="V27" s="705" t="s">
        <v>14</v>
      </c>
      <c r="W27" s="706">
        <f>J27</f>
        <v>100</v>
      </c>
      <c r="X27" s="1354"/>
      <c r="Y27" s="3726"/>
      <c r="Z27" s="1355" t="str">
        <f>Q27</f>
        <v>楼层</v>
      </c>
      <c r="AA27" s="1352">
        <f t="shared" si="3"/>
        <v>0.98039215686274506</v>
      </c>
      <c r="AB27" s="1352">
        <f t="shared" si="4"/>
        <v>1</v>
      </c>
      <c r="AC27" s="1958">
        <f t="shared" si="5"/>
        <v>1</v>
      </c>
    </row>
    <row r="28" spans="1:29" s="108" customFormat="1" ht="15">
      <c r="A28" s="382"/>
      <c r="B28" s="579" t="s">
        <v>1816</v>
      </c>
      <c r="C28" s="1961" t="s">
        <v>3492</v>
      </c>
      <c r="D28" s="413">
        <v>100</v>
      </c>
      <c r="E28" s="1952" t="s">
        <v>3490</v>
      </c>
      <c r="F28" s="413">
        <f>SUMIF(91:91,E28,92:92)-SUMIF(91:91,C28,92:92)+100</f>
        <v>98</v>
      </c>
      <c r="G28" s="1961" t="s">
        <v>3488</v>
      </c>
      <c r="H28" s="413">
        <f>SUMIF(91:91,G28,92:92)-SUMIF(91:91,C28,92:92)+100</f>
        <v>99</v>
      </c>
      <c r="I28" s="1952" t="s">
        <v>3490</v>
      </c>
      <c r="J28" s="413">
        <f>SUMIF(91:91,I28,92:92)-SUMIF(91:91,C28,92:92)+100</f>
        <v>98</v>
      </c>
      <c r="K28" s="561">
        <v>1</v>
      </c>
      <c r="L28" s="2712"/>
      <c r="M28" s="2713"/>
      <c r="N28" s="2713"/>
      <c r="O28" s="2713"/>
      <c r="P28" s="3733"/>
      <c r="Q28" s="1342" t="str">
        <f t="shared" si="11"/>
        <v>朝向</v>
      </c>
      <c r="R28" s="701" t="s">
        <v>14</v>
      </c>
      <c r="S28" s="702">
        <f>F28</f>
        <v>98</v>
      </c>
      <c r="T28" s="701" t="s">
        <v>14</v>
      </c>
      <c r="U28" s="702">
        <f>H28</f>
        <v>99</v>
      </c>
      <c r="V28" s="701" t="s">
        <v>14</v>
      </c>
      <c r="W28" s="702">
        <f>J28</f>
        <v>98</v>
      </c>
      <c r="X28" s="703"/>
      <c r="Y28" s="3726"/>
      <c r="Z28" s="52" t="str">
        <f>Q28</f>
        <v>朝向</v>
      </c>
      <c r="AA28" s="1352">
        <f>D28/F28</f>
        <v>1.0204081632653061</v>
      </c>
      <c r="AB28" s="1352">
        <f>D28/H28</f>
        <v>1.0101010101010102</v>
      </c>
      <c r="AC28" s="1958">
        <f>D28/J28</f>
        <v>1.0204081632653061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7"/>
      <c r="M29" s="2711"/>
      <c r="N29" s="2711"/>
      <c r="O29" s="2711"/>
      <c r="P29" s="3733"/>
      <c r="Q29" s="1351">
        <f t="shared" si="11"/>
        <v>111</v>
      </c>
      <c r="R29" s="705" t="s">
        <v>14</v>
      </c>
      <c r="S29" s="706">
        <f t="shared" ref="S29:S47" si="12">F29</f>
        <v>100</v>
      </c>
      <c r="T29" s="705" t="s">
        <v>14</v>
      </c>
      <c r="U29" s="706">
        <f t="shared" ref="U29:U47" si="13">H29</f>
        <v>100</v>
      </c>
      <c r="V29" s="705" t="s">
        <v>14</v>
      </c>
      <c r="W29" s="706">
        <f t="shared" ref="W29:W47" si="14">J29</f>
        <v>100</v>
      </c>
      <c r="X29" s="1354"/>
      <c r="Y29" s="3726"/>
      <c r="Z29" s="1355">
        <f t="shared" ref="Z29:Z47" si="15">Q29</f>
        <v>111</v>
      </c>
      <c r="AA29" s="1352">
        <f t="shared" si="3"/>
        <v>1</v>
      </c>
      <c r="AB29" s="1352">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7"/>
      <c r="M30" s="2711"/>
      <c r="N30" s="2711"/>
      <c r="O30" s="2711"/>
      <c r="P30" s="3733"/>
      <c r="Q30" s="1351">
        <f t="shared" si="11"/>
        <v>111</v>
      </c>
      <c r="R30" s="705" t="s">
        <v>14</v>
      </c>
      <c r="S30" s="706">
        <f t="shared" si="12"/>
        <v>100</v>
      </c>
      <c r="T30" s="705" t="s">
        <v>14</v>
      </c>
      <c r="U30" s="706">
        <f t="shared" si="13"/>
        <v>100</v>
      </c>
      <c r="V30" s="705" t="s">
        <v>14</v>
      </c>
      <c r="W30" s="706">
        <f t="shared" si="14"/>
        <v>100</v>
      </c>
      <c r="X30" s="1354"/>
      <c r="Y30" s="3726"/>
      <c r="Z30" s="1355">
        <f t="shared" si="15"/>
        <v>111</v>
      </c>
      <c r="AA30" s="1352">
        <f t="shared" si="3"/>
        <v>1</v>
      </c>
      <c r="AB30" s="1352">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7"/>
      <c r="M31" s="2711"/>
      <c r="N31" s="2711"/>
      <c r="O31" s="2711"/>
      <c r="P31" s="3733"/>
      <c r="Q31" s="1351">
        <f t="shared" si="11"/>
        <v>111</v>
      </c>
      <c r="R31" s="705" t="s">
        <v>14</v>
      </c>
      <c r="S31" s="706">
        <f t="shared" si="12"/>
        <v>100</v>
      </c>
      <c r="T31" s="705" t="s">
        <v>14</v>
      </c>
      <c r="U31" s="706">
        <f t="shared" si="13"/>
        <v>100</v>
      </c>
      <c r="V31" s="705" t="s">
        <v>14</v>
      </c>
      <c r="W31" s="706">
        <f t="shared" si="14"/>
        <v>100</v>
      </c>
      <c r="X31" s="1354"/>
      <c r="Y31" s="3726"/>
      <c r="Z31" s="1355">
        <f t="shared" si="15"/>
        <v>111</v>
      </c>
      <c r="AA31" s="1352">
        <f t="shared" si="3"/>
        <v>1</v>
      </c>
      <c r="AB31" s="1352">
        <f t="shared" si="4"/>
        <v>1</v>
      </c>
      <c r="AC31" s="1958">
        <f t="shared" si="5"/>
        <v>1</v>
      </c>
    </row>
    <row r="32" spans="1:29" ht="15.75"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7"/>
      <c r="M32" s="2711"/>
      <c r="N32" s="2711"/>
      <c r="O32" s="2711"/>
      <c r="P32" s="3733"/>
      <c r="Q32" s="1351">
        <f t="shared" si="11"/>
        <v>111</v>
      </c>
      <c r="R32" s="705" t="s">
        <v>14</v>
      </c>
      <c r="S32" s="706">
        <f t="shared" si="12"/>
        <v>100</v>
      </c>
      <c r="T32" s="705" t="s">
        <v>14</v>
      </c>
      <c r="U32" s="706">
        <f t="shared" si="13"/>
        <v>100</v>
      </c>
      <c r="V32" s="705" t="s">
        <v>14</v>
      </c>
      <c r="W32" s="706">
        <f t="shared" si="14"/>
        <v>100</v>
      </c>
      <c r="X32" s="1354"/>
      <c r="Y32" s="3726"/>
      <c r="Z32" s="1355">
        <f t="shared" si="15"/>
        <v>111</v>
      </c>
      <c r="AA32" s="1352">
        <f t="shared" si="3"/>
        <v>1</v>
      </c>
      <c r="AB32" s="1352">
        <f t="shared" si="4"/>
        <v>1</v>
      </c>
      <c r="AC32" s="1958">
        <f t="shared" si="5"/>
        <v>1</v>
      </c>
    </row>
    <row r="33" spans="1:29" ht="15">
      <c r="A33" s="391" t="s">
        <v>1694</v>
      </c>
      <c r="B33" s="63" t="s">
        <v>1817</v>
      </c>
      <c r="C33" s="1963" t="s">
        <v>3469</v>
      </c>
      <c r="D33" s="418">
        <v>100</v>
      </c>
      <c r="E33" s="1963" t="s">
        <v>3469</v>
      </c>
      <c r="F33" s="412">
        <f>SUMIF(101:101,E33,102:102)-SUMIF(101:101,C33,102:102)+100</f>
        <v>100</v>
      </c>
      <c r="G33" s="1963" t="s">
        <v>3469</v>
      </c>
      <c r="H33" s="386">
        <f>SUMIF(101:101,G33,102:102)-SUMIF(101:101,C33,102:102)+100</f>
        <v>100</v>
      </c>
      <c r="I33" s="1963" t="s">
        <v>3469</v>
      </c>
      <c r="J33" s="418">
        <f>SUMIF(101:101,I33,102:102)-SUMIF(101:101,C33,102:102)+100</f>
        <v>100</v>
      </c>
      <c r="K33" s="561"/>
      <c r="L33" s="2717"/>
      <c r="M33" s="2711"/>
      <c r="N33" s="2711"/>
      <c r="O33" s="2711"/>
      <c r="P33" s="3727" t="s">
        <v>1696</v>
      </c>
      <c r="Q33" s="1351" t="str">
        <f t="shared" si="11"/>
        <v>建筑类型</v>
      </c>
      <c r="R33" s="705" t="s">
        <v>14</v>
      </c>
      <c r="S33" s="706">
        <f t="shared" si="12"/>
        <v>100</v>
      </c>
      <c r="T33" s="705" t="s">
        <v>14</v>
      </c>
      <c r="U33" s="706">
        <f t="shared" si="13"/>
        <v>100</v>
      </c>
      <c r="V33" s="705" t="s">
        <v>14</v>
      </c>
      <c r="W33" s="706">
        <f t="shared" si="14"/>
        <v>100</v>
      </c>
      <c r="X33" s="1354"/>
      <c r="Y33" s="3730" t="s">
        <v>1696</v>
      </c>
      <c r="Z33" s="1355" t="str">
        <f t="shared" si="15"/>
        <v>建筑类型</v>
      </c>
      <c r="AA33" s="1352">
        <f t="shared" si="3"/>
        <v>1</v>
      </c>
      <c r="AB33" s="1352">
        <f t="shared" si="4"/>
        <v>1</v>
      </c>
      <c r="AC33" s="1958">
        <f t="shared" si="5"/>
        <v>1</v>
      </c>
    </row>
    <row r="34" spans="1:29" s="422" customFormat="1" ht="15">
      <c r="A34" s="419"/>
      <c r="B34" s="375" t="s">
        <v>1697</v>
      </c>
      <c r="C34" s="420">
        <f>'数据-汇总表'!F19</f>
        <v>459.68</v>
      </c>
      <c r="D34" s="127">
        <v>100</v>
      </c>
      <c r="E34" s="381">
        <f>市场成交!B6</f>
        <v>106.93</v>
      </c>
      <c r="F34" s="376">
        <f>LOOKUP(E34,104:104,105:105)-LOOKUP(C34,104:104,105:105)+100</f>
        <v>104</v>
      </c>
      <c r="G34" s="380">
        <f>市场成交!B7</f>
        <v>107.68</v>
      </c>
      <c r="H34" s="127">
        <f>LOOKUP(G34,104:104,105:105)-LOOKUP(C34,104:104,105:105)+100</f>
        <v>104</v>
      </c>
      <c r="I34" s="380">
        <f>市场成交!B8</f>
        <v>123.55</v>
      </c>
      <c r="J34" s="127">
        <f>LOOKUP(I34,104:104,105:105)-LOOKUP(C34,104:104,105:105)+100</f>
        <v>104</v>
      </c>
      <c r="K34" s="562"/>
      <c r="L34" s="2716"/>
      <c r="M34" s="2718"/>
      <c r="N34" s="2718"/>
      <c r="O34" s="2718"/>
      <c r="P34" s="3728"/>
      <c r="Q34" s="707" t="str">
        <f t="shared" si="11"/>
        <v>项目建筑规模</v>
      </c>
      <c r="R34" s="708" t="s">
        <v>14</v>
      </c>
      <c r="S34" s="709">
        <f t="shared" si="12"/>
        <v>104</v>
      </c>
      <c r="T34" s="708" t="s">
        <v>14</v>
      </c>
      <c r="U34" s="709">
        <f t="shared" si="13"/>
        <v>104</v>
      </c>
      <c r="V34" s="708" t="s">
        <v>14</v>
      </c>
      <c r="W34" s="709">
        <f t="shared" si="14"/>
        <v>104</v>
      </c>
      <c r="X34" s="710"/>
      <c r="Y34" s="3730"/>
      <c r="Z34" s="711" t="str">
        <f t="shared" si="15"/>
        <v>项目建筑规模</v>
      </c>
      <c r="AA34" s="1352">
        <f t="shared" si="3"/>
        <v>0.96153846153846156</v>
      </c>
      <c r="AB34" s="1352">
        <f t="shared" si="4"/>
        <v>0.96153846153846156</v>
      </c>
      <c r="AC34" s="1958">
        <f t="shared" si="5"/>
        <v>0.96153846153846156</v>
      </c>
    </row>
    <row r="35" spans="1:29" ht="15">
      <c r="A35" s="423"/>
      <c r="B35" s="375" t="s">
        <v>1698</v>
      </c>
      <c r="C35" s="411" t="s">
        <v>3391</v>
      </c>
      <c r="D35" s="386">
        <v>100</v>
      </c>
      <c r="E35" s="411" t="s">
        <v>3391</v>
      </c>
      <c r="F35" s="412">
        <f>SUMIF(106:106,E35,107:107)-SUMIF(106:106,C35,107:107)+100</f>
        <v>100</v>
      </c>
      <c r="G35" s="411" t="s">
        <v>3391</v>
      </c>
      <c r="H35" s="386">
        <f>SUMIF(106:106,G35,107:107)-SUMIF(106:106,C35,107:107)+100</f>
        <v>100</v>
      </c>
      <c r="I35" s="411" t="s">
        <v>3391</v>
      </c>
      <c r="J35" s="386">
        <f>SUMIF(106:106,I35,107:107)-SUMIF(106:106,C35,107:107)+100</f>
        <v>100</v>
      </c>
      <c r="K35" s="561"/>
      <c r="L35" s="2717"/>
      <c r="M35" s="2711"/>
      <c r="N35" s="2711"/>
      <c r="O35" s="2711"/>
      <c r="P35" s="3728"/>
      <c r="Q35" s="1351" t="str">
        <f t="shared" si="11"/>
        <v>建筑结构</v>
      </c>
      <c r="R35" s="705" t="s">
        <v>14</v>
      </c>
      <c r="S35" s="706">
        <f t="shared" si="12"/>
        <v>100</v>
      </c>
      <c r="T35" s="705" t="s">
        <v>14</v>
      </c>
      <c r="U35" s="706">
        <f t="shared" si="13"/>
        <v>100</v>
      </c>
      <c r="V35" s="705" t="s">
        <v>14</v>
      </c>
      <c r="W35" s="706">
        <f t="shared" si="14"/>
        <v>100</v>
      </c>
      <c r="X35" s="1354"/>
      <c r="Y35" s="3730"/>
      <c r="Z35" s="1355" t="str">
        <f t="shared" si="15"/>
        <v>建筑结构</v>
      </c>
      <c r="AA35" s="1352">
        <f t="shared" si="3"/>
        <v>1</v>
      </c>
      <c r="AB35" s="1352">
        <f t="shared" si="4"/>
        <v>1</v>
      </c>
      <c r="AC35" s="1958">
        <f t="shared" si="5"/>
        <v>1</v>
      </c>
    </row>
    <row r="36" spans="1:29" ht="15">
      <c r="A36" s="423"/>
      <c r="B36" s="375" t="s">
        <v>1785</v>
      </c>
      <c r="C36" s="411" t="s">
        <v>3404</v>
      </c>
      <c r="D36" s="386">
        <v>100</v>
      </c>
      <c r="E36" s="411" t="s">
        <v>3404</v>
      </c>
      <c r="F36" s="412">
        <f>SUMIF(108:108,E36,109:109)-SUMIF(108:108,C36,109:109)+100</f>
        <v>100</v>
      </c>
      <c r="G36" s="411" t="s">
        <v>3404</v>
      </c>
      <c r="H36" s="386">
        <f>SUMIF(108:108,G36,109:109)-SUMIF(108:108,C36,109:109)+100</f>
        <v>100</v>
      </c>
      <c r="I36" s="411" t="s">
        <v>3404</v>
      </c>
      <c r="J36" s="386">
        <f>SUMIF(108:108,I36,109:109)-SUMIF(108:108,C36,109:109)+100</f>
        <v>100</v>
      </c>
      <c r="K36" s="561"/>
      <c r="L36" s="2717"/>
      <c r="M36" s="2711"/>
      <c r="N36" s="2711"/>
      <c r="O36" s="2711"/>
      <c r="P36" s="3728"/>
      <c r="Q36" s="1351" t="str">
        <f t="shared" si="11"/>
        <v>公共部分装修</v>
      </c>
      <c r="R36" s="705" t="s">
        <v>14</v>
      </c>
      <c r="S36" s="706">
        <f t="shared" si="12"/>
        <v>100</v>
      </c>
      <c r="T36" s="705" t="s">
        <v>14</v>
      </c>
      <c r="U36" s="706">
        <f t="shared" si="13"/>
        <v>100</v>
      </c>
      <c r="V36" s="705" t="s">
        <v>14</v>
      </c>
      <c r="W36" s="706">
        <f t="shared" si="14"/>
        <v>100</v>
      </c>
      <c r="X36" s="1354"/>
      <c r="Y36" s="3730"/>
      <c r="Z36" s="1355" t="str">
        <f t="shared" si="15"/>
        <v>公共部分装修</v>
      </c>
      <c r="AA36" s="1352">
        <f t="shared" si="3"/>
        <v>1</v>
      </c>
      <c r="AB36" s="1352">
        <f t="shared" si="4"/>
        <v>1</v>
      </c>
      <c r="AC36" s="1958">
        <f t="shared" si="5"/>
        <v>1</v>
      </c>
    </row>
    <row r="37" spans="1:29" ht="15">
      <c r="A37" s="423"/>
      <c r="B37" s="375" t="s">
        <v>1786</v>
      </c>
      <c r="C37" s="425">
        <f>'数据-取费表'!Y6</f>
        <v>0.75</v>
      </c>
      <c r="D37" s="386">
        <v>100</v>
      </c>
      <c r="E37" s="425">
        <f>C37</f>
        <v>0.75</v>
      </c>
      <c r="F37" s="412">
        <f>LOOKUP(E37,111:111,112:112)-LOOKUP(C37,111:111,112:112)+100</f>
        <v>100</v>
      </c>
      <c r="G37" s="425">
        <f>C37</f>
        <v>0.75</v>
      </c>
      <c r="H37" s="412">
        <f>LOOKUP(G37,111:111,112:112)-LOOKUP(C37,111:111,112:112)+100</f>
        <v>100</v>
      </c>
      <c r="I37" s="425">
        <f>C37</f>
        <v>0.75</v>
      </c>
      <c r="J37" s="386">
        <f>LOOKUP(I37,111:111,112:112)-LOOKUP(C37,111:111,112:112)+100</f>
        <v>100</v>
      </c>
      <c r="K37" s="561"/>
      <c r="L37" s="2717"/>
      <c r="M37" s="2711"/>
      <c r="N37" s="2711"/>
      <c r="O37" s="2711"/>
      <c r="P37" s="3728"/>
      <c r="Q37" s="1351" t="str">
        <f t="shared" si="11"/>
        <v>成新度</v>
      </c>
      <c r="R37" s="705" t="s">
        <v>14</v>
      </c>
      <c r="S37" s="706">
        <f t="shared" si="12"/>
        <v>100</v>
      </c>
      <c r="T37" s="705" t="s">
        <v>14</v>
      </c>
      <c r="U37" s="706">
        <f t="shared" si="13"/>
        <v>100</v>
      </c>
      <c r="V37" s="705" t="s">
        <v>14</v>
      </c>
      <c r="W37" s="706">
        <f t="shared" si="14"/>
        <v>100</v>
      </c>
      <c r="X37" s="1354"/>
      <c r="Y37" s="3730"/>
      <c r="Z37" s="1355" t="str">
        <f t="shared" si="15"/>
        <v>成新度</v>
      </c>
      <c r="AA37" s="1352">
        <f t="shared" si="3"/>
        <v>1</v>
      </c>
      <c r="AB37" s="1352">
        <f t="shared" si="4"/>
        <v>1</v>
      </c>
      <c r="AC37" s="1958">
        <f t="shared" si="5"/>
        <v>1</v>
      </c>
    </row>
    <row r="38" spans="1:29" s="108" customFormat="1" ht="15">
      <c r="A38" s="424"/>
      <c r="B38" s="375" t="s">
        <v>1818</v>
      </c>
      <c r="C38" s="411" t="s">
        <v>3474</v>
      </c>
      <c r="D38" s="127">
        <v>100</v>
      </c>
      <c r="E38" s="411" t="s">
        <v>3474</v>
      </c>
      <c r="F38" s="412">
        <f>SUMIF(113:113,E38,114:114)-SUMIF(113:113,C38,114:114)+100</f>
        <v>100</v>
      </c>
      <c r="G38" s="411" t="s">
        <v>3474</v>
      </c>
      <c r="H38" s="386">
        <f>SUMIF(113:113,G38,114:114)-SUMIF(113:113,C38,114:114)+100</f>
        <v>100</v>
      </c>
      <c r="I38" s="411" t="s">
        <v>3474</v>
      </c>
      <c r="J38" s="386">
        <f>SUMIF(113:113,I38,114:114)-SUMIF(113:113,C38,114:114)+100</f>
        <v>100</v>
      </c>
      <c r="K38" s="561"/>
      <c r="L38" s="2712"/>
      <c r="M38" s="2713"/>
      <c r="N38" s="2713"/>
      <c r="O38" s="2713"/>
      <c r="P38" s="3728"/>
      <c r="Q38" s="1342" t="str">
        <f t="shared" si="11"/>
        <v>写字楼等级</v>
      </c>
      <c r="R38" s="701" t="s">
        <v>14</v>
      </c>
      <c r="S38" s="702">
        <f t="shared" si="12"/>
        <v>100</v>
      </c>
      <c r="T38" s="701" t="s">
        <v>14</v>
      </c>
      <c r="U38" s="702">
        <f t="shared" si="13"/>
        <v>100</v>
      </c>
      <c r="V38" s="701" t="s">
        <v>14</v>
      </c>
      <c r="W38" s="702">
        <f t="shared" si="14"/>
        <v>100</v>
      </c>
      <c r="X38" s="703"/>
      <c r="Y38" s="3730"/>
      <c r="Z38" s="52" t="str">
        <f t="shared" si="15"/>
        <v>写字楼等级</v>
      </c>
      <c r="AA38" s="704">
        <f t="shared" si="3"/>
        <v>1</v>
      </c>
      <c r="AB38" s="704">
        <f t="shared" si="4"/>
        <v>1</v>
      </c>
      <c r="AC38" s="1955">
        <f t="shared" si="5"/>
        <v>1</v>
      </c>
    </row>
    <row r="39" spans="1:29" ht="15">
      <c r="A39" s="423"/>
      <c r="B39" s="375" t="s">
        <v>1819</v>
      </c>
      <c r="C39" s="411" t="s">
        <v>3406</v>
      </c>
      <c r="D39" s="386">
        <v>100</v>
      </c>
      <c r="E39" s="411" t="s">
        <v>3406</v>
      </c>
      <c r="F39" s="412">
        <f>SUMIF(115:115,E39,116:116)-SUMIF(115:115,C39,116:116)+100</f>
        <v>100</v>
      </c>
      <c r="G39" s="411" t="s">
        <v>3406</v>
      </c>
      <c r="H39" s="386">
        <f>SUMIF(115:115,G39,116:116)-SUMIF(115:115,C39,116:116)+100</f>
        <v>100</v>
      </c>
      <c r="I39" s="411" t="s">
        <v>3406</v>
      </c>
      <c r="J39" s="386">
        <f>SUMIF(115:115,I39,116:116)-SUMIF(115:115,C39,116:116)+100</f>
        <v>100</v>
      </c>
      <c r="K39" s="561"/>
      <c r="L39" s="2717"/>
      <c r="M39" s="2711"/>
      <c r="N39" s="2711"/>
      <c r="O39" s="2711"/>
      <c r="P39" s="3728" t="s">
        <v>1696</v>
      </c>
      <c r="Q39" s="1351" t="str">
        <f t="shared" si="11"/>
        <v>物业管理</v>
      </c>
      <c r="R39" s="705" t="s">
        <v>14</v>
      </c>
      <c r="S39" s="706">
        <f t="shared" si="12"/>
        <v>100</v>
      </c>
      <c r="T39" s="705" t="s">
        <v>14</v>
      </c>
      <c r="U39" s="706">
        <f t="shared" si="13"/>
        <v>100</v>
      </c>
      <c r="V39" s="705" t="s">
        <v>14</v>
      </c>
      <c r="W39" s="706">
        <f t="shared" si="14"/>
        <v>100</v>
      </c>
      <c r="X39" s="1354"/>
      <c r="Y39" s="3730" t="s">
        <v>1696</v>
      </c>
      <c r="Z39" s="1355" t="str">
        <f t="shared" si="15"/>
        <v>物业管理</v>
      </c>
      <c r="AA39" s="1352">
        <f t="shared" si="3"/>
        <v>1</v>
      </c>
      <c r="AB39" s="1352">
        <f t="shared" si="4"/>
        <v>1</v>
      </c>
      <c r="AC39" s="1958">
        <f t="shared" si="5"/>
        <v>1</v>
      </c>
    </row>
    <row r="40" spans="1:29" ht="15">
      <c r="A40" s="423"/>
      <c r="B40" s="375" t="s">
        <v>1787</v>
      </c>
      <c r="C40" s="411" t="s">
        <v>3479</v>
      </c>
      <c r="D40" s="386">
        <v>100</v>
      </c>
      <c r="E40" s="411" t="s">
        <v>3479</v>
      </c>
      <c r="F40" s="412">
        <f>SUMIF(117:117,E40,118:118)-SUMIF(117:117,C40,118:118)+100</f>
        <v>100</v>
      </c>
      <c r="G40" s="411" t="s">
        <v>3479</v>
      </c>
      <c r="H40" s="386">
        <f>SUMIF(117:117,G40,118:118)-SUMIF(117:117,C40,118:118)+100</f>
        <v>100</v>
      </c>
      <c r="I40" s="411" t="s">
        <v>3479</v>
      </c>
      <c r="J40" s="386">
        <f>SUMIF(117:117,I40,118:118)-SUMIF(117:117,C40,118:118)+100</f>
        <v>100</v>
      </c>
      <c r="K40" s="561"/>
      <c r="L40" s="2717"/>
      <c r="M40" s="2711"/>
      <c r="N40" s="2711"/>
      <c r="O40" s="2711"/>
      <c r="P40" s="3728"/>
      <c r="Q40" s="1351" t="str">
        <f t="shared" si="11"/>
        <v>市政基础设施</v>
      </c>
      <c r="R40" s="705" t="s">
        <v>14</v>
      </c>
      <c r="S40" s="706">
        <f t="shared" si="12"/>
        <v>100</v>
      </c>
      <c r="T40" s="705" t="s">
        <v>14</v>
      </c>
      <c r="U40" s="706">
        <f t="shared" si="13"/>
        <v>100</v>
      </c>
      <c r="V40" s="705" t="s">
        <v>14</v>
      </c>
      <c r="W40" s="706">
        <f t="shared" si="14"/>
        <v>100</v>
      </c>
      <c r="X40" s="1354"/>
      <c r="Y40" s="3730"/>
      <c r="Z40" s="1355" t="str">
        <f t="shared" si="15"/>
        <v>市政基础设施</v>
      </c>
      <c r="AA40" s="1352">
        <f t="shared" si="3"/>
        <v>1</v>
      </c>
      <c r="AB40" s="1352">
        <f t="shared" si="4"/>
        <v>1</v>
      </c>
      <c r="AC40" s="1958">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28"/>
      <c r="Q41" s="1351" t="str">
        <f t="shared" si="11"/>
        <v>层高</v>
      </c>
      <c r="R41" s="705" t="s">
        <v>14</v>
      </c>
      <c r="S41" s="706">
        <f t="shared" si="12"/>
        <v>100</v>
      </c>
      <c r="T41" s="705" t="s">
        <v>14</v>
      </c>
      <c r="U41" s="706">
        <f t="shared" si="13"/>
        <v>100</v>
      </c>
      <c r="V41" s="705" t="s">
        <v>14</v>
      </c>
      <c r="W41" s="706">
        <f t="shared" si="14"/>
        <v>100</v>
      </c>
      <c r="X41" s="1354"/>
      <c r="Y41" s="3730"/>
      <c r="Z41" s="1355" t="str">
        <f t="shared" si="15"/>
        <v>层高</v>
      </c>
      <c r="AA41" s="1352">
        <f t="shared" si="3"/>
        <v>1</v>
      </c>
      <c r="AB41" s="1352">
        <f t="shared" si="4"/>
        <v>1</v>
      </c>
      <c r="AC41" s="1958">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28"/>
      <c r="Q42" s="707" t="str">
        <f t="shared" si="11"/>
        <v>单套建筑面积</v>
      </c>
      <c r="R42" s="708" t="s">
        <v>14</v>
      </c>
      <c r="S42" s="709">
        <f t="shared" si="12"/>
        <v>100</v>
      </c>
      <c r="T42" s="708" t="s">
        <v>14</v>
      </c>
      <c r="U42" s="709">
        <f t="shared" si="13"/>
        <v>100</v>
      </c>
      <c r="V42" s="708" t="s">
        <v>14</v>
      </c>
      <c r="W42" s="709">
        <f t="shared" si="14"/>
        <v>100</v>
      </c>
      <c r="X42" s="710"/>
      <c r="Y42" s="3730"/>
      <c r="Z42" s="711" t="str">
        <f t="shared" si="15"/>
        <v>单套建筑面积</v>
      </c>
      <c r="AA42" s="1352">
        <f t="shared" si="3"/>
        <v>1</v>
      </c>
      <c r="AB42" s="1352">
        <f t="shared" si="4"/>
        <v>1</v>
      </c>
      <c r="AC42" s="1958">
        <f t="shared" si="5"/>
        <v>1</v>
      </c>
    </row>
    <row r="43" spans="1:29" ht="15">
      <c r="A43" s="423"/>
      <c r="B43" s="375" t="s">
        <v>1792</v>
      </c>
      <c r="C43" s="411" t="s">
        <v>3481</v>
      </c>
      <c r="D43" s="386">
        <v>100</v>
      </c>
      <c r="E43" s="411" t="s">
        <v>3481</v>
      </c>
      <c r="F43" s="412">
        <f>SUMIF(123:123,E43,124:124)-SUMIF(123:123,C43,124:124)+100</f>
        <v>100</v>
      </c>
      <c r="G43" s="411" t="s">
        <v>3481</v>
      </c>
      <c r="H43" s="386">
        <f>SUMIF(123:123,G43,124:124)-SUMIF(123:123,C43,124:124)+100</f>
        <v>100</v>
      </c>
      <c r="I43" s="411" t="s">
        <v>3481</v>
      </c>
      <c r="J43" s="386">
        <f>SUMIF(123:123,I43,124:124)-SUMIF(123:123,C43,124:124)+100</f>
        <v>100</v>
      </c>
      <c r="K43" s="561"/>
      <c r="L43" s="2717"/>
      <c r="M43" s="2711"/>
      <c r="N43" s="2711"/>
      <c r="O43" s="2711"/>
      <c r="P43" s="3728"/>
      <c r="Q43" s="1351" t="str">
        <f t="shared" si="11"/>
        <v>内部装修</v>
      </c>
      <c r="R43" s="705" t="s">
        <v>14</v>
      </c>
      <c r="S43" s="706">
        <f t="shared" si="12"/>
        <v>100</v>
      </c>
      <c r="T43" s="705" t="s">
        <v>14</v>
      </c>
      <c r="U43" s="706">
        <f t="shared" si="13"/>
        <v>100</v>
      </c>
      <c r="V43" s="705" t="s">
        <v>14</v>
      </c>
      <c r="W43" s="706">
        <f t="shared" si="14"/>
        <v>100</v>
      </c>
      <c r="X43" s="1354"/>
      <c r="Y43" s="3730"/>
      <c r="Z43" s="1355" t="str">
        <f t="shared" si="15"/>
        <v>内部装修</v>
      </c>
      <c r="AA43" s="1352">
        <f t="shared" si="3"/>
        <v>1</v>
      </c>
      <c r="AB43" s="1352">
        <f t="shared" si="4"/>
        <v>1</v>
      </c>
      <c r="AC43" s="1958">
        <f t="shared" si="5"/>
        <v>1</v>
      </c>
    </row>
    <row r="44" spans="1:29" ht="15">
      <c r="A44" s="423"/>
      <c r="B44" s="375" t="s">
        <v>1707</v>
      </c>
      <c r="C44" s="411" t="s">
        <v>3393</v>
      </c>
      <c r="D44" s="386">
        <v>100</v>
      </c>
      <c r="E44" s="411" t="s">
        <v>3393</v>
      </c>
      <c r="F44" s="412">
        <f>SUMIF(125:125,E44,126:126)-SUMIF(125:125,C44,126:126)+100</f>
        <v>100</v>
      </c>
      <c r="G44" s="411" t="s">
        <v>3393</v>
      </c>
      <c r="H44" s="386">
        <f>SUMIF(125:125,G44,126:126)-SUMIF(125:125,C44,126:126)+100</f>
        <v>100</v>
      </c>
      <c r="I44" s="411" t="s">
        <v>3393</v>
      </c>
      <c r="J44" s="386">
        <f>SUMIF(125:125,I44,126:126)-SUMIF(125:125,C44,126:126)+100</f>
        <v>100</v>
      </c>
      <c r="K44" s="561"/>
      <c r="L44" s="2717"/>
      <c r="M44" s="2711"/>
      <c r="N44" s="2711"/>
      <c r="O44" s="2711"/>
      <c r="P44" s="3728"/>
      <c r="Q44" s="1351" t="str">
        <f t="shared" si="11"/>
        <v>内部装修维护情况</v>
      </c>
      <c r="R44" s="705" t="s">
        <v>14</v>
      </c>
      <c r="S44" s="706">
        <f t="shared" si="12"/>
        <v>100</v>
      </c>
      <c r="T44" s="705" t="s">
        <v>14</v>
      </c>
      <c r="U44" s="706">
        <f t="shared" si="13"/>
        <v>100</v>
      </c>
      <c r="V44" s="705" t="s">
        <v>14</v>
      </c>
      <c r="W44" s="706">
        <f t="shared" si="14"/>
        <v>100</v>
      </c>
      <c r="X44" s="1354"/>
      <c r="Y44" s="3730"/>
      <c r="Z44" s="1355" t="str">
        <f t="shared" si="15"/>
        <v>内部装修维护情况</v>
      </c>
      <c r="AA44" s="1352">
        <f t="shared" si="3"/>
        <v>1</v>
      </c>
      <c r="AB44" s="1352">
        <f t="shared" si="4"/>
        <v>1</v>
      </c>
      <c r="AC44" s="1958">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28"/>
      <c r="Q45" s="1342">
        <f t="shared" si="11"/>
        <v>111</v>
      </c>
      <c r="R45" s="701" t="s">
        <v>14</v>
      </c>
      <c r="S45" s="702">
        <f t="shared" si="12"/>
        <v>100</v>
      </c>
      <c r="T45" s="701" t="s">
        <v>14</v>
      </c>
      <c r="U45" s="702">
        <f t="shared" si="13"/>
        <v>100</v>
      </c>
      <c r="V45" s="701" t="s">
        <v>14</v>
      </c>
      <c r="W45" s="702">
        <f t="shared" si="14"/>
        <v>100</v>
      </c>
      <c r="X45" s="703"/>
      <c r="Y45" s="3730"/>
      <c r="Z45" s="52">
        <f t="shared" si="15"/>
        <v>111</v>
      </c>
      <c r="AA45" s="704">
        <f t="shared" si="3"/>
        <v>1</v>
      </c>
      <c r="AB45" s="704">
        <f t="shared" si="4"/>
        <v>1</v>
      </c>
      <c r="AC45" s="1955">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28"/>
      <c r="Q46" s="1351">
        <f t="shared" si="11"/>
        <v>111</v>
      </c>
      <c r="R46" s="705" t="s">
        <v>14</v>
      </c>
      <c r="S46" s="706">
        <f t="shared" si="12"/>
        <v>100</v>
      </c>
      <c r="T46" s="705" t="s">
        <v>14</v>
      </c>
      <c r="U46" s="706">
        <f t="shared" si="13"/>
        <v>100</v>
      </c>
      <c r="V46" s="705" t="s">
        <v>14</v>
      </c>
      <c r="W46" s="706">
        <f t="shared" si="14"/>
        <v>100</v>
      </c>
      <c r="X46" s="1354"/>
      <c r="Y46" s="3730"/>
      <c r="Z46" s="1355">
        <f t="shared" si="15"/>
        <v>111</v>
      </c>
      <c r="AA46" s="1352">
        <f t="shared" si="3"/>
        <v>1</v>
      </c>
      <c r="AB46" s="1352">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29"/>
      <c r="Q47" s="1351">
        <f t="shared" si="11"/>
        <v>111</v>
      </c>
      <c r="R47" s="705" t="s">
        <v>14</v>
      </c>
      <c r="S47" s="706">
        <f t="shared" si="12"/>
        <v>100</v>
      </c>
      <c r="T47" s="705" t="s">
        <v>14</v>
      </c>
      <c r="U47" s="706">
        <f t="shared" si="13"/>
        <v>100</v>
      </c>
      <c r="V47" s="705" t="s">
        <v>14</v>
      </c>
      <c r="W47" s="706">
        <f t="shared" si="14"/>
        <v>100</v>
      </c>
      <c r="X47" s="1354"/>
      <c r="Y47" s="3731"/>
      <c r="Z47" s="1355">
        <f t="shared" si="15"/>
        <v>111</v>
      </c>
      <c r="AA47" s="1352">
        <f t="shared" si="3"/>
        <v>1</v>
      </c>
      <c r="AB47" s="1352">
        <f t="shared" si="4"/>
        <v>1</v>
      </c>
      <c r="AC47" s="1958">
        <f t="shared" si="5"/>
        <v>1</v>
      </c>
    </row>
    <row r="48" spans="1:29" ht="15">
      <c r="A48" s="430" t="s">
        <v>1708</v>
      </c>
      <c r="B48" s="431"/>
      <c r="C48" s="1154" t="s">
        <v>0</v>
      </c>
      <c r="D48" s="1155"/>
      <c r="E48" s="1156">
        <f>市场成交!E6</f>
        <v>48817</v>
      </c>
      <c r="F48" s="1157"/>
      <c r="G48" s="1158">
        <f>市场成交!E7</f>
        <v>47455</v>
      </c>
      <c r="H48" s="1159"/>
      <c r="I48" s="1156">
        <f>市场成交!E8</f>
        <v>46540</v>
      </c>
      <c r="J48" s="436"/>
      <c r="K48" s="714"/>
      <c r="L48" s="2719"/>
      <c r="M48" s="2711"/>
      <c r="N48" s="2711"/>
      <c r="O48" s="2711"/>
      <c r="P48" s="3705" t="str">
        <f>A48</f>
        <v>成交单价（元/平方米）</v>
      </c>
      <c r="Q48" s="3723"/>
      <c r="R48" s="3724">
        <f>E48</f>
        <v>48817</v>
      </c>
      <c r="S48" s="3724"/>
      <c r="T48" s="3724">
        <f>G48</f>
        <v>47455</v>
      </c>
      <c r="U48" s="3724"/>
      <c r="V48" s="3724">
        <f>I48</f>
        <v>46540</v>
      </c>
      <c r="W48" s="3724"/>
      <c r="X48" s="397"/>
      <c r="Y48" s="712"/>
      <c r="Z48" s="397"/>
      <c r="AA48" s="397"/>
      <c r="AB48" s="397"/>
      <c r="AC48" s="578"/>
    </row>
    <row r="49" spans="1:29" ht="15.75" thickBot="1">
      <c r="A49" s="437" t="s">
        <v>1793</v>
      </c>
      <c r="B49" s="438"/>
      <c r="C49" s="1160">
        <f>R50</f>
        <v>46862</v>
      </c>
      <c r="D49" s="2313" t="s">
        <v>2138</v>
      </c>
      <c r="E49" s="1161">
        <f>R49</f>
        <v>47529</v>
      </c>
      <c r="F49" s="2314"/>
      <c r="G49" s="1160">
        <f>T49</f>
        <v>46745</v>
      </c>
      <c r="H49" s="2314"/>
      <c r="I49" s="1161">
        <f>V49</f>
        <v>46312</v>
      </c>
      <c r="J49" s="2314"/>
      <c r="K49" s="2316">
        <f>F49+H49+J49</f>
        <v>0</v>
      </c>
      <c r="L49" s="2719"/>
      <c r="M49" s="2711"/>
      <c r="N49" s="2711"/>
      <c r="O49" s="2711"/>
      <c r="P49" s="3705" t="str">
        <f>A49</f>
        <v>比较价值（元/平方米）</v>
      </c>
      <c r="Q49" s="3723"/>
      <c r="R49" s="3724">
        <f>IF(F1="售价",ROUND(PRODUCT(R48,AA7:AA47),0),ROUND(PRODUCT(R48,AA7:AA47),1))</f>
        <v>47529</v>
      </c>
      <c r="S49" s="3724"/>
      <c r="T49" s="3724">
        <f>IF(F1="售价",ROUND(PRODUCT(T48,AB7:AB47),0),ROUND(PRODUCT(T48,AB7:AB47),1))</f>
        <v>46745</v>
      </c>
      <c r="U49" s="3724"/>
      <c r="V49" s="3724">
        <f>IF(F1="售价",ROUND(PRODUCT(V48,AC7:AC47),0),ROUND(PRODUCT(V48,AC7:AC47),1))</f>
        <v>46312</v>
      </c>
      <c r="W49" s="3724"/>
      <c r="X49" s="397"/>
      <c r="Y49" s="397"/>
      <c r="Z49" s="397"/>
      <c r="AA49" s="397"/>
      <c r="AB49" s="397"/>
      <c r="AC49" s="578"/>
    </row>
    <row r="50" spans="1:29" ht="15.75" thickBot="1">
      <c r="A50" s="441" t="s">
        <v>1794</v>
      </c>
      <c r="B50" s="442"/>
      <c r="C50" s="1163">
        <f>R50</f>
        <v>46862</v>
      </c>
      <c r="D50" s="1163"/>
      <c r="E50" s="1163"/>
      <c r="F50" s="1163"/>
      <c r="G50" s="1163"/>
      <c r="H50" s="1163"/>
      <c r="I50" s="1163"/>
      <c r="J50" s="443"/>
      <c r="K50" s="715"/>
      <c r="L50" s="2719"/>
      <c r="M50" s="2711"/>
      <c r="N50" s="2711"/>
      <c r="O50" s="2711"/>
      <c r="P50" s="3746" t="str">
        <f>A50</f>
        <v>估价对象XX用房的比较价值（楼面单价，元/平方米）</v>
      </c>
      <c r="Q50" s="3747"/>
      <c r="R50" s="3748">
        <f>IF(F1="售价",ROUND(IF(D49="简单平均",AVERAGE(R49:V49),R49*F49+T49*H49+V49*J49),0),ROUND(IF(D49="简单平均",AVERAGE(R49:V49),R49*F49+T49*H49+V49*J49),1))</f>
        <v>46862</v>
      </c>
      <c r="S50" s="3748"/>
      <c r="T50" s="3748"/>
      <c r="U50" s="3748"/>
      <c r="V50" s="3748"/>
      <c r="W50" s="3748"/>
      <c r="X50" s="1942"/>
      <c r="Y50" s="1942"/>
      <c r="Z50" s="1942"/>
      <c r="AA50" s="1942"/>
      <c r="AB50" s="1942"/>
      <c r="AC50" s="1943"/>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f>IF(E48&lt;E49,E49/E48-1,E48/E49-1)</f>
        <v>2.7099244671674239E-2</v>
      </c>
      <c r="F53" s="449" t="str">
        <f>IF(OR(E53&gt;=0.3,E53&lt;=-0.3),"超过30%","")</f>
        <v/>
      </c>
      <c r="G53" s="448">
        <f>IF(G48&lt;G49,G49/G48-1,G48/G49-1)</f>
        <v>1.5188790244945904E-2</v>
      </c>
      <c r="H53" s="449" t="str">
        <f>IF(OR(G53&gt;=0.3,G53&lt;=-0.3),"超过30%","")</f>
        <v/>
      </c>
      <c r="I53" s="448">
        <f>IF(I48&lt;I49,I49/I48-1,I48/I49-1)</f>
        <v>4.9231300742789141E-3</v>
      </c>
      <c r="J53" s="449"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f>IF(E49&lt;G49,G49/E49-1,E49/G49-1)</f>
        <v>1.6771847256391137E-2</v>
      </c>
      <c r="F54" s="449" t="str">
        <f>IF(OR(E54&gt;=0.2,E54&lt;=-0.2),"超过20%","")</f>
        <v/>
      </c>
      <c r="G54" s="448">
        <f>IF(G49&lt;I49,I49/G49-1,G49/I49-1)</f>
        <v>9.3496286059768785E-3</v>
      </c>
      <c r="H54" s="449" t="str">
        <f>IF(OR(G54&gt;=0.2,G54&lt;=-0.2),"超过20%","")</f>
        <v/>
      </c>
      <c r="I54" s="448">
        <f>IF(I49&lt;E49,E49/I49-1,I49/E49-1)</f>
        <v>2.6278286405251317E-2</v>
      </c>
      <c r="J54" s="449"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f>IF(E48&lt;G48,G48/E48-1,E48/G48-1)</f>
        <v>2.8700874512696206E-2</v>
      </c>
      <c r="F55" s="449" t="str">
        <f>IF(OR(E55&gt;=0.3,E55&lt;=-0.3),"超过30%","")</f>
        <v/>
      </c>
      <c r="G55" s="448">
        <f>IF(G48&lt;I48,I48/G48-1,G48/I48-1)</f>
        <v>1.9660507090674795E-2</v>
      </c>
      <c r="H55" s="449" t="str">
        <f>IF(OR(G55&gt;=0.3,G55&lt;=-0.3),"超过30%","")</f>
        <v/>
      </c>
      <c r="I55" s="448">
        <f>IF(I48&lt;E48,E48/I48-1,I48/E48-1)</f>
        <v>4.8925655350236408E-2</v>
      </c>
      <c r="J55" s="449"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3" t="str">
        <f>YEAR(C7)&amp;"-"&amp;MONTH(C7)</f>
        <v>2022-10</v>
      </c>
      <c r="D59" s="1184">
        <f>EDATE(C59,-1)</f>
        <v>44805</v>
      </c>
      <c r="E59" s="1184">
        <f>EDATE(D59,-1)</f>
        <v>44774</v>
      </c>
      <c r="F59" s="1184">
        <f t="shared" ref="F59:O59" si="16">EDATE(E59,-1)</f>
        <v>44743</v>
      </c>
      <c r="G59" s="1184">
        <f t="shared" si="16"/>
        <v>44713</v>
      </c>
      <c r="H59" s="1184">
        <f t="shared" si="16"/>
        <v>44682</v>
      </c>
      <c r="I59" s="1184">
        <f t="shared" si="16"/>
        <v>44652</v>
      </c>
      <c r="J59" s="1184">
        <f t="shared" si="16"/>
        <v>44621</v>
      </c>
      <c r="K59" s="1184">
        <f t="shared" si="16"/>
        <v>44593</v>
      </c>
      <c r="L59" s="1184">
        <f t="shared" si="16"/>
        <v>44562</v>
      </c>
      <c r="M59" s="1184">
        <f t="shared" si="16"/>
        <v>44531</v>
      </c>
      <c r="N59" s="1184">
        <f t="shared" si="16"/>
        <v>44501</v>
      </c>
      <c r="O59" s="1184">
        <f t="shared" si="16"/>
        <v>44470</v>
      </c>
      <c r="P59" s="3448">
        <f t="shared" ref="P59" si="17">EDATE(O59,-1)</f>
        <v>44440</v>
      </c>
      <c r="Q59" s="3448">
        <f t="shared" ref="Q59" si="18">EDATE(P59,-1)</f>
        <v>44409</v>
      </c>
      <c r="R59" s="3448">
        <f t="shared" ref="R59" si="19">EDATE(Q59,-1)</f>
        <v>44378</v>
      </c>
      <c r="S59" s="3448">
        <f t="shared" ref="S59" si="20">EDATE(R59,-1)</f>
        <v>44348</v>
      </c>
      <c r="T59" s="3448">
        <f t="shared" ref="T59" si="21">EDATE(S59,-1)</f>
        <v>44317</v>
      </c>
      <c r="U59" s="3448">
        <f t="shared" ref="U59" si="22">EDATE(T59,-1)</f>
        <v>44287</v>
      </c>
      <c r="V59" s="3448">
        <f t="shared" ref="V59" si="23">EDATE(U59,-1)</f>
        <v>44256</v>
      </c>
      <c r="W59" s="3448">
        <f t="shared" ref="W59" si="24">EDATE(V59,-1)</f>
        <v>44228</v>
      </c>
      <c r="X59" s="3448">
        <f t="shared" ref="X59" si="25">EDATE(W59,-1)</f>
        <v>44197</v>
      </c>
      <c r="Y59" s="3448">
        <f t="shared" ref="Y59" si="26">EDATE(X59,-1)</f>
        <v>44166</v>
      </c>
      <c r="Z59" s="3448">
        <f t="shared" ref="Z59" si="27">EDATE(Y59,-1)</f>
        <v>44136</v>
      </c>
      <c r="AA59" s="3448">
        <f t="shared" ref="AA59" si="28">EDATE(Z59,-1)</f>
        <v>44105</v>
      </c>
      <c r="AB59" s="3448">
        <f t="shared" ref="AB59" si="29">EDATE(AA59,-1)</f>
        <v>44075</v>
      </c>
      <c r="AC59" s="2736"/>
    </row>
    <row r="60" spans="1:29" s="108" customFormat="1" ht="15">
      <c r="A60" s="458"/>
      <c r="B60" s="459"/>
      <c r="C60" s="1182">
        <v>100</v>
      </c>
      <c r="D60" s="461">
        <v>100</v>
      </c>
      <c r="E60" s="461">
        <v>100</v>
      </c>
      <c r="F60" s="461">
        <v>99.8</v>
      </c>
      <c r="G60" s="461">
        <v>99.8</v>
      </c>
      <c r="H60" s="461">
        <v>99.8</v>
      </c>
      <c r="I60" s="461">
        <v>99.6</v>
      </c>
      <c r="J60" s="461">
        <v>99.6</v>
      </c>
      <c r="K60" s="461">
        <v>99.6</v>
      </c>
      <c r="L60" s="461">
        <v>99.4</v>
      </c>
      <c r="M60" s="462">
        <v>99.4</v>
      </c>
      <c r="N60" s="461">
        <v>99.4</v>
      </c>
      <c r="O60" s="462">
        <v>99.2</v>
      </c>
      <c r="P60" s="462">
        <v>99.2</v>
      </c>
      <c r="Q60" s="2656">
        <v>99.2</v>
      </c>
      <c r="R60" s="2656">
        <v>99</v>
      </c>
      <c r="S60" s="2656">
        <v>99</v>
      </c>
      <c r="T60" s="2656">
        <v>99</v>
      </c>
      <c r="U60" s="2656">
        <v>98.8</v>
      </c>
      <c r="V60" s="2656">
        <v>98.8</v>
      </c>
      <c r="W60" s="2656">
        <v>98.8</v>
      </c>
      <c r="X60" s="2656">
        <v>98.6</v>
      </c>
      <c r="Y60" s="2656">
        <v>98.6</v>
      </c>
      <c r="Z60" s="2656">
        <v>98.6</v>
      </c>
      <c r="AA60" s="2656">
        <v>98.4</v>
      </c>
      <c r="AB60" s="2656">
        <v>98.4</v>
      </c>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t="str">
        <f>C9</f>
        <v>办公</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30">D69&amp;"（含）"&amp;"-"&amp;E69</f>
        <v>3（含）-</v>
      </c>
      <c r="E68" s="496" t="str">
        <f t="shared" si="30"/>
        <v>（含）-</v>
      </c>
      <c r="F68" s="496" t="str">
        <f t="shared" si="30"/>
        <v>（含）-</v>
      </c>
      <c r="G68" s="496" t="str">
        <f t="shared" si="30"/>
        <v>（含）-</v>
      </c>
      <c r="H68" s="496" t="str">
        <f t="shared" si="30"/>
        <v>（含）-</v>
      </c>
      <c r="I68" s="496" t="str">
        <f t="shared" si="30"/>
        <v>（含）-</v>
      </c>
      <c r="J68" s="496" t="str">
        <f t="shared" si="30"/>
        <v>（含）-</v>
      </c>
      <c r="K68" s="496" t="str">
        <f t="shared" si="30"/>
        <v>（含）-</v>
      </c>
      <c r="L68" s="496" t="str">
        <f t="shared" si="30"/>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31">C70-$K11</f>
        <v>100</v>
      </c>
      <c r="E70" s="493">
        <f t="shared" si="31"/>
        <v>100</v>
      </c>
      <c r="F70" s="493">
        <f t="shared" si="31"/>
        <v>100</v>
      </c>
      <c r="G70" s="493">
        <f t="shared" si="31"/>
        <v>100</v>
      </c>
      <c r="H70" s="493">
        <f t="shared" si="31"/>
        <v>100</v>
      </c>
      <c r="I70" s="493">
        <f t="shared" si="31"/>
        <v>100</v>
      </c>
      <c r="J70" s="493">
        <f t="shared" si="31"/>
        <v>100</v>
      </c>
      <c r="K70" s="493">
        <f t="shared" si="31"/>
        <v>100</v>
      </c>
      <c r="L70" s="493">
        <f t="shared" si="31"/>
        <v>100</v>
      </c>
      <c r="M70" s="494">
        <f t="shared" si="31"/>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3446" t="s">
        <v>3495</v>
      </c>
      <c r="D87" s="3446" t="s">
        <v>3496</v>
      </c>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32">C88-$K25</f>
        <v>100</v>
      </c>
      <c r="E88" s="493">
        <f t="shared" si="32"/>
        <v>100</v>
      </c>
      <c r="F88" s="493">
        <f t="shared" si="32"/>
        <v>100</v>
      </c>
      <c r="G88" s="493">
        <f t="shared" si="32"/>
        <v>100</v>
      </c>
      <c r="H88" s="493">
        <f t="shared" si="32"/>
        <v>100</v>
      </c>
      <c r="I88" s="493">
        <f t="shared" si="32"/>
        <v>100</v>
      </c>
      <c r="J88" s="493">
        <f t="shared" si="32"/>
        <v>100</v>
      </c>
      <c r="K88" s="493">
        <f t="shared" si="32"/>
        <v>100</v>
      </c>
      <c r="L88" s="493">
        <f t="shared" si="32"/>
        <v>100</v>
      </c>
      <c r="M88" s="493">
        <f t="shared" si="32"/>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3446" t="s">
        <v>3484</v>
      </c>
      <c r="D89" s="3446" t="s">
        <v>3486</v>
      </c>
      <c r="E89" s="3446" t="s">
        <v>3487</v>
      </c>
      <c r="F89" s="1923"/>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98</v>
      </c>
      <c r="E90" s="493">
        <f t="shared" ref="E90:M90" si="33">D90-$K27</f>
        <v>96</v>
      </c>
      <c r="F90" s="493">
        <f t="shared" si="33"/>
        <v>94</v>
      </c>
      <c r="G90" s="493">
        <f t="shared" si="33"/>
        <v>92</v>
      </c>
      <c r="H90" s="493">
        <f t="shared" si="33"/>
        <v>90</v>
      </c>
      <c r="I90" s="493">
        <f t="shared" si="33"/>
        <v>88</v>
      </c>
      <c r="J90" s="493">
        <f t="shared" si="33"/>
        <v>86</v>
      </c>
      <c r="K90" s="493">
        <f t="shared" si="33"/>
        <v>84</v>
      </c>
      <c r="L90" s="493">
        <f t="shared" si="33"/>
        <v>82</v>
      </c>
      <c r="M90" s="493">
        <f t="shared" si="33"/>
        <v>80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3446" t="s">
        <v>3493</v>
      </c>
      <c r="D91" s="3446" t="s">
        <v>3489</v>
      </c>
      <c r="E91" s="3446" t="s">
        <v>3491</v>
      </c>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34">C92-$K28</f>
        <v>99</v>
      </c>
      <c r="E92" s="493">
        <f t="shared" si="34"/>
        <v>98</v>
      </c>
      <c r="F92" s="493">
        <f t="shared" si="34"/>
        <v>97</v>
      </c>
      <c r="G92" s="493">
        <f t="shared" si="34"/>
        <v>96</v>
      </c>
      <c r="H92" s="493">
        <f t="shared" si="34"/>
        <v>95</v>
      </c>
      <c r="I92" s="493">
        <f t="shared" si="34"/>
        <v>94</v>
      </c>
      <c r="J92" s="493">
        <f t="shared" si="34"/>
        <v>93</v>
      </c>
      <c r="K92" s="493">
        <f t="shared" si="34"/>
        <v>92</v>
      </c>
      <c r="L92" s="493">
        <f t="shared" si="34"/>
        <v>91</v>
      </c>
      <c r="M92" s="493">
        <f t="shared" si="34"/>
        <v>90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4"/>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3445" t="s">
        <v>3470</v>
      </c>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35">C102-$K33</f>
        <v>100</v>
      </c>
      <c r="E102" s="493">
        <f t="shared" si="35"/>
        <v>100</v>
      </c>
      <c r="F102" s="493">
        <f t="shared" si="35"/>
        <v>100</v>
      </c>
      <c r="G102" s="493">
        <f t="shared" si="35"/>
        <v>100</v>
      </c>
      <c r="H102" s="493">
        <f t="shared" si="35"/>
        <v>100</v>
      </c>
      <c r="I102" s="493">
        <f t="shared" si="35"/>
        <v>100</v>
      </c>
      <c r="J102" s="493">
        <f t="shared" si="35"/>
        <v>100</v>
      </c>
      <c r="K102" s="493">
        <f t="shared" si="35"/>
        <v>100</v>
      </c>
      <c r="L102" s="493">
        <f t="shared" si="35"/>
        <v>100</v>
      </c>
      <c r="M102" s="494">
        <f t="shared" si="35"/>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0(含)-100</v>
      </c>
      <c r="D103" s="527" t="str">
        <f t="shared" ref="D103:L103" si="36">D104&amp;"(含)"&amp;"-"&amp;E104</f>
        <v>100(含)-200</v>
      </c>
      <c r="E103" s="527" t="str">
        <f t="shared" si="36"/>
        <v>200(含)-300</v>
      </c>
      <c r="F103" s="527" t="str">
        <f t="shared" si="36"/>
        <v>300(含)-</v>
      </c>
      <c r="G103" s="527" t="str">
        <f t="shared" si="36"/>
        <v>(含)-</v>
      </c>
      <c r="H103" s="527" t="str">
        <f t="shared" si="36"/>
        <v>(含)-</v>
      </c>
      <c r="I103" s="527" t="str">
        <f t="shared" si="36"/>
        <v>(含)-</v>
      </c>
      <c r="J103" s="527" t="str">
        <f t="shared" si="36"/>
        <v>(含)-</v>
      </c>
      <c r="K103" s="527" t="str">
        <f t="shared" si="36"/>
        <v>(含)-</v>
      </c>
      <c r="L103" s="527" t="str">
        <f t="shared" si="36"/>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v>0</v>
      </c>
      <c r="D104" s="544">
        <v>100</v>
      </c>
      <c r="E104" s="544">
        <v>200</v>
      </c>
      <c r="F104" s="544">
        <v>300</v>
      </c>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v>100</v>
      </c>
      <c r="D105" s="485">
        <f>C105-2</f>
        <v>98</v>
      </c>
      <c r="E105" s="485">
        <f t="shared" ref="E105:F105" si="37">D105-2</f>
        <v>96</v>
      </c>
      <c r="F105" s="485">
        <f t="shared" si="37"/>
        <v>94</v>
      </c>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3446" t="s">
        <v>3471</v>
      </c>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38">C107-$K35</f>
        <v>100</v>
      </c>
      <c r="E107" s="493">
        <f t="shared" si="38"/>
        <v>100</v>
      </c>
      <c r="F107" s="493">
        <f t="shared" si="38"/>
        <v>100</v>
      </c>
      <c r="G107" s="493">
        <f t="shared" si="38"/>
        <v>100</v>
      </c>
      <c r="H107" s="493">
        <f t="shared" si="38"/>
        <v>100</v>
      </c>
      <c r="I107" s="493">
        <f t="shared" si="38"/>
        <v>100</v>
      </c>
      <c r="J107" s="493">
        <f t="shared" si="38"/>
        <v>100</v>
      </c>
      <c r="K107" s="493">
        <f t="shared" si="38"/>
        <v>100</v>
      </c>
      <c r="L107" s="493">
        <f t="shared" si="38"/>
        <v>100</v>
      </c>
      <c r="M107" s="494">
        <f t="shared" si="38"/>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3446" t="s">
        <v>3472</v>
      </c>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39">C109-$K36</f>
        <v>100</v>
      </c>
      <c r="E109" s="493">
        <f t="shared" si="39"/>
        <v>100</v>
      </c>
      <c r="F109" s="493">
        <f t="shared" si="39"/>
        <v>100</v>
      </c>
      <c r="G109" s="493">
        <f t="shared" si="39"/>
        <v>100</v>
      </c>
      <c r="H109" s="493">
        <f t="shared" si="39"/>
        <v>100</v>
      </c>
      <c r="I109" s="493">
        <f t="shared" si="39"/>
        <v>100</v>
      </c>
      <c r="J109" s="493">
        <f t="shared" si="39"/>
        <v>100</v>
      </c>
      <c r="K109" s="493">
        <f t="shared" si="39"/>
        <v>100</v>
      </c>
      <c r="L109" s="493">
        <f t="shared" si="39"/>
        <v>100</v>
      </c>
      <c r="M109" s="494">
        <f t="shared" si="39"/>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40">D112+$K37</f>
        <v>100</v>
      </c>
      <c r="F112" s="493">
        <f t="shared" si="40"/>
        <v>100</v>
      </c>
      <c r="G112" s="493">
        <f t="shared" si="40"/>
        <v>100</v>
      </c>
      <c r="H112" s="493">
        <f t="shared" si="40"/>
        <v>100</v>
      </c>
      <c r="I112" s="493">
        <f t="shared" si="40"/>
        <v>100</v>
      </c>
      <c r="J112" s="493">
        <f t="shared" si="40"/>
        <v>100</v>
      </c>
      <c r="K112" s="493">
        <f t="shared" si="40"/>
        <v>100</v>
      </c>
      <c r="L112" s="493">
        <f t="shared" si="40"/>
        <v>100</v>
      </c>
      <c r="M112" s="493">
        <f t="shared" si="40"/>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3446" t="s">
        <v>3473</v>
      </c>
      <c r="D113" s="3446" t="s">
        <v>3475</v>
      </c>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41">D114-$K38</f>
        <v>100</v>
      </c>
      <c r="F114" s="493">
        <f t="shared" si="41"/>
        <v>100</v>
      </c>
      <c r="G114" s="493">
        <f t="shared" si="41"/>
        <v>100</v>
      </c>
      <c r="H114" s="493">
        <f t="shared" si="41"/>
        <v>100</v>
      </c>
      <c r="I114" s="493">
        <f t="shared" si="41"/>
        <v>100</v>
      </c>
      <c r="J114" s="493">
        <f t="shared" si="41"/>
        <v>100</v>
      </c>
      <c r="K114" s="493">
        <f t="shared" si="41"/>
        <v>100</v>
      </c>
      <c r="L114" s="493">
        <f t="shared" si="41"/>
        <v>100</v>
      </c>
      <c r="M114" s="493">
        <f t="shared" si="41"/>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3446" t="s">
        <v>3476</v>
      </c>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42">C116-$K39</f>
        <v>100</v>
      </c>
      <c r="E116" s="493">
        <f t="shared" si="42"/>
        <v>100</v>
      </c>
      <c r="F116" s="493">
        <f t="shared" si="42"/>
        <v>100</v>
      </c>
      <c r="G116" s="493">
        <f t="shared" si="42"/>
        <v>100</v>
      </c>
      <c r="H116" s="493">
        <f t="shared" si="42"/>
        <v>100</v>
      </c>
      <c r="I116" s="493">
        <f t="shared" si="42"/>
        <v>100</v>
      </c>
      <c r="J116" s="493">
        <f t="shared" si="42"/>
        <v>100</v>
      </c>
      <c r="K116" s="493">
        <f t="shared" si="42"/>
        <v>100</v>
      </c>
      <c r="L116" s="493">
        <f t="shared" si="42"/>
        <v>100</v>
      </c>
      <c r="M116" s="494">
        <f t="shared" si="42"/>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3446" t="s">
        <v>3477</v>
      </c>
      <c r="D117" s="3446" t="s">
        <v>3478</v>
      </c>
      <c r="E117" s="3446" t="s">
        <v>3480</v>
      </c>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4"/>
      <c r="M119" s="1965"/>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43">D120-$K41</f>
        <v>100</v>
      </c>
      <c r="F120" s="493">
        <f t="shared" si="43"/>
        <v>100</v>
      </c>
      <c r="G120" s="493">
        <f t="shared" si="43"/>
        <v>100</v>
      </c>
      <c r="H120" s="493">
        <f t="shared" si="43"/>
        <v>100</v>
      </c>
      <c r="I120" s="493">
        <f t="shared" si="43"/>
        <v>100</v>
      </c>
      <c r="J120" s="493">
        <f t="shared" si="43"/>
        <v>100</v>
      </c>
      <c r="K120" s="493">
        <f t="shared" si="43"/>
        <v>100</v>
      </c>
      <c r="L120" s="493">
        <f t="shared" si="43"/>
        <v>100</v>
      </c>
      <c r="M120" s="493">
        <f t="shared" si="43"/>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3446" t="s">
        <v>3472</v>
      </c>
      <c r="D123" s="3446" t="s">
        <v>3482</v>
      </c>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44">C124-$K43</f>
        <v>100</v>
      </c>
      <c r="E124" s="493">
        <f t="shared" si="44"/>
        <v>100</v>
      </c>
      <c r="F124" s="493">
        <f t="shared" si="44"/>
        <v>100</v>
      </c>
      <c r="G124" s="493">
        <f t="shared" si="44"/>
        <v>100</v>
      </c>
      <c r="H124" s="493">
        <f t="shared" si="44"/>
        <v>100</v>
      </c>
      <c r="I124" s="493">
        <f t="shared" si="44"/>
        <v>100</v>
      </c>
      <c r="J124" s="493">
        <f t="shared" si="44"/>
        <v>100</v>
      </c>
      <c r="K124" s="493">
        <f t="shared" si="44"/>
        <v>100</v>
      </c>
      <c r="L124" s="493">
        <f t="shared" si="44"/>
        <v>100</v>
      </c>
      <c r="M124" s="494">
        <f t="shared" si="44"/>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4"/>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1826</v>
      </c>
      <c r="C1" s="1223" t="s">
        <v>1662</v>
      </c>
      <c r="D1" s="1224"/>
      <c r="E1" s="3428"/>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459.68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6" t="s">
        <v>1770</v>
      </c>
      <c r="D4" s="3707"/>
      <c r="E4" s="3708" t="s">
        <v>1771</v>
      </c>
      <c r="F4" s="3709"/>
      <c r="G4" s="3706" t="s">
        <v>1772</v>
      </c>
      <c r="H4" s="3707"/>
      <c r="I4" s="3706" t="s">
        <v>1773</v>
      </c>
      <c r="J4" s="3707"/>
      <c r="K4" s="559" t="s">
        <v>1774</v>
      </c>
      <c r="L4" s="913"/>
      <c r="M4" s="914"/>
      <c r="N4" s="914"/>
      <c r="O4" s="914"/>
      <c r="P4" s="3710" t="s">
        <v>1775</v>
      </c>
      <c r="Q4" s="3711"/>
      <c r="R4" s="3692" t="s">
        <v>1771</v>
      </c>
      <c r="S4" s="3693"/>
      <c r="T4" s="3692" t="s">
        <v>1772</v>
      </c>
      <c r="U4" s="3693"/>
      <c r="V4" s="3718" t="s">
        <v>1773</v>
      </c>
      <c r="W4" s="3718"/>
      <c r="X4" s="1354"/>
      <c r="Y4" s="3692" t="s">
        <v>1775</v>
      </c>
      <c r="Z4" s="3693"/>
      <c r="AA4" s="3687" t="s">
        <v>1771</v>
      </c>
      <c r="AB4" s="3688" t="s">
        <v>1772</v>
      </c>
      <c r="AC4" s="3687" t="s">
        <v>1773</v>
      </c>
    </row>
    <row r="5" spans="1:29" ht="15">
      <c r="A5" s="358"/>
      <c r="B5" s="359"/>
      <c r="C5" s="3702" t="s">
        <v>1673</v>
      </c>
      <c r="D5" s="3699"/>
      <c r="E5" s="3696" t="s">
        <v>1674</v>
      </c>
      <c r="F5" s="3697"/>
      <c r="G5" s="3702" t="s">
        <v>1675</v>
      </c>
      <c r="H5" s="3699"/>
      <c r="I5" s="3702" t="s">
        <v>1676</v>
      </c>
      <c r="J5" s="3699"/>
      <c r="K5" s="559"/>
      <c r="L5" s="913"/>
      <c r="M5" s="914"/>
      <c r="N5" s="914"/>
      <c r="O5" s="914"/>
      <c r="P5" s="3712"/>
      <c r="Q5" s="3713"/>
      <c r="R5" s="3694"/>
      <c r="S5" s="3695"/>
      <c r="T5" s="3694"/>
      <c r="U5" s="3695"/>
      <c r="V5" s="3718"/>
      <c r="W5" s="3718"/>
      <c r="X5" s="1354"/>
      <c r="Y5" s="3694"/>
      <c r="Z5" s="3695"/>
      <c r="AA5" s="3688"/>
      <c r="AB5" s="3688"/>
      <c r="AC5" s="3688"/>
    </row>
    <row r="6" spans="1:29" ht="15.75" thickBot="1">
      <c r="A6" s="360"/>
      <c r="B6" s="361"/>
      <c r="C6" s="3700" t="s">
        <v>1677</v>
      </c>
      <c r="D6" s="3701"/>
      <c r="E6" s="3703" t="s">
        <v>1677</v>
      </c>
      <c r="F6" s="3704"/>
      <c r="G6" s="3700" t="s">
        <v>1677</v>
      </c>
      <c r="H6" s="3701"/>
      <c r="I6" s="3700" t="s">
        <v>1677</v>
      </c>
      <c r="J6" s="3701"/>
      <c r="K6" s="559" t="s">
        <v>1678</v>
      </c>
      <c r="L6" s="913"/>
      <c r="M6" s="914"/>
      <c r="N6" s="914"/>
      <c r="O6" s="914"/>
      <c r="P6" s="3714"/>
      <c r="Q6" s="3715"/>
      <c r="R6" s="3694"/>
      <c r="S6" s="3695"/>
      <c r="T6" s="3716"/>
      <c r="U6" s="3717"/>
      <c r="V6" s="3718"/>
      <c r="W6" s="3718"/>
      <c r="X6" s="1354"/>
      <c r="Y6" s="3716"/>
      <c r="Z6" s="3717"/>
      <c r="AA6" s="3689"/>
      <c r="AB6" s="3689"/>
      <c r="AC6" s="3689"/>
    </row>
    <row r="7" spans="1:29" s="108" customFormat="1" ht="15.75" thickBot="1">
      <c r="A7" s="362" t="s">
        <v>1679</v>
      </c>
      <c r="B7" s="363"/>
      <c r="C7" s="364">
        <f>'数据-取费表'!B2</f>
        <v>44845</v>
      </c>
      <c r="D7" s="365">
        <v>100</v>
      </c>
      <c r="E7" s="366"/>
      <c r="F7" s="367">
        <f>SUMIF(52:52,YEAR(E7)&amp;"-"&amp;MONTH(E7),53:53)</f>
        <v>0</v>
      </c>
      <c r="G7" s="366"/>
      <c r="H7" s="365">
        <f>SUMIF(52:52,YEAR(G7)&amp;"-"&amp;MONTH(G7),53:53)</f>
        <v>0</v>
      </c>
      <c r="I7" s="366"/>
      <c r="J7" s="365">
        <f>SUMIF(52:52,YEAR(I7)&amp;"-"&amp;MONTH(I7),53:53)</f>
        <v>0</v>
      </c>
      <c r="K7" s="560"/>
      <c r="L7" s="915"/>
      <c r="M7" s="916"/>
      <c r="N7" s="916"/>
      <c r="O7" s="916"/>
      <c r="P7" s="3690" t="s">
        <v>1680</v>
      </c>
      <c r="Q7" s="3719"/>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0" t="s">
        <v>1683</v>
      </c>
      <c r="Q8" s="3691"/>
      <c r="R8" s="701" t="s">
        <v>14</v>
      </c>
      <c r="S8" s="702">
        <f t="shared" si="0"/>
        <v>100</v>
      </c>
      <c r="T8" s="701" t="s">
        <v>14</v>
      </c>
      <c r="U8" s="702">
        <f t="shared" si="1"/>
        <v>100</v>
      </c>
      <c r="V8" s="701" t="s">
        <v>14</v>
      </c>
      <c r="W8" s="702">
        <f t="shared" si="2"/>
        <v>100</v>
      </c>
      <c r="X8" s="703"/>
      <c r="Y8" s="3690" t="s">
        <v>1683</v>
      </c>
      <c r="Z8" s="369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3"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723"/>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3"/>
      <c r="Q11" s="1342" t="str">
        <f t="shared" si="6"/>
        <v>容积率</v>
      </c>
      <c r="R11" s="701" t="s">
        <v>14</v>
      </c>
      <c r="S11" s="702">
        <f t="shared" si="0"/>
        <v>100</v>
      </c>
      <c r="T11" s="701" t="s">
        <v>14</v>
      </c>
      <c r="U11" s="702">
        <f t="shared" si="1"/>
        <v>100</v>
      </c>
      <c r="V11" s="701" t="s">
        <v>14</v>
      </c>
      <c r="W11" s="702">
        <f t="shared" si="2"/>
        <v>100</v>
      </c>
      <c r="X11" s="703"/>
      <c r="Y11" s="3634"/>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723"/>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723"/>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723"/>
      <c r="Q14" s="1342">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5" t="s">
        <v>1691</v>
      </c>
      <c r="Q15" s="1351" t="str">
        <f t="shared" si="6"/>
        <v>产业集聚程度</v>
      </c>
      <c r="R15" s="705" t="s">
        <v>14</v>
      </c>
      <c r="S15" s="706">
        <f t="shared" si="0"/>
        <v>100</v>
      </c>
      <c r="T15" s="705" t="s">
        <v>14</v>
      </c>
      <c r="U15" s="706">
        <f t="shared" si="1"/>
        <v>100</v>
      </c>
      <c r="V15" s="705" t="s">
        <v>14</v>
      </c>
      <c r="W15" s="706">
        <f t="shared" si="2"/>
        <v>100</v>
      </c>
      <c r="X15" s="1354"/>
      <c r="Y15" s="3725"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26"/>
      <c r="Q16" s="1351"/>
      <c r="R16" s="705"/>
      <c r="S16" s="706"/>
      <c r="T16" s="705"/>
      <c r="U16" s="706"/>
      <c r="V16" s="705"/>
      <c r="W16" s="706"/>
      <c r="X16" s="1354"/>
      <c r="Y16" s="3726"/>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6"/>
      <c r="Q17" s="1351" t="str">
        <f>B17</f>
        <v>交通便捷度</v>
      </c>
      <c r="R17" s="705" t="s">
        <v>14</v>
      </c>
      <c r="S17" s="706">
        <f>F17</f>
        <v>100</v>
      </c>
      <c r="T17" s="705" t="s">
        <v>14</v>
      </c>
      <c r="U17" s="706">
        <f>H17</f>
        <v>100</v>
      </c>
      <c r="V17" s="705" t="s">
        <v>14</v>
      </c>
      <c r="W17" s="706">
        <f>J17</f>
        <v>100</v>
      </c>
      <c r="X17" s="1354"/>
      <c r="Y17" s="3726"/>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726"/>
      <c r="Q18" s="1351"/>
      <c r="R18" s="705"/>
      <c r="S18" s="706"/>
      <c r="T18" s="705"/>
      <c r="U18" s="706"/>
      <c r="V18" s="705"/>
      <c r="W18" s="706"/>
      <c r="X18" s="1354"/>
      <c r="Y18" s="3726"/>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6"/>
      <c r="Q19" s="1351" t="str">
        <f>B19</f>
        <v>公共配套设施</v>
      </c>
      <c r="R19" s="705" t="s">
        <v>14</v>
      </c>
      <c r="S19" s="706">
        <f>F19</f>
        <v>100</v>
      </c>
      <c r="T19" s="705" t="s">
        <v>14</v>
      </c>
      <c r="U19" s="706">
        <f>H19</f>
        <v>100</v>
      </c>
      <c r="V19" s="705" t="s">
        <v>14</v>
      </c>
      <c r="W19" s="706">
        <f>J19</f>
        <v>100</v>
      </c>
      <c r="X19" s="1354"/>
      <c r="Y19" s="3726"/>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726"/>
      <c r="Q20" s="1351"/>
      <c r="R20" s="705"/>
      <c r="S20" s="706"/>
      <c r="T20" s="705"/>
      <c r="U20" s="706"/>
      <c r="V20" s="705"/>
      <c r="W20" s="706"/>
      <c r="X20" s="1354"/>
      <c r="Y20" s="3726"/>
      <c r="Z20" s="1355"/>
      <c r="AA20" s="1352">
        <v>1</v>
      </c>
      <c r="AB20" s="1352">
        <v>1</v>
      </c>
      <c r="AC20" s="1352">
        <v>1</v>
      </c>
    </row>
    <row r="21" spans="1:29" ht="28.5">
      <c r="A21" s="379"/>
      <c r="B21" s="1131"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6"/>
      <c r="Q21" s="1351" t="str">
        <f>B21</f>
        <v>基础设施水平</v>
      </c>
      <c r="R21" s="705" t="s">
        <v>14</v>
      </c>
      <c r="S21" s="706">
        <f>F21</f>
        <v>100</v>
      </c>
      <c r="T21" s="705" t="s">
        <v>14</v>
      </c>
      <c r="U21" s="706">
        <f>H21</f>
        <v>100</v>
      </c>
      <c r="V21" s="705" t="s">
        <v>14</v>
      </c>
      <c r="W21" s="706">
        <f>J21</f>
        <v>100</v>
      </c>
      <c r="X21" s="1354"/>
      <c r="Y21" s="3726"/>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923"/>
      <c r="M22" s="914"/>
      <c r="N22" s="914"/>
      <c r="O22" s="922"/>
      <c r="P22" s="3726"/>
      <c r="Q22" s="1351"/>
      <c r="R22" s="705"/>
      <c r="S22" s="706"/>
      <c r="T22" s="705"/>
      <c r="U22" s="706"/>
      <c r="V22" s="705"/>
      <c r="W22" s="706"/>
      <c r="X22" s="1354"/>
      <c r="Y22" s="3726"/>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6"/>
      <c r="Q23" s="1351" t="str">
        <f>B23</f>
        <v>环境质量</v>
      </c>
      <c r="R23" s="705" t="s">
        <v>14</v>
      </c>
      <c r="S23" s="706">
        <f>F23</f>
        <v>100</v>
      </c>
      <c r="T23" s="705" t="s">
        <v>14</v>
      </c>
      <c r="U23" s="706">
        <f>H23</f>
        <v>100</v>
      </c>
      <c r="V23" s="705" t="s">
        <v>14</v>
      </c>
      <c r="W23" s="706">
        <f>J23</f>
        <v>100</v>
      </c>
      <c r="X23" s="1354"/>
      <c r="Y23" s="3726"/>
      <c r="Z23" s="1355" t="str">
        <f>Q23</f>
        <v>环境质量</v>
      </c>
      <c r="AA23" s="1352">
        <f t="shared" si="3"/>
        <v>1</v>
      </c>
      <c r="AB23" s="1352">
        <f t="shared" si="4"/>
        <v>1</v>
      </c>
      <c r="AC23" s="1352">
        <f t="shared" si="5"/>
        <v>1</v>
      </c>
    </row>
    <row r="24" spans="1:29" ht="15">
      <c r="A24" s="379"/>
      <c r="B24" s="1131"/>
      <c r="C24" s="398"/>
      <c r="D24" s="399"/>
      <c r="E24" s="1896"/>
      <c r="F24" s="400"/>
      <c r="G24" s="1895"/>
      <c r="H24" s="399"/>
      <c r="I24" s="1896"/>
      <c r="J24" s="399"/>
      <c r="K24" s="564"/>
      <c r="L24" s="923"/>
      <c r="M24" s="914"/>
      <c r="N24" s="914"/>
      <c r="O24" s="922"/>
      <c r="P24" s="3726"/>
      <c r="Q24" s="1351"/>
      <c r="R24" s="705"/>
      <c r="S24" s="706"/>
      <c r="T24" s="705"/>
      <c r="U24" s="706"/>
      <c r="V24" s="705"/>
      <c r="W24" s="706"/>
      <c r="X24" s="1354"/>
      <c r="Y24" s="3726"/>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6"/>
      <c r="Q25" s="1351">
        <f>B25</f>
        <v>111</v>
      </c>
      <c r="R25" s="705" t="s">
        <v>14</v>
      </c>
      <c r="S25" s="706">
        <f>F25</f>
        <v>100</v>
      </c>
      <c r="T25" s="705" t="s">
        <v>14</v>
      </c>
      <c r="U25" s="706">
        <f>H25</f>
        <v>100</v>
      </c>
      <c r="V25" s="705" t="s">
        <v>14</v>
      </c>
      <c r="W25" s="706">
        <f>J25</f>
        <v>100</v>
      </c>
      <c r="X25" s="1354"/>
      <c r="Y25" s="3726"/>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6"/>
      <c r="Q26" s="1351">
        <f t="shared" ref="Q26:Q40" si="11">B26</f>
        <v>111</v>
      </c>
      <c r="R26" s="705" t="s">
        <v>14</v>
      </c>
      <c r="S26" s="706">
        <f>F26</f>
        <v>100</v>
      </c>
      <c r="T26" s="705" t="s">
        <v>14</v>
      </c>
      <c r="U26" s="706">
        <f>H26</f>
        <v>100</v>
      </c>
      <c r="V26" s="705" t="s">
        <v>14</v>
      </c>
      <c r="W26" s="706">
        <f>J26</f>
        <v>100</v>
      </c>
      <c r="X26" s="1354"/>
      <c r="Y26" s="3726"/>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6"/>
      <c r="Q27" s="1342">
        <f t="shared" si="11"/>
        <v>111</v>
      </c>
      <c r="R27" s="701" t="s">
        <v>14</v>
      </c>
      <c r="S27" s="702">
        <f>F27</f>
        <v>100</v>
      </c>
      <c r="T27" s="701" t="s">
        <v>14</v>
      </c>
      <c r="U27" s="702">
        <f>H27</f>
        <v>100</v>
      </c>
      <c r="V27" s="701" t="s">
        <v>14</v>
      </c>
      <c r="W27" s="702">
        <f>J27</f>
        <v>100</v>
      </c>
      <c r="X27" s="703"/>
      <c r="Y27" s="3726"/>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6"/>
      <c r="Q28" s="1351">
        <f t="shared" si="11"/>
        <v>111</v>
      </c>
      <c r="R28" s="705" t="s">
        <v>14</v>
      </c>
      <c r="S28" s="706">
        <f t="shared" ref="S28:S40" si="12">F28</f>
        <v>100</v>
      </c>
      <c r="T28" s="705" t="s">
        <v>14</v>
      </c>
      <c r="U28" s="706">
        <f t="shared" ref="U28:U40" si="13">H28</f>
        <v>100</v>
      </c>
      <c r="V28" s="705" t="s">
        <v>14</v>
      </c>
      <c r="W28" s="706">
        <f t="shared" ref="W28:W40" si="14">J28</f>
        <v>100</v>
      </c>
      <c r="X28" s="1354"/>
      <c r="Y28" s="3726"/>
      <c r="Z28" s="1355">
        <f t="shared" ref="Z28:Z40" si="15">Q28</f>
        <v>111</v>
      </c>
      <c r="AA28" s="1352">
        <f t="shared" si="3"/>
        <v>1</v>
      </c>
      <c r="AB28" s="1352">
        <f t="shared" si="4"/>
        <v>1</v>
      </c>
      <c r="AC28" s="1352">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3"/>
      <c r="M29" s="914"/>
      <c r="N29" s="914"/>
      <c r="O29" s="922"/>
      <c r="P29" s="3749" t="s">
        <v>1696</v>
      </c>
      <c r="Q29" s="1351" t="str">
        <f t="shared" si="11"/>
        <v>建筑类型</v>
      </c>
      <c r="R29" s="705" t="s">
        <v>14</v>
      </c>
      <c r="S29" s="706">
        <f t="shared" si="12"/>
        <v>100</v>
      </c>
      <c r="T29" s="705" t="s">
        <v>14</v>
      </c>
      <c r="U29" s="706">
        <f t="shared" si="13"/>
        <v>100</v>
      </c>
      <c r="V29" s="705" t="s">
        <v>14</v>
      </c>
      <c r="W29" s="706">
        <f t="shared" si="14"/>
        <v>100</v>
      </c>
      <c r="X29" s="1354"/>
      <c r="Y29" s="3730"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30"/>
      <c r="Q30" s="707" t="str">
        <f t="shared" si="11"/>
        <v>项目建筑规模</v>
      </c>
      <c r="R30" s="708" t="s">
        <v>14</v>
      </c>
      <c r="S30" s="709" t="e">
        <f t="shared" si="12"/>
        <v>#N/A</v>
      </c>
      <c r="T30" s="708" t="s">
        <v>14</v>
      </c>
      <c r="U30" s="709" t="e">
        <f t="shared" si="13"/>
        <v>#N/A</v>
      </c>
      <c r="V30" s="708" t="s">
        <v>14</v>
      </c>
      <c r="W30" s="709" t="e">
        <f t="shared" si="14"/>
        <v>#N/A</v>
      </c>
      <c r="X30" s="710"/>
      <c r="Y30" s="3730"/>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0"/>
      <c r="Q31" s="1351" t="str">
        <f t="shared" si="11"/>
        <v>建筑结构</v>
      </c>
      <c r="R31" s="705" t="s">
        <v>14</v>
      </c>
      <c r="S31" s="706">
        <f t="shared" si="12"/>
        <v>100</v>
      </c>
      <c r="T31" s="705" t="s">
        <v>14</v>
      </c>
      <c r="U31" s="706">
        <f t="shared" si="13"/>
        <v>100</v>
      </c>
      <c r="V31" s="705" t="s">
        <v>14</v>
      </c>
      <c r="W31" s="706">
        <f t="shared" si="14"/>
        <v>100</v>
      </c>
      <c r="X31" s="1354"/>
      <c r="Y31" s="3730"/>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0"/>
      <c r="Q32" s="1351" t="str">
        <f t="shared" si="11"/>
        <v>公共部分装修</v>
      </c>
      <c r="R32" s="705" t="s">
        <v>14</v>
      </c>
      <c r="S32" s="706">
        <f t="shared" si="12"/>
        <v>100</v>
      </c>
      <c r="T32" s="705" t="s">
        <v>14</v>
      </c>
      <c r="U32" s="706">
        <f t="shared" si="13"/>
        <v>100</v>
      </c>
      <c r="V32" s="705" t="s">
        <v>14</v>
      </c>
      <c r="W32" s="706">
        <f t="shared" si="14"/>
        <v>100</v>
      </c>
      <c r="X32" s="1354"/>
      <c r="Y32" s="3730"/>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30"/>
      <c r="Q33" s="1351" t="str">
        <f t="shared" si="11"/>
        <v>成新度</v>
      </c>
      <c r="R33" s="705" t="s">
        <v>14</v>
      </c>
      <c r="S33" s="706" t="e">
        <f t="shared" si="12"/>
        <v>#N/A</v>
      </c>
      <c r="T33" s="705" t="s">
        <v>14</v>
      </c>
      <c r="U33" s="706" t="e">
        <f t="shared" si="13"/>
        <v>#N/A</v>
      </c>
      <c r="V33" s="705" t="s">
        <v>14</v>
      </c>
      <c r="W33" s="706" t="e">
        <f t="shared" si="14"/>
        <v>#N/A</v>
      </c>
      <c r="X33" s="1354"/>
      <c r="Y33" s="3730"/>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0"/>
      <c r="Q34" s="1342" t="str">
        <f t="shared" si="11"/>
        <v>物业管理</v>
      </c>
      <c r="R34" s="701" t="s">
        <v>14</v>
      </c>
      <c r="S34" s="702">
        <f t="shared" si="12"/>
        <v>100</v>
      </c>
      <c r="T34" s="701" t="s">
        <v>14</v>
      </c>
      <c r="U34" s="702">
        <f t="shared" si="13"/>
        <v>100</v>
      </c>
      <c r="V34" s="701" t="s">
        <v>14</v>
      </c>
      <c r="W34" s="702">
        <f t="shared" si="14"/>
        <v>100</v>
      </c>
      <c r="X34" s="703"/>
      <c r="Y34" s="373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0" t="s">
        <v>1696</v>
      </c>
      <c r="Q35" s="1351" t="str">
        <f t="shared" si="11"/>
        <v>市政基础设施</v>
      </c>
      <c r="R35" s="705" t="s">
        <v>14</v>
      </c>
      <c r="S35" s="706">
        <f t="shared" si="12"/>
        <v>100</v>
      </c>
      <c r="T35" s="705" t="s">
        <v>14</v>
      </c>
      <c r="U35" s="706">
        <f t="shared" si="13"/>
        <v>100</v>
      </c>
      <c r="V35" s="705" t="s">
        <v>14</v>
      </c>
      <c r="W35" s="706">
        <f t="shared" si="14"/>
        <v>100</v>
      </c>
      <c r="X35" s="1354"/>
      <c r="Y35" s="3730"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0"/>
      <c r="Q36" s="1351" t="str">
        <f t="shared" si="11"/>
        <v>内部装修</v>
      </c>
      <c r="R36" s="705" t="s">
        <v>14</v>
      </c>
      <c r="S36" s="706">
        <f t="shared" si="12"/>
        <v>100</v>
      </c>
      <c r="T36" s="705" t="s">
        <v>14</v>
      </c>
      <c r="U36" s="706">
        <f t="shared" si="13"/>
        <v>100</v>
      </c>
      <c r="V36" s="705" t="s">
        <v>14</v>
      </c>
      <c r="W36" s="706">
        <f t="shared" si="14"/>
        <v>100</v>
      </c>
      <c r="X36" s="1354"/>
      <c r="Y36" s="3730"/>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0"/>
      <c r="Q37" s="1351" t="str">
        <f t="shared" si="11"/>
        <v>内部装修状况</v>
      </c>
      <c r="R37" s="705" t="s">
        <v>14</v>
      </c>
      <c r="S37" s="706">
        <f t="shared" si="12"/>
        <v>100</v>
      </c>
      <c r="T37" s="705" t="s">
        <v>14</v>
      </c>
      <c r="U37" s="706">
        <f t="shared" si="13"/>
        <v>100</v>
      </c>
      <c r="V37" s="705" t="s">
        <v>14</v>
      </c>
      <c r="W37" s="706">
        <f t="shared" si="14"/>
        <v>100</v>
      </c>
      <c r="X37" s="1354"/>
      <c r="Y37" s="3730"/>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30"/>
      <c r="Q38" s="707">
        <f t="shared" si="11"/>
        <v>111</v>
      </c>
      <c r="R38" s="708" t="s">
        <v>14</v>
      </c>
      <c r="S38" s="709">
        <f t="shared" si="12"/>
        <v>100</v>
      </c>
      <c r="T38" s="708" t="s">
        <v>14</v>
      </c>
      <c r="U38" s="709">
        <f t="shared" si="13"/>
        <v>100</v>
      </c>
      <c r="V38" s="708" t="s">
        <v>14</v>
      </c>
      <c r="W38" s="709">
        <f t="shared" si="14"/>
        <v>100</v>
      </c>
      <c r="X38" s="710"/>
      <c r="Y38" s="3730"/>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0"/>
      <c r="Q39" s="1351">
        <f t="shared" si="11"/>
        <v>111</v>
      </c>
      <c r="R39" s="705" t="s">
        <v>14</v>
      </c>
      <c r="S39" s="706">
        <f t="shared" si="12"/>
        <v>100</v>
      </c>
      <c r="T39" s="705" t="s">
        <v>14</v>
      </c>
      <c r="U39" s="706">
        <f t="shared" si="13"/>
        <v>100</v>
      </c>
      <c r="V39" s="705" t="s">
        <v>14</v>
      </c>
      <c r="W39" s="706">
        <f t="shared" si="14"/>
        <v>100</v>
      </c>
      <c r="X39" s="1354"/>
      <c r="Y39" s="3730"/>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1"/>
      <c r="Q40" s="1351">
        <f t="shared" si="11"/>
        <v>111</v>
      </c>
      <c r="R40" s="705" t="s">
        <v>14</v>
      </c>
      <c r="S40" s="706">
        <f t="shared" si="12"/>
        <v>100</v>
      </c>
      <c r="T40" s="705" t="s">
        <v>14</v>
      </c>
      <c r="U40" s="706">
        <f t="shared" si="13"/>
        <v>100</v>
      </c>
      <c r="V40" s="705" t="s">
        <v>14</v>
      </c>
      <c r="W40" s="706">
        <f t="shared" si="14"/>
        <v>100</v>
      </c>
      <c r="X40" s="1354"/>
      <c r="Y40" s="3731"/>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23" t="str">
        <f>A41</f>
        <v>成交单价（元/平方米）</v>
      </c>
      <c r="Q41" s="3723"/>
      <c r="R41" s="3724">
        <f>E41</f>
        <v>0</v>
      </c>
      <c r="S41" s="3724"/>
      <c r="T41" s="3724">
        <f>G41</f>
        <v>0</v>
      </c>
      <c r="U41" s="3724"/>
      <c r="V41" s="3724">
        <f>I41</f>
        <v>0</v>
      </c>
      <c r="W41" s="3724"/>
      <c r="X41" s="690"/>
      <c r="Y41" s="712"/>
      <c r="Z41" s="690"/>
      <c r="AA41" s="690"/>
      <c r="AB41" s="690"/>
      <c r="AC41" s="690"/>
    </row>
    <row r="42" spans="1:29" ht="15.75" thickBot="1">
      <c r="A42" s="437" t="s">
        <v>1793</v>
      </c>
      <c r="B42" s="438"/>
      <c r="C42" s="1160" t="e">
        <f>R43</f>
        <v>#DIV/0!</v>
      </c>
      <c r="D42" s="2313" t="s">
        <v>2138</v>
      </c>
      <c r="E42" s="1161" t="e">
        <f>R42</f>
        <v>#DIV/0!</v>
      </c>
      <c r="F42" s="2314"/>
      <c r="G42" s="1160" t="e">
        <f>T42</f>
        <v>#DIV/0!</v>
      </c>
      <c r="H42" s="2314"/>
      <c r="I42" s="1161" t="e">
        <f>V42</f>
        <v>#DIV/0!</v>
      </c>
      <c r="J42" s="2314"/>
      <c r="K42" s="2316">
        <f>F42+H42+J42</f>
        <v>0</v>
      </c>
      <c r="L42" s="926"/>
      <c r="M42" s="927"/>
      <c r="N42" s="914"/>
      <c r="O42" s="927"/>
      <c r="P42" s="3723" t="str">
        <f>A42</f>
        <v>比较价值（元/平方米）</v>
      </c>
      <c r="Q42" s="3723"/>
      <c r="R42" s="3724" t="e">
        <f>IF(F1="售价",ROUND(PRODUCT(R41,AA7:AA40),0),ROUND(PRODUCT(R41,AA7:AA40),1))</f>
        <v>#DIV/0!</v>
      </c>
      <c r="S42" s="3724"/>
      <c r="T42" s="3724" t="e">
        <f>IF(F1="售价",ROUND(PRODUCT(T41,AB7:AB40),0),ROUND(PRODUCT(T41,AB7:AB40),1))</f>
        <v>#DIV/0!</v>
      </c>
      <c r="U42" s="3724"/>
      <c r="V42" s="3724" t="e">
        <f>IF(F1="售价",ROUND(PRODUCT(V41,AC7:AC40),0),ROUND(PRODUCT(V41,AC7:AC40),1))</f>
        <v>#DIV/0!</v>
      </c>
      <c r="W42" s="372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0" t="str">
        <f>A43</f>
        <v>估价对象XX用房的比较价值（楼面单价，元/平方米）</v>
      </c>
      <c r="Q43" s="3721"/>
      <c r="R43" s="3722" t="e">
        <f>IF(F1="售价",ROUND(IF(D42="简单平均",AVERAGE(R42:V42),R42*F42+T42*H42+V42*J42),0),ROUND(IF(D42="简单平均",AVERAGE(R42:V42),R42*F42+T42*H42+V42*J42),1))</f>
        <v>#DIV/0!</v>
      </c>
      <c r="S43" s="3722"/>
      <c r="T43" s="3722"/>
      <c r="U43" s="3722"/>
      <c r="V43" s="3722"/>
      <c r="W43" s="3722"/>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2022-10</v>
      </c>
      <c r="D52" s="1184">
        <f>EDATE(C52,-1)</f>
        <v>44805</v>
      </c>
      <c r="E52" s="1184">
        <f t="shared" ref="E52:O52" si="16">EDATE(D52,-1)</f>
        <v>44774</v>
      </c>
      <c r="F52" s="1184">
        <f t="shared" si="16"/>
        <v>44743</v>
      </c>
      <c r="G52" s="1184">
        <f t="shared" si="16"/>
        <v>44713</v>
      </c>
      <c r="H52" s="1184">
        <f t="shared" si="16"/>
        <v>44682</v>
      </c>
      <c r="I52" s="1184">
        <f t="shared" si="16"/>
        <v>44652</v>
      </c>
      <c r="J52" s="1184">
        <f t="shared" si="16"/>
        <v>44621</v>
      </c>
      <c r="K52" s="1184">
        <f t="shared" si="16"/>
        <v>44593</v>
      </c>
      <c r="L52" s="1184">
        <f t="shared" si="16"/>
        <v>44562</v>
      </c>
      <c r="M52" s="1184">
        <f t="shared" si="16"/>
        <v>44531</v>
      </c>
      <c r="N52" s="1184">
        <f t="shared" si="16"/>
        <v>44501</v>
      </c>
      <c r="O52" s="1184">
        <f t="shared" si="16"/>
        <v>44470</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28"/>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706" t="s">
        <v>1770</v>
      </c>
      <c r="D4" s="3707"/>
      <c r="E4" s="3708" t="s">
        <v>1771</v>
      </c>
      <c r="F4" s="3709"/>
      <c r="G4" s="3706" t="s">
        <v>1772</v>
      </c>
      <c r="H4" s="3707"/>
      <c r="I4" s="3706" t="s">
        <v>1773</v>
      </c>
      <c r="J4" s="3707"/>
      <c r="K4" s="559" t="s">
        <v>1774</v>
      </c>
      <c r="L4" s="2710"/>
      <c r="M4" s="2711"/>
      <c r="N4" s="2711"/>
      <c r="O4" s="2711"/>
      <c r="P4" s="3710" t="s">
        <v>1775</v>
      </c>
      <c r="Q4" s="3711"/>
      <c r="R4" s="3692" t="s">
        <v>1771</v>
      </c>
      <c r="S4" s="3693"/>
      <c r="T4" s="3692" t="s">
        <v>1772</v>
      </c>
      <c r="U4" s="3693"/>
      <c r="V4" s="3718" t="s">
        <v>1773</v>
      </c>
      <c r="W4" s="3718"/>
      <c r="X4" s="1354"/>
      <c r="Y4" s="3692" t="s">
        <v>1775</v>
      </c>
      <c r="Z4" s="3693"/>
      <c r="AA4" s="3687" t="s">
        <v>1771</v>
      </c>
      <c r="AB4" s="3688" t="s">
        <v>1772</v>
      </c>
      <c r="AC4" s="3687" t="s">
        <v>1773</v>
      </c>
    </row>
    <row r="5" spans="1:29" ht="15">
      <c r="A5" s="358"/>
      <c r="B5" s="359"/>
      <c r="C5" s="3702" t="s">
        <v>1673</v>
      </c>
      <c r="D5" s="3699"/>
      <c r="E5" s="3696" t="s">
        <v>1674</v>
      </c>
      <c r="F5" s="3697"/>
      <c r="G5" s="3702" t="s">
        <v>1675</v>
      </c>
      <c r="H5" s="3699"/>
      <c r="I5" s="3702" t="s">
        <v>1676</v>
      </c>
      <c r="J5" s="3699"/>
      <c r="K5" s="559"/>
      <c r="L5" s="2710"/>
      <c r="M5" s="2711"/>
      <c r="N5" s="2711"/>
      <c r="O5" s="2711"/>
      <c r="P5" s="3712"/>
      <c r="Q5" s="3713"/>
      <c r="R5" s="3694"/>
      <c r="S5" s="3695"/>
      <c r="T5" s="3694"/>
      <c r="U5" s="3695"/>
      <c r="V5" s="3718"/>
      <c r="W5" s="3718"/>
      <c r="X5" s="1354"/>
      <c r="Y5" s="3694"/>
      <c r="Z5" s="3695"/>
      <c r="AA5" s="3688"/>
      <c r="AB5" s="3688"/>
      <c r="AC5" s="3688"/>
    </row>
    <row r="6" spans="1:29" ht="15.75" thickBot="1">
      <c r="A6" s="360"/>
      <c r="B6" s="361"/>
      <c r="C6" s="3700" t="s">
        <v>1677</v>
      </c>
      <c r="D6" s="3701"/>
      <c r="E6" s="3703" t="s">
        <v>1677</v>
      </c>
      <c r="F6" s="3704"/>
      <c r="G6" s="3700" t="s">
        <v>1677</v>
      </c>
      <c r="H6" s="3701"/>
      <c r="I6" s="3700" t="s">
        <v>1677</v>
      </c>
      <c r="J6" s="3701"/>
      <c r="K6" s="559" t="s">
        <v>1678</v>
      </c>
      <c r="L6" s="2710"/>
      <c r="M6" s="2711"/>
      <c r="N6" s="2711"/>
      <c r="O6" s="2711"/>
      <c r="P6" s="3714"/>
      <c r="Q6" s="3715"/>
      <c r="R6" s="3694"/>
      <c r="S6" s="3695"/>
      <c r="T6" s="3716"/>
      <c r="U6" s="3717"/>
      <c r="V6" s="3718"/>
      <c r="W6" s="3718"/>
      <c r="X6" s="1354"/>
      <c r="Y6" s="3716"/>
      <c r="Z6" s="3717"/>
      <c r="AA6" s="3689"/>
      <c r="AB6" s="3689"/>
      <c r="AC6" s="3689"/>
    </row>
    <row r="7" spans="1:29" s="108" customFormat="1" ht="15.75" thickBot="1">
      <c r="A7" s="362" t="s">
        <v>1679</v>
      </c>
      <c r="B7" s="363"/>
      <c r="C7" s="364">
        <f>'数据-取费表'!B2</f>
        <v>44845</v>
      </c>
      <c r="D7" s="365">
        <v>100</v>
      </c>
      <c r="E7" s="366"/>
      <c r="F7" s="367">
        <f>SUMIF(48:48,YEAR(E7)&amp;"-"&amp;MONTH(E7),49:49)</f>
        <v>0</v>
      </c>
      <c r="G7" s="366"/>
      <c r="H7" s="365">
        <f>SUMIF(48:48,YEAR(G7)&amp;"-"&amp;MONTH(G7),49:49)</f>
        <v>0</v>
      </c>
      <c r="I7" s="366"/>
      <c r="J7" s="365">
        <f>SUMIF(48:48,YEAR(I7)&amp;"-"&amp;MONTH(I7),49:49)</f>
        <v>0</v>
      </c>
      <c r="K7" s="560"/>
      <c r="L7" s="2712"/>
      <c r="M7" s="2713"/>
      <c r="N7" s="2713"/>
      <c r="O7" s="2713"/>
      <c r="P7" s="3690" t="s">
        <v>1680</v>
      </c>
      <c r="Q7" s="3719"/>
      <c r="R7" s="701" t="s">
        <v>14</v>
      </c>
      <c r="S7" s="702">
        <f t="shared" ref="S7:S14" si="0">F7</f>
        <v>0</v>
      </c>
      <c r="T7" s="701" t="s">
        <v>14</v>
      </c>
      <c r="U7" s="702">
        <f t="shared" ref="U7:U14" si="1">H7</f>
        <v>0</v>
      </c>
      <c r="V7" s="701" t="s">
        <v>14</v>
      </c>
      <c r="W7" s="702">
        <f t="shared" ref="W7:W14"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690" t="s">
        <v>1683</v>
      </c>
      <c r="Q8" s="3691"/>
      <c r="R8" s="701" t="s">
        <v>14</v>
      </c>
      <c r="S8" s="702">
        <f t="shared" si="0"/>
        <v>100</v>
      </c>
      <c r="T8" s="701" t="s">
        <v>14</v>
      </c>
      <c r="U8" s="702">
        <f t="shared" si="1"/>
        <v>100</v>
      </c>
      <c r="V8" s="701" t="s">
        <v>14</v>
      </c>
      <c r="W8" s="702">
        <f t="shared" si="2"/>
        <v>100</v>
      </c>
      <c r="X8" s="703"/>
      <c r="Y8" s="3690" t="s">
        <v>1683</v>
      </c>
      <c r="Z8" s="369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723" t="s">
        <v>1686</v>
      </c>
      <c r="Q9" s="1342" t="str">
        <f t="shared" ref="Q9:Q14" si="6">B9</f>
        <v>用途</v>
      </c>
      <c r="R9" s="701" t="s">
        <v>14</v>
      </c>
      <c r="S9" s="702">
        <f t="shared" si="0"/>
        <v>100</v>
      </c>
      <c r="T9" s="701" t="s">
        <v>14</v>
      </c>
      <c r="U9" s="702">
        <f t="shared" si="1"/>
        <v>100</v>
      </c>
      <c r="V9" s="701" t="s">
        <v>14</v>
      </c>
      <c r="W9" s="702">
        <f t="shared" si="2"/>
        <v>100</v>
      </c>
      <c r="X9" s="703"/>
      <c r="Y9" s="3634" t="s">
        <v>1687</v>
      </c>
      <c r="Z9" s="52" t="str">
        <f t="shared" ref="Z9:Z14" si="7">Q9</f>
        <v>用途</v>
      </c>
      <c r="AA9" s="704">
        <f t="shared" si="3"/>
        <v>1</v>
      </c>
      <c r="AB9" s="704">
        <f t="shared" si="4"/>
        <v>1</v>
      </c>
      <c r="AC9" s="704">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723"/>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723"/>
      <c r="Q11" s="1342">
        <f t="shared" si="6"/>
        <v>111</v>
      </c>
      <c r="R11" s="701" t="s">
        <v>14</v>
      </c>
      <c r="S11" s="702">
        <f t="shared" si="0"/>
        <v>100</v>
      </c>
      <c r="T11" s="701" t="s">
        <v>14</v>
      </c>
      <c r="U11" s="702">
        <f t="shared" si="1"/>
        <v>100</v>
      </c>
      <c r="V11" s="701" t="s">
        <v>14</v>
      </c>
      <c r="W11" s="702">
        <f t="shared" si="2"/>
        <v>100</v>
      </c>
      <c r="X11" s="703"/>
      <c r="Y11" s="363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723"/>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723"/>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6.75">
      <c r="A14" s="355" t="s">
        <v>1690</v>
      </c>
      <c r="B14" s="577"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725" t="s">
        <v>1691</v>
      </c>
      <c r="Q14" s="1351" t="str">
        <f t="shared" si="6"/>
        <v>交通便捷度</v>
      </c>
      <c r="R14" s="705" t="s">
        <v>14</v>
      </c>
      <c r="S14" s="706">
        <f t="shared" si="0"/>
        <v>100</v>
      </c>
      <c r="T14" s="705" t="s">
        <v>14</v>
      </c>
      <c r="U14" s="706">
        <f t="shared" si="1"/>
        <v>100</v>
      </c>
      <c r="V14" s="705" t="s">
        <v>14</v>
      </c>
      <c r="W14" s="706">
        <f t="shared" si="2"/>
        <v>100</v>
      </c>
      <c r="X14" s="1354"/>
      <c r="Y14" s="3725"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7"/>
      <c r="M15" s="2711"/>
      <c r="N15" s="2711"/>
      <c r="O15" s="2711"/>
      <c r="P15" s="3726"/>
      <c r="Q15" s="1351"/>
      <c r="R15" s="705"/>
      <c r="S15" s="706"/>
      <c r="T15" s="705"/>
      <c r="U15" s="706"/>
      <c r="V15" s="705"/>
      <c r="W15" s="706"/>
      <c r="X15" s="1354"/>
      <c r="Y15" s="3726"/>
      <c r="Z15" s="1355"/>
      <c r="AA15" s="1352">
        <v>1</v>
      </c>
      <c r="AB15" s="1352">
        <v>1</v>
      </c>
      <c r="AC15" s="1352">
        <v>1</v>
      </c>
    </row>
    <row r="16" spans="1:29" ht="313.5">
      <c r="A16" s="358"/>
      <c r="B16" s="579"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726"/>
      <c r="Q16" s="1351" t="str">
        <f>B16</f>
        <v>公共配套设施</v>
      </c>
      <c r="R16" s="705" t="s">
        <v>14</v>
      </c>
      <c r="S16" s="706">
        <f>F16</f>
        <v>100</v>
      </c>
      <c r="T16" s="705" t="s">
        <v>14</v>
      </c>
      <c r="U16" s="706">
        <f>H16</f>
        <v>100</v>
      </c>
      <c r="V16" s="705" t="s">
        <v>14</v>
      </c>
      <c r="W16" s="706">
        <f>J16</f>
        <v>100</v>
      </c>
      <c r="X16" s="1354"/>
      <c r="Y16" s="3726"/>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17"/>
      <c r="M17" s="2711"/>
      <c r="N17" s="2711"/>
      <c r="O17" s="2711"/>
      <c r="P17" s="3726"/>
      <c r="Q17" s="1351"/>
      <c r="R17" s="705"/>
      <c r="S17" s="706"/>
      <c r="T17" s="705"/>
      <c r="U17" s="706"/>
      <c r="V17" s="705"/>
      <c r="W17" s="706"/>
      <c r="X17" s="1354"/>
      <c r="Y17" s="3726"/>
      <c r="Z17" s="1355"/>
      <c r="AA17" s="1352">
        <v>1</v>
      </c>
      <c r="AB17" s="1352">
        <v>1</v>
      </c>
      <c r="AC17" s="1352">
        <v>1</v>
      </c>
    </row>
    <row r="18" spans="1:29" ht="42.75">
      <c r="A18" s="358"/>
      <c r="B18" s="581" t="s">
        <v>1813</v>
      </c>
      <c r="C18" s="1898" t="str">
        <f>IF(B1="工业",估价对象房地状况!G6,估价对象房地状况!C8)</f>
        <v>估价对象所在区域基础设施水平-七通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726"/>
      <c r="Q18" s="1351" t="str">
        <f>B18</f>
        <v>基础设施水平</v>
      </c>
      <c r="R18" s="705" t="s">
        <v>14</v>
      </c>
      <c r="S18" s="706">
        <f>F18</f>
        <v>100</v>
      </c>
      <c r="T18" s="705" t="s">
        <v>14</v>
      </c>
      <c r="U18" s="706">
        <f>H18</f>
        <v>100</v>
      </c>
      <c r="V18" s="705" t="s">
        <v>14</v>
      </c>
      <c r="W18" s="706">
        <f>J18</f>
        <v>100</v>
      </c>
      <c r="X18" s="1354"/>
      <c r="Y18" s="3726"/>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30"/>
      <c r="L19" s="2717"/>
      <c r="M19" s="2711"/>
      <c r="N19" s="2711"/>
      <c r="O19" s="2711"/>
      <c r="P19" s="3726"/>
      <c r="Q19" s="1351"/>
      <c r="R19" s="705"/>
      <c r="S19" s="706"/>
      <c r="T19" s="705"/>
      <c r="U19" s="706"/>
      <c r="V19" s="705"/>
      <c r="W19" s="706"/>
      <c r="X19" s="1354"/>
      <c r="Y19" s="3726"/>
      <c r="Z19" s="1355"/>
      <c r="AA19" s="1352">
        <v>1</v>
      </c>
      <c r="AB19" s="1352">
        <v>1</v>
      </c>
      <c r="AC19" s="1352">
        <v>1</v>
      </c>
    </row>
    <row r="20" spans="1:29" ht="114">
      <c r="A20" s="358"/>
      <c r="B20" s="579" t="s">
        <v>1834</v>
      </c>
      <c r="C20" s="1898" t="str">
        <f>IF(B1="工业",估价对象房地状况!G7,估价对象房地状况!C9)</f>
        <v>区域自然环境：知春公园、双榆树公园；人文环境；首体足球场、大运村网球场；
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726"/>
      <c r="Q20" s="1351" t="str">
        <f>B20</f>
        <v>自然及人文环境</v>
      </c>
      <c r="R20" s="705" t="s">
        <v>14</v>
      </c>
      <c r="S20" s="706">
        <f>F20</f>
        <v>100</v>
      </c>
      <c r="T20" s="705" t="s">
        <v>14</v>
      </c>
      <c r="U20" s="706">
        <f>H20</f>
        <v>100</v>
      </c>
      <c r="V20" s="705" t="s">
        <v>14</v>
      </c>
      <c r="W20" s="706">
        <f>J20</f>
        <v>100</v>
      </c>
      <c r="X20" s="1354"/>
      <c r="Y20" s="372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7"/>
      <c r="M21" s="2711"/>
      <c r="N21" s="2711"/>
      <c r="O21" s="2711"/>
      <c r="P21" s="3726"/>
      <c r="Q21" s="1351"/>
      <c r="R21" s="705"/>
      <c r="S21" s="706"/>
      <c r="T21" s="705"/>
      <c r="U21" s="706"/>
      <c r="V21" s="705"/>
      <c r="W21" s="706"/>
      <c r="X21" s="1354"/>
      <c r="Y21" s="3726"/>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726"/>
      <c r="Q22" s="1351" t="str">
        <f>B22</f>
        <v>楼层</v>
      </c>
      <c r="R22" s="705" t="s">
        <v>14</v>
      </c>
      <c r="S22" s="706">
        <f>F22</f>
        <v>100</v>
      </c>
      <c r="T22" s="705" t="s">
        <v>14</v>
      </c>
      <c r="U22" s="706">
        <f>H22</f>
        <v>100</v>
      </c>
      <c r="V22" s="705" t="s">
        <v>14</v>
      </c>
      <c r="W22" s="706">
        <f>J22</f>
        <v>100</v>
      </c>
      <c r="X22" s="1354"/>
      <c r="Y22" s="372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726"/>
      <c r="Q23" s="1351">
        <f>B23</f>
        <v>111</v>
      </c>
      <c r="R23" s="705" t="s">
        <v>14</v>
      </c>
      <c r="S23" s="706">
        <f>F23</f>
        <v>100</v>
      </c>
      <c r="T23" s="705" t="s">
        <v>14</v>
      </c>
      <c r="U23" s="706">
        <f>H23</f>
        <v>100</v>
      </c>
      <c r="V23" s="705" t="s">
        <v>14</v>
      </c>
      <c r="W23" s="706">
        <f>J23</f>
        <v>100</v>
      </c>
      <c r="X23" s="1354"/>
      <c r="Y23" s="372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726"/>
      <c r="Q24" s="1351">
        <f t="shared" ref="Q24:Q36" si="11">B24</f>
        <v>111</v>
      </c>
      <c r="R24" s="705" t="s">
        <v>14</v>
      </c>
      <c r="S24" s="706">
        <f>F24</f>
        <v>100</v>
      </c>
      <c r="T24" s="705" t="s">
        <v>14</v>
      </c>
      <c r="U24" s="706">
        <f>H24</f>
        <v>100</v>
      </c>
      <c r="V24" s="705" t="s">
        <v>14</v>
      </c>
      <c r="W24" s="706">
        <f>J24</f>
        <v>100</v>
      </c>
      <c r="X24" s="1354"/>
      <c r="Y24" s="372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726"/>
      <c r="Q25" s="1342">
        <f t="shared" si="11"/>
        <v>111</v>
      </c>
      <c r="R25" s="701" t="s">
        <v>14</v>
      </c>
      <c r="S25" s="702">
        <f>F25</f>
        <v>100</v>
      </c>
      <c r="T25" s="701" t="s">
        <v>14</v>
      </c>
      <c r="U25" s="702">
        <f>H25</f>
        <v>100</v>
      </c>
      <c r="V25" s="701" t="s">
        <v>14</v>
      </c>
      <c r="W25" s="702">
        <f>J25</f>
        <v>100</v>
      </c>
      <c r="X25" s="703"/>
      <c r="Y25" s="3726"/>
      <c r="Z25" s="52">
        <f>Q25</f>
        <v>111</v>
      </c>
      <c r="AA25" s="1352">
        <f>D25/F25</f>
        <v>1</v>
      </c>
      <c r="AB25" s="1352">
        <f>D25/H25</f>
        <v>1</v>
      </c>
      <c r="AC25" s="1352">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49"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30"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730"/>
      <c r="Q27" s="707" t="str">
        <f t="shared" si="11"/>
        <v>项目停车位配比</v>
      </c>
      <c r="R27" s="708" t="s">
        <v>14</v>
      </c>
      <c r="S27" s="709">
        <f t="shared" si="12"/>
        <v>100</v>
      </c>
      <c r="T27" s="708" t="s">
        <v>14</v>
      </c>
      <c r="U27" s="709">
        <f t="shared" si="13"/>
        <v>100</v>
      </c>
      <c r="V27" s="708" t="s">
        <v>14</v>
      </c>
      <c r="W27" s="709">
        <f t="shared" si="14"/>
        <v>100</v>
      </c>
      <c r="X27" s="710"/>
      <c r="Y27" s="3730"/>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730"/>
      <c r="Q28" s="1351" t="str">
        <f t="shared" si="11"/>
        <v>公共部分装修</v>
      </c>
      <c r="R28" s="705" t="s">
        <v>14</v>
      </c>
      <c r="S28" s="706">
        <f t="shared" si="12"/>
        <v>100</v>
      </c>
      <c r="T28" s="705" t="s">
        <v>14</v>
      </c>
      <c r="U28" s="706">
        <f t="shared" si="13"/>
        <v>100</v>
      </c>
      <c r="V28" s="705" t="s">
        <v>14</v>
      </c>
      <c r="W28" s="706">
        <f t="shared" si="14"/>
        <v>100</v>
      </c>
      <c r="X28" s="1354"/>
      <c r="Y28" s="3730"/>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730"/>
      <c r="Q29" s="1351" t="str">
        <f t="shared" si="11"/>
        <v>成新率</v>
      </c>
      <c r="R29" s="705" t="s">
        <v>14</v>
      </c>
      <c r="S29" s="706" t="e">
        <f t="shared" si="12"/>
        <v>#N/A</v>
      </c>
      <c r="T29" s="705" t="s">
        <v>14</v>
      </c>
      <c r="U29" s="706" t="e">
        <f t="shared" si="13"/>
        <v>#N/A</v>
      </c>
      <c r="V29" s="705" t="s">
        <v>14</v>
      </c>
      <c r="W29" s="706" t="e">
        <f t="shared" si="14"/>
        <v>#N/A</v>
      </c>
      <c r="X29" s="1354"/>
      <c r="Y29" s="3730"/>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730"/>
      <c r="Q30" s="1351" t="str">
        <f t="shared" si="11"/>
        <v>物业等级</v>
      </c>
      <c r="R30" s="705" t="s">
        <v>14</v>
      </c>
      <c r="S30" s="706">
        <f t="shared" si="12"/>
        <v>100</v>
      </c>
      <c r="T30" s="705" t="s">
        <v>14</v>
      </c>
      <c r="U30" s="706">
        <f t="shared" si="13"/>
        <v>100</v>
      </c>
      <c r="V30" s="705" t="s">
        <v>14</v>
      </c>
      <c r="W30" s="706">
        <f t="shared" si="14"/>
        <v>100</v>
      </c>
      <c r="X30" s="1354"/>
      <c r="Y30" s="3730"/>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730"/>
      <c r="Q31" s="1342" t="str">
        <f t="shared" si="11"/>
        <v>停车位面积</v>
      </c>
      <c r="R31" s="701" t="s">
        <v>14</v>
      </c>
      <c r="S31" s="702" t="e">
        <f t="shared" si="12"/>
        <v>#N/A</v>
      </c>
      <c r="T31" s="701" t="s">
        <v>14</v>
      </c>
      <c r="U31" s="702" t="e">
        <f t="shared" si="13"/>
        <v>#N/A</v>
      </c>
      <c r="V31" s="701" t="s">
        <v>14</v>
      </c>
      <c r="W31" s="702" t="e">
        <f t="shared" si="14"/>
        <v>#N/A</v>
      </c>
      <c r="X31" s="703"/>
      <c r="Y31" s="373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730" t="s">
        <v>1696</v>
      </c>
      <c r="Q32" s="1351" t="str">
        <f t="shared" si="11"/>
        <v>车位类型</v>
      </c>
      <c r="R32" s="705" t="s">
        <v>14</v>
      </c>
      <c r="S32" s="706">
        <f t="shared" si="12"/>
        <v>100</v>
      </c>
      <c r="T32" s="705" t="s">
        <v>14</v>
      </c>
      <c r="U32" s="706">
        <f t="shared" si="13"/>
        <v>100</v>
      </c>
      <c r="V32" s="705" t="s">
        <v>14</v>
      </c>
      <c r="W32" s="706">
        <f t="shared" si="14"/>
        <v>100</v>
      </c>
      <c r="X32" s="1354"/>
      <c r="Y32" s="3730"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730"/>
      <c r="Q33" s="1351" t="str">
        <f t="shared" si="11"/>
        <v>是否直接入户</v>
      </c>
      <c r="R33" s="705" t="s">
        <v>14</v>
      </c>
      <c r="S33" s="706">
        <f t="shared" si="12"/>
        <v>100</v>
      </c>
      <c r="T33" s="705" t="s">
        <v>14</v>
      </c>
      <c r="U33" s="706">
        <f t="shared" si="13"/>
        <v>100</v>
      </c>
      <c r="V33" s="705" t="s">
        <v>14</v>
      </c>
      <c r="W33" s="706">
        <f t="shared" si="14"/>
        <v>100</v>
      </c>
      <c r="X33" s="1354"/>
      <c r="Y33" s="3730"/>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730"/>
      <c r="Q34" s="1351">
        <f t="shared" si="11"/>
        <v>111</v>
      </c>
      <c r="R34" s="705" t="s">
        <v>14</v>
      </c>
      <c r="S34" s="706">
        <f t="shared" si="12"/>
        <v>100</v>
      </c>
      <c r="T34" s="705" t="s">
        <v>14</v>
      </c>
      <c r="U34" s="706">
        <f t="shared" si="13"/>
        <v>100</v>
      </c>
      <c r="V34" s="705" t="s">
        <v>14</v>
      </c>
      <c r="W34" s="706">
        <f t="shared" si="14"/>
        <v>100</v>
      </c>
      <c r="X34" s="1354"/>
      <c r="Y34" s="3730"/>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730"/>
      <c r="Q35" s="707">
        <f t="shared" si="11"/>
        <v>111</v>
      </c>
      <c r="R35" s="708" t="s">
        <v>14</v>
      </c>
      <c r="S35" s="709">
        <f t="shared" si="12"/>
        <v>100</v>
      </c>
      <c r="T35" s="708" t="s">
        <v>14</v>
      </c>
      <c r="U35" s="709">
        <f t="shared" si="13"/>
        <v>100</v>
      </c>
      <c r="V35" s="708" t="s">
        <v>14</v>
      </c>
      <c r="W35" s="709">
        <f t="shared" si="14"/>
        <v>100</v>
      </c>
      <c r="X35" s="710"/>
      <c r="Y35" s="3730"/>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730"/>
      <c r="Q36" s="1351">
        <f t="shared" si="11"/>
        <v>111</v>
      </c>
      <c r="R36" s="705" t="s">
        <v>14</v>
      </c>
      <c r="S36" s="706">
        <f t="shared" si="12"/>
        <v>100</v>
      </c>
      <c r="T36" s="705" t="s">
        <v>14</v>
      </c>
      <c r="U36" s="706">
        <f t="shared" si="13"/>
        <v>100</v>
      </c>
      <c r="V36" s="705" t="s">
        <v>14</v>
      </c>
      <c r="W36" s="706">
        <f t="shared" si="14"/>
        <v>100</v>
      </c>
      <c r="X36" s="1354"/>
      <c r="Y36" s="3730"/>
      <c r="Z36" s="1355">
        <f t="shared" si="15"/>
        <v>111</v>
      </c>
      <c r="AA36" s="1352">
        <f t="shared" si="3"/>
        <v>1</v>
      </c>
      <c r="AB36" s="1352">
        <f t="shared" si="4"/>
        <v>1</v>
      </c>
      <c r="AC36" s="1352">
        <f t="shared" si="5"/>
        <v>1</v>
      </c>
    </row>
    <row r="37" spans="1:29" ht="15">
      <c r="A37" s="430" t="s">
        <v>1844</v>
      </c>
      <c r="B37" s="1969" t="s">
        <v>3359</v>
      </c>
      <c r="C37" s="1154" t="s">
        <v>0</v>
      </c>
      <c r="D37" s="1155"/>
      <c r="E37" s="1156"/>
      <c r="F37" s="1157"/>
      <c r="G37" s="1158"/>
      <c r="H37" s="1159"/>
      <c r="I37" s="1156"/>
      <c r="J37" s="1159"/>
      <c r="K37" s="568"/>
      <c r="L37" s="2719"/>
      <c r="M37" s="2720"/>
      <c r="N37" s="2711"/>
      <c r="O37" s="2720"/>
      <c r="P37" s="3723" t="str">
        <f>A37</f>
        <v>成交单价</v>
      </c>
      <c r="Q37" s="3723"/>
      <c r="R37" s="3724">
        <f>E37</f>
        <v>0</v>
      </c>
      <c r="S37" s="3724"/>
      <c r="T37" s="3724">
        <f>G37</f>
        <v>0</v>
      </c>
      <c r="U37" s="3724"/>
      <c r="V37" s="3724">
        <f>I37</f>
        <v>0</v>
      </c>
      <c r="W37" s="3724"/>
      <c r="X37" s="690"/>
      <c r="Y37" s="712"/>
      <c r="Z37" s="690"/>
      <c r="AA37" s="690"/>
      <c r="AB37" s="690"/>
      <c r="AC37" s="690"/>
    </row>
    <row r="38" spans="1:29" ht="15.75" thickBot="1">
      <c r="A38" s="437" t="s">
        <v>1845</v>
      </c>
      <c r="B38" s="438" t="str">
        <f>B37</f>
        <v>元/平方米</v>
      </c>
      <c r="C38" s="1160" t="e">
        <f>R39</f>
        <v>#DIV/0!</v>
      </c>
      <c r="D38" s="2313" t="s">
        <v>2138</v>
      </c>
      <c r="E38" s="1161" t="e">
        <f>R38</f>
        <v>#DIV/0!</v>
      </c>
      <c r="F38" s="2314"/>
      <c r="G38" s="1160" t="e">
        <f>T38</f>
        <v>#DIV/0!</v>
      </c>
      <c r="H38" s="2314"/>
      <c r="I38" s="1161" t="e">
        <f>V38</f>
        <v>#DIV/0!</v>
      </c>
      <c r="J38" s="2314"/>
      <c r="K38" s="2316">
        <f>F38+H38+J38</f>
        <v>0</v>
      </c>
      <c r="L38" s="2719"/>
      <c r="M38" s="2720"/>
      <c r="N38" s="2720"/>
      <c r="O38" s="2720"/>
      <c r="P38" s="3723" t="str">
        <f>A38</f>
        <v>比较价值（元/平方米）</v>
      </c>
      <c r="Q38" s="3723"/>
      <c r="R38" s="3724" t="e">
        <f>IF(F1="售价",ROUND(PRODUCT(R37,AA7:AA36),0),ROUND(PRODUCT(R37,AA7:AA36),1))</f>
        <v>#DIV/0!</v>
      </c>
      <c r="S38" s="3724"/>
      <c r="T38" s="3724" t="e">
        <f>IF(F1="售价",ROUND(PRODUCT(T37,AB7:AB36),0),ROUND(PRODUCT(T37,AB7:AB36),1))</f>
        <v>#DIV/0!</v>
      </c>
      <c r="U38" s="3724"/>
      <c r="V38" s="3724" t="e">
        <f>IF(F1="售价",ROUND(PRODUCT(V37,AC7:AC36),0),ROUND(PRODUCT(V37,AC7:AC36),1))</f>
        <v>#DIV/0!</v>
      </c>
      <c r="W38" s="372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720" t="str">
        <f>A39</f>
        <v>估价对象XX用房的比较价值（楼面单价，元/平方米）</v>
      </c>
      <c r="Q39" s="3721"/>
      <c r="R39" s="3750" t="e">
        <f>IF(F1="售价",ROUND(IF(D38="简单平均",AVERAGE(R38:W38),R38*F38+T38*H38+V38*J38),0),ROUND(IF(D38="简单平均",AVERAGE(R38:V38),R38*F38+T38*H38+V38*J38),1))</f>
        <v>#DIV/0!</v>
      </c>
      <c r="S39" s="3750"/>
      <c r="T39" s="3750"/>
      <c r="U39" s="3750"/>
      <c r="V39" s="3750"/>
      <c r="W39" s="3750"/>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3" t="str">
        <f>YEAR(C7)&amp;"-"&amp;MONTH(C7)</f>
        <v>2022-10</v>
      </c>
      <c r="D48" s="1184">
        <f>EDATE(C48,-1)</f>
        <v>44805</v>
      </c>
      <c r="E48" s="1184">
        <f t="shared" ref="E48:O48" si="16">EDATE(D48,-1)</f>
        <v>44774</v>
      </c>
      <c r="F48" s="1184">
        <f t="shared" si="16"/>
        <v>44743</v>
      </c>
      <c r="G48" s="1184">
        <f t="shared" si="16"/>
        <v>44713</v>
      </c>
      <c r="H48" s="1184">
        <f t="shared" si="16"/>
        <v>44682</v>
      </c>
      <c r="I48" s="1184">
        <f t="shared" si="16"/>
        <v>44652</v>
      </c>
      <c r="J48" s="1184">
        <f t="shared" si="16"/>
        <v>44621</v>
      </c>
      <c r="K48" s="1184">
        <f t="shared" si="16"/>
        <v>44593</v>
      </c>
      <c r="L48" s="1184">
        <f t="shared" si="16"/>
        <v>44562</v>
      </c>
      <c r="M48" s="1184">
        <f t="shared" si="16"/>
        <v>44531</v>
      </c>
      <c r="N48" s="1184">
        <f t="shared" si="16"/>
        <v>44501</v>
      </c>
      <c r="O48" s="1184">
        <f t="shared" si="16"/>
        <v>44470</v>
      </c>
      <c r="P48" s="2754"/>
      <c r="Q48" s="2736"/>
      <c r="R48" s="2736"/>
      <c r="S48" s="2736"/>
      <c r="T48" s="2736"/>
      <c r="U48" s="2736"/>
      <c r="V48" s="2736"/>
      <c r="W48" s="2736"/>
      <c r="X48" s="2736"/>
      <c r="Y48" s="2736"/>
      <c r="Z48" s="2736"/>
      <c r="AA48" s="2736"/>
      <c r="AB48" s="2736"/>
      <c r="AC48" s="2736"/>
    </row>
    <row r="49" spans="1:29" s="108" customFormat="1" ht="15">
      <c r="A49" s="458"/>
      <c r="B49" s="459"/>
      <c r="C49" s="1177">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28"/>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706" t="s">
        <v>1770</v>
      </c>
      <c r="D4" s="3707"/>
      <c r="E4" s="3708" t="s">
        <v>1771</v>
      </c>
      <c r="F4" s="3709"/>
      <c r="G4" s="3706" t="s">
        <v>1772</v>
      </c>
      <c r="H4" s="3707"/>
      <c r="I4" s="3706" t="s">
        <v>1773</v>
      </c>
      <c r="J4" s="3707"/>
      <c r="K4" s="559" t="s">
        <v>1774</v>
      </c>
      <c r="L4" s="2710"/>
      <c r="M4" s="2711"/>
      <c r="N4" s="2711"/>
      <c r="O4" s="2711"/>
      <c r="P4" s="3710" t="s">
        <v>1775</v>
      </c>
      <c r="Q4" s="3711"/>
      <c r="R4" s="3692" t="s">
        <v>1771</v>
      </c>
      <c r="S4" s="3693"/>
      <c r="T4" s="3692" t="s">
        <v>1772</v>
      </c>
      <c r="U4" s="3693"/>
      <c r="V4" s="3718" t="s">
        <v>1773</v>
      </c>
      <c r="W4" s="3718"/>
      <c r="X4" s="1354"/>
      <c r="Y4" s="3692" t="s">
        <v>1775</v>
      </c>
      <c r="Z4" s="3693"/>
      <c r="AA4" s="3687" t="s">
        <v>1771</v>
      </c>
      <c r="AB4" s="3688" t="s">
        <v>1772</v>
      </c>
      <c r="AC4" s="3687" t="s">
        <v>1773</v>
      </c>
    </row>
    <row r="5" spans="1:29" ht="15">
      <c r="A5" s="358"/>
      <c r="B5" s="359"/>
      <c r="C5" s="3702" t="s">
        <v>1673</v>
      </c>
      <c r="D5" s="3699"/>
      <c r="E5" s="3696" t="s">
        <v>1674</v>
      </c>
      <c r="F5" s="3697"/>
      <c r="G5" s="3702" t="s">
        <v>1675</v>
      </c>
      <c r="H5" s="3699"/>
      <c r="I5" s="3702" t="s">
        <v>1676</v>
      </c>
      <c r="J5" s="3699"/>
      <c r="K5" s="559"/>
      <c r="L5" s="2710"/>
      <c r="M5" s="2711"/>
      <c r="N5" s="2711"/>
      <c r="O5" s="2711"/>
      <c r="P5" s="3712"/>
      <c r="Q5" s="3713"/>
      <c r="R5" s="3694"/>
      <c r="S5" s="3695"/>
      <c r="T5" s="3694"/>
      <c r="U5" s="3695"/>
      <c r="V5" s="3718"/>
      <c r="W5" s="3718"/>
      <c r="X5" s="1354"/>
      <c r="Y5" s="3694"/>
      <c r="Z5" s="3695"/>
      <c r="AA5" s="3688"/>
      <c r="AB5" s="3688"/>
      <c r="AC5" s="3688"/>
    </row>
    <row r="6" spans="1:29" ht="15.75" thickBot="1">
      <c r="A6" s="360"/>
      <c r="B6" s="361"/>
      <c r="C6" s="3700" t="s">
        <v>1677</v>
      </c>
      <c r="D6" s="3701"/>
      <c r="E6" s="3703" t="s">
        <v>1677</v>
      </c>
      <c r="F6" s="3704"/>
      <c r="G6" s="3700" t="s">
        <v>1677</v>
      </c>
      <c r="H6" s="3701"/>
      <c r="I6" s="3700" t="s">
        <v>1677</v>
      </c>
      <c r="J6" s="3701"/>
      <c r="K6" s="559" t="s">
        <v>1678</v>
      </c>
      <c r="L6" s="2710"/>
      <c r="M6" s="2711"/>
      <c r="N6" s="2711"/>
      <c r="O6" s="2711"/>
      <c r="P6" s="3714"/>
      <c r="Q6" s="3715"/>
      <c r="R6" s="3694"/>
      <c r="S6" s="3695"/>
      <c r="T6" s="3716"/>
      <c r="U6" s="3717"/>
      <c r="V6" s="3718"/>
      <c r="W6" s="3718"/>
      <c r="X6" s="1354"/>
      <c r="Y6" s="3716"/>
      <c r="Z6" s="3717"/>
      <c r="AA6" s="3689"/>
      <c r="AB6" s="3689"/>
      <c r="AC6" s="3689"/>
    </row>
    <row r="7" spans="1:29" s="108" customFormat="1" ht="15.75" thickBot="1">
      <c r="A7" s="362" t="s">
        <v>1679</v>
      </c>
      <c r="B7" s="363"/>
      <c r="C7" s="364">
        <f>'数据-取费表'!B2</f>
        <v>44845</v>
      </c>
      <c r="D7" s="365">
        <v>100</v>
      </c>
      <c r="E7" s="366"/>
      <c r="F7" s="367">
        <f>SUMIF(46:46,YEAR(E7)&amp;"-"&amp;MONTH(E7),47:47)</f>
        <v>0</v>
      </c>
      <c r="G7" s="1970"/>
      <c r="H7" s="365">
        <f>SUMIF(46:46,YEAR(G7)&amp;"-"&amp;MONTH(G7),47:47)</f>
        <v>0</v>
      </c>
      <c r="I7" s="366"/>
      <c r="J7" s="365">
        <f>SUMIF(46:46,YEAR(I7)&amp;"-"&amp;MONTH(I7),47:47)</f>
        <v>0</v>
      </c>
      <c r="K7" s="560"/>
      <c r="L7" s="2712"/>
      <c r="M7" s="2713"/>
      <c r="N7" s="2713"/>
      <c r="O7" s="2713"/>
      <c r="P7" s="3690" t="s">
        <v>1680</v>
      </c>
      <c r="Q7" s="3719"/>
      <c r="R7" s="701" t="s">
        <v>14</v>
      </c>
      <c r="S7" s="702">
        <f t="shared" ref="S7:S14" si="0">F7</f>
        <v>0</v>
      </c>
      <c r="T7" s="701" t="s">
        <v>14</v>
      </c>
      <c r="U7" s="702">
        <f t="shared" ref="U7:U14" si="1">H7</f>
        <v>0</v>
      </c>
      <c r="V7" s="701" t="s">
        <v>14</v>
      </c>
      <c r="W7" s="702">
        <f t="shared" ref="W7:W14"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690" t="s">
        <v>1683</v>
      </c>
      <c r="Q8" s="3691"/>
      <c r="R8" s="701" t="s">
        <v>14</v>
      </c>
      <c r="S8" s="702">
        <f t="shared" si="0"/>
        <v>100</v>
      </c>
      <c r="T8" s="701" t="s">
        <v>14</v>
      </c>
      <c r="U8" s="702">
        <f t="shared" si="1"/>
        <v>100</v>
      </c>
      <c r="V8" s="701" t="s">
        <v>14</v>
      </c>
      <c r="W8" s="702">
        <f t="shared" si="2"/>
        <v>100</v>
      </c>
      <c r="X8" s="703"/>
      <c r="Y8" s="3690" t="s">
        <v>1683</v>
      </c>
      <c r="Z8" s="369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723" t="s">
        <v>1686</v>
      </c>
      <c r="Q9" s="1342" t="str">
        <f t="shared" ref="Q9:Q14" si="6">B9</f>
        <v>用途</v>
      </c>
      <c r="R9" s="701" t="s">
        <v>14</v>
      </c>
      <c r="S9" s="702">
        <f t="shared" si="0"/>
        <v>100</v>
      </c>
      <c r="T9" s="701" t="s">
        <v>14</v>
      </c>
      <c r="U9" s="702">
        <f t="shared" si="1"/>
        <v>100</v>
      </c>
      <c r="V9" s="701" t="s">
        <v>14</v>
      </c>
      <c r="W9" s="702">
        <f t="shared" si="2"/>
        <v>100</v>
      </c>
      <c r="X9" s="703"/>
      <c r="Y9" s="3634" t="s">
        <v>1687</v>
      </c>
      <c r="Z9" s="52" t="str">
        <f t="shared" ref="Z9:Z14" si="7">Q9</f>
        <v>用途</v>
      </c>
      <c r="AA9" s="704">
        <f t="shared" si="3"/>
        <v>1</v>
      </c>
      <c r="AB9" s="704">
        <f t="shared" si="4"/>
        <v>1</v>
      </c>
      <c r="AC9" s="704">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723"/>
      <c r="Q10" s="1342"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723"/>
      <c r="Q11" s="1342">
        <f t="shared" si="6"/>
        <v>111</v>
      </c>
      <c r="R11" s="701" t="s">
        <v>14</v>
      </c>
      <c r="S11" s="702">
        <f t="shared" si="0"/>
        <v>100</v>
      </c>
      <c r="T11" s="701" t="s">
        <v>14</v>
      </c>
      <c r="U11" s="702">
        <f t="shared" si="1"/>
        <v>100</v>
      </c>
      <c r="V11" s="701" t="s">
        <v>14</v>
      </c>
      <c r="W11" s="702">
        <f t="shared" si="2"/>
        <v>100</v>
      </c>
      <c r="X11" s="703"/>
      <c r="Y11" s="3634"/>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723"/>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7"/>
      <c r="M13" s="2711"/>
      <c r="N13" s="2711"/>
      <c r="O13" s="2769"/>
      <c r="P13" s="3723"/>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6.75">
      <c r="A14" s="391" t="s">
        <v>1690</v>
      </c>
      <c r="B14" s="61"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725" t="s">
        <v>1691</v>
      </c>
      <c r="Q14" s="1351" t="str">
        <f t="shared" si="6"/>
        <v>交通便捷度</v>
      </c>
      <c r="R14" s="705" t="s">
        <v>14</v>
      </c>
      <c r="S14" s="706">
        <f t="shared" si="0"/>
        <v>100</v>
      </c>
      <c r="T14" s="705" t="s">
        <v>14</v>
      </c>
      <c r="U14" s="706">
        <f t="shared" si="1"/>
        <v>100</v>
      </c>
      <c r="V14" s="705" t="s">
        <v>14</v>
      </c>
      <c r="W14" s="706">
        <f t="shared" si="2"/>
        <v>100</v>
      </c>
      <c r="X14" s="1354"/>
      <c r="Y14" s="3725"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7"/>
      <c r="M15" s="2711"/>
      <c r="N15" s="2711"/>
      <c r="O15" s="2769"/>
      <c r="P15" s="3726"/>
      <c r="Q15" s="1351"/>
      <c r="R15" s="705"/>
      <c r="S15" s="706"/>
      <c r="T15" s="705"/>
      <c r="U15" s="706"/>
      <c r="V15" s="705"/>
      <c r="W15" s="706"/>
      <c r="X15" s="1354"/>
      <c r="Y15" s="3726"/>
      <c r="Z15" s="1355"/>
      <c r="AA15" s="1352">
        <v>1</v>
      </c>
      <c r="AB15" s="1352">
        <v>1</v>
      </c>
      <c r="AC15" s="1352">
        <v>1</v>
      </c>
    </row>
    <row r="16" spans="1:29" ht="313.5">
      <c r="A16" s="379"/>
      <c r="B16" s="402"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726"/>
      <c r="Q16" s="1351" t="str">
        <f>B16</f>
        <v>公共配套设施</v>
      </c>
      <c r="R16" s="705" t="s">
        <v>14</v>
      </c>
      <c r="S16" s="706">
        <f>F16</f>
        <v>100</v>
      </c>
      <c r="T16" s="705" t="s">
        <v>14</v>
      </c>
      <c r="U16" s="706">
        <f>H16</f>
        <v>100</v>
      </c>
      <c r="V16" s="705" t="s">
        <v>14</v>
      </c>
      <c r="W16" s="706">
        <f>J16</f>
        <v>100</v>
      </c>
      <c r="X16" s="1354"/>
      <c r="Y16" s="3726"/>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17"/>
      <c r="M17" s="2711"/>
      <c r="N17" s="2711"/>
      <c r="O17" s="2769"/>
      <c r="P17" s="3726"/>
      <c r="Q17" s="1351"/>
      <c r="R17" s="705"/>
      <c r="S17" s="706"/>
      <c r="T17" s="705"/>
      <c r="U17" s="706"/>
      <c r="V17" s="705"/>
      <c r="W17" s="706"/>
      <c r="X17" s="1354"/>
      <c r="Y17" s="3726"/>
      <c r="Z17" s="1355"/>
      <c r="AA17" s="1352">
        <v>1</v>
      </c>
      <c r="AB17" s="1352">
        <v>1</v>
      </c>
      <c r="AC17" s="1352">
        <v>1</v>
      </c>
    </row>
    <row r="18" spans="1:29" ht="42.75">
      <c r="A18" s="379"/>
      <c r="B18" s="1131" t="s">
        <v>1813</v>
      </c>
      <c r="C18" s="1898" t="str">
        <f>IF(B1="工业",估价对象房地状况!G6,估价对象房地状况!C8)</f>
        <v>估价对象所在区域基础设施水平-七通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726"/>
      <c r="Q18" s="1351" t="str">
        <f>B18</f>
        <v>基础设施水平</v>
      </c>
      <c r="R18" s="705" t="s">
        <v>14</v>
      </c>
      <c r="S18" s="706">
        <f>F18</f>
        <v>100</v>
      </c>
      <c r="T18" s="705" t="s">
        <v>14</v>
      </c>
      <c r="U18" s="706">
        <f>H18</f>
        <v>100</v>
      </c>
      <c r="V18" s="705" t="s">
        <v>14</v>
      </c>
      <c r="W18" s="706">
        <f>J18</f>
        <v>100</v>
      </c>
      <c r="X18" s="1354"/>
      <c r="Y18" s="3726"/>
      <c r="Z18" s="1355" t="str">
        <f>Q18</f>
        <v>基础设施水平</v>
      </c>
      <c r="AA18" s="1352">
        <f t="shared" ref="AA18" si="8">D18/F18</f>
        <v>1</v>
      </c>
      <c r="AB18" s="1352">
        <f t="shared" ref="AB18" si="9">D18/H18</f>
        <v>1</v>
      </c>
      <c r="AC18" s="1352">
        <f t="shared" ref="AC18" si="10">D18/J18</f>
        <v>1</v>
      </c>
    </row>
    <row r="19" spans="1:29" ht="15">
      <c r="A19" s="379"/>
      <c r="B19" s="1131"/>
      <c r="C19" s="1899"/>
      <c r="D19" s="401"/>
      <c r="E19" s="1899"/>
      <c r="F19" s="404"/>
      <c r="G19" s="1899"/>
      <c r="H19" s="399"/>
      <c r="I19" s="398"/>
      <c r="J19" s="399"/>
      <c r="K19" s="1130"/>
      <c r="L19" s="2717"/>
      <c r="M19" s="2711"/>
      <c r="N19" s="2711"/>
      <c r="O19" s="2769"/>
      <c r="P19" s="3726"/>
      <c r="Q19" s="1351"/>
      <c r="R19" s="705"/>
      <c r="S19" s="706"/>
      <c r="T19" s="705"/>
      <c r="U19" s="706"/>
      <c r="V19" s="705"/>
      <c r="W19" s="706"/>
      <c r="X19" s="1354"/>
      <c r="Y19" s="3726"/>
      <c r="Z19" s="1355"/>
      <c r="AA19" s="1352">
        <v>1</v>
      </c>
      <c r="AB19" s="1352">
        <v>1</v>
      </c>
      <c r="AC19" s="1352">
        <v>1</v>
      </c>
    </row>
    <row r="20" spans="1:29" ht="114">
      <c r="A20" s="379"/>
      <c r="B20" s="402" t="s">
        <v>1834</v>
      </c>
      <c r="C20" s="1898" t="str">
        <f>IF(B1="工业",估价对象房地状况!G7,估价对象房地状况!C9)</f>
        <v>区域自然环境：知春公园、双榆树公园；人文环境；首体足球场、大运村网球场；
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726"/>
      <c r="Q20" s="1351" t="str">
        <f>B20</f>
        <v>自然及人文环境</v>
      </c>
      <c r="R20" s="705" t="s">
        <v>14</v>
      </c>
      <c r="S20" s="706">
        <f>F20</f>
        <v>100</v>
      </c>
      <c r="T20" s="705" t="s">
        <v>14</v>
      </c>
      <c r="U20" s="706">
        <f>H20</f>
        <v>100</v>
      </c>
      <c r="V20" s="705" t="s">
        <v>14</v>
      </c>
      <c r="W20" s="706">
        <f>J20</f>
        <v>100</v>
      </c>
      <c r="X20" s="1354"/>
      <c r="Y20" s="372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7"/>
      <c r="M21" s="2711"/>
      <c r="N21" s="2711"/>
      <c r="O21" s="2769"/>
      <c r="P21" s="3726"/>
      <c r="Q21" s="1351"/>
      <c r="R21" s="705"/>
      <c r="S21" s="706"/>
      <c r="T21" s="705"/>
      <c r="U21" s="706"/>
      <c r="V21" s="705"/>
      <c r="W21" s="706"/>
      <c r="X21" s="1354"/>
      <c r="Y21" s="3726"/>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726"/>
      <c r="Q22" s="1351" t="str">
        <f>B22</f>
        <v>楼层</v>
      </c>
      <c r="R22" s="705" t="s">
        <v>14</v>
      </c>
      <c r="S22" s="706">
        <f>F22</f>
        <v>100</v>
      </c>
      <c r="T22" s="705" t="s">
        <v>14</v>
      </c>
      <c r="U22" s="706">
        <f>H22</f>
        <v>100</v>
      </c>
      <c r="V22" s="705" t="s">
        <v>14</v>
      </c>
      <c r="W22" s="706">
        <f>J22</f>
        <v>100</v>
      </c>
      <c r="X22" s="1354"/>
      <c r="Y22" s="3726"/>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726"/>
      <c r="Q23" s="1351">
        <f>B23</f>
        <v>111</v>
      </c>
      <c r="R23" s="705" t="s">
        <v>14</v>
      </c>
      <c r="S23" s="706">
        <f>F23</f>
        <v>100</v>
      </c>
      <c r="T23" s="705" t="s">
        <v>14</v>
      </c>
      <c r="U23" s="706">
        <f>H23</f>
        <v>100</v>
      </c>
      <c r="V23" s="705" t="s">
        <v>14</v>
      </c>
      <c r="W23" s="706">
        <f>J23</f>
        <v>100</v>
      </c>
      <c r="X23" s="1354"/>
      <c r="Y23" s="3726"/>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726"/>
      <c r="Q24" s="1351">
        <f t="shared" ref="Q24:Q34" si="11">B24</f>
        <v>111</v>
      </c>
      <c r="R24" s="705" t="s">
        <v>14</v>
      </c>
      <c r="S24" s="706">
        <f>F24</f>
        <v>100</v>
      </c>
      <c r="T24" s="705" t="s">
        <v>14</v>
      </c>
      <c r="U24" s="706">
        <f>H24</f>
        <v>100</v>
      </c>
      <c r="V24" s="705" t="s">
        <v>14</v>
      </c>
      <c r="W24" s="706">
        <f>J24</f>
        <v>100</v>
      </c>
      <c r="X24" s="1354"/>
      <c r="Y24" s="3726"/>
      <c r="Z24" s="1355">
        <f>Q24</f>
        <v>111</v>
      </c>
      <c r="AA24" s="1352">
        <f t="shared" si="3"/>
        <v>1</v>
      </c>
      <c r="AB24" s="1352">
        <f t="shared" si="4"/>
        <v>1</v>
      </c>
      <c r="AC24" s="1352">
        <f t="shared" si="5"/>
        <v>1</v>
      </c>
    </row>
    <row r="25" spans="1:29" s="108" customFormat="1" ht="15.75" thickBot="1">
      <c r="A25" s="382"/>
      <c r="B25" s="1891">
        <v>111</v>
      </c>
      <c r="C25" s="1972"/>
      <c r="D25" s="613">
        <v>100</v>
      </c>
      <c r="E25" s="1972"/>
      <c r="F25" s="614">
        <f>SUMIF(75:75,E25,76:76)-SUMIF(75:75,C25,76:76)+100</f>
        <v>100</v>
      </c>
      <c r="G25" s="1972"/>
      <c r="H25" s="613">
        <f>SUMIF(75:75,G25,76:76)-SUMIF(75:75,C25,76:76)+100</f>
        <v>100</v>
      </c>
      <c r="I25" s="1972"/>
      <c r="J25" s="613">
        <f>SUMIF(75:75,I25,76:76)-SUMIF(75:75,C25,76:76)+100</f>
        <v>100</v>
      </c>
      <c r="K25" s="562"/>
      <c r="L25" s="2712"/>
      <c r="M25" s="2713"/>
      <c r="N25" s="2713"/>
      <c r="O25" s="2767"/>
      <c r="P25" s="3726"/>
      <c r="Q25" s="1342">
        <f t="shared" si="11"/>
        <v>111</v>
      </c>
      <c r="R25" s="701" t="s">
        <v>14</v>
      </c>
      <c r="S25" s="702">
        <f>F25</f>
        <v>100</v>
      </c>
      <c r="T25" s="701" t="s">
        <v>14</v>
      </c>
      <c r="U25" s="702">
        <f>H25</f>
        <v>100</v>
      </c>
      <c r="V25" s="701" t="s">
        <v>14</v>
      </c>
      <c r="W25" s="702">
        <f>J25</f>
        <v>100</v>
      </c>
      <c r="X25" s="703"/>
      <c r="Y25" s="3726"/>
      <c r="Z25" s="52">
        <f>Q25</f>
        <v>111</v>
      </c>
      <c r="AA25" s="1352">
        <f>D25/F25</f>
        <v>1</v>
      </c>
      <c r="AB25" s="1352">
        <f>D25/H25</f>
        <v>1</v>
      </c>
      <c r="AC25" s="1352">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7"/>
      <c r="M26" s="2711"/>
      <c r="N26" s="2711"/>
      <c r="O26" s="2769"/>
      <c r="P26" s="3749"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30"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730"/>
      <c r="Q27" s="707" t="str">
        <f t="shared" si="11"/>
        <v>成新率</v>
      </c>
      <c r="R27" s="708" t="s">
        <v>14</v>
      </c>
      <c r="S27" s="709" t="e">
        <f t="shared" si="12"/>
        <v>#N/A</v>
      </c>
      <c r="T27" s="708" t="s">
        <v>14</v>
      </c>
      <c r="U27" s="709" t="e">
        <f t="shared" si="13"/>
        <v>#N/A</v>
      </c>
      <c r="V27" s="708" t="s">
        <v>14</v>
      </c>
      <c r="W27" s="709" t="e">
        <f t="shared" si="14"/>
        <v>#N/A</v>
      </c>
      <c r="X27" s="710"/>
      <c r="Y27" s="3730"/>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730"/>
      <c r="Q28" s="1351" t="str">
        <f t="shared" si="11"/>
        <v>物业等级</v>
      </c>
      <c r="R28" s="705" t="s">
        <v>14</v>
      </c>
      <c r="S28" s="706">
        <f t="shared" si="12"/>
        <v>100</v>
      </c>
      <c r="T28" s="705" t="s">
        <v>14</v>
      </c>
      <c r="U28" s="706">
        <f t="shared" si="13"/>
        <v>100</v>
      </c>
      <c r="V28" s="705" t="s">
        <v>14</v>
      </c>
      <c r="W28" s="706">
        <f t="shared" si="14"/>
        <v>100</v>
      </c>
      <c r="X28" s="1354"/>
      <c r="Y28" s="3730"/>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730"/>
      <c r="Q29" s="1351" t="str">
        <f t="shared" si="11"/>
        <v>有无电梯</v>
      </c>
      <c r="R29" s="705" t="s">
        <v>14</v>
      </c>
      <c r="S29" s="706">
        <f t="shared" si="12"/>
        <v>100</v>
      </c>
      <c r="T29" s="705" t="s">
        <v>14</v>
      </c>
      <c r="U29" s="706">
        <f t="shared" si="13"/>
        <v>100</v>
      </c>
      <c r="V29" s="705" t="s">
        <v>14</v>
      </c>
      <c r="W29" s="706">
        <f t="shared" si="14"/>
        <v>100</v>
      </c>
      <c r="X29" s="1354"/>
      <c r="Y29" s="3730"/>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730"/>
      <c r="Q30" s="1351" t="str">
        <f t="shared" si="11"/>
        <v>建筑面积</v>
      </c>
      <c r="R30" s="705" t="s">
        <v>14</v>
      </c>
      <c r="S30" s="706" t="e">
        <f t="shared" si="12"/>
        <v>#N/A</v>
      </c>
      <c r="T30" s="705" t="s">
        <v>14</v>
      </c>
      <c r="U30" s="706" t="e">
        <f t="shared" si="13"/>
        <v>#N/A</v>
      </c>
      <c r="V30" s="705" t="s">
        <v>14</v>
      </c>
      <c r="W30" s="706" t="e">
        <f t="shared" si="14"/>
        <v>#N/A</v>
      </c>
      <c r="X30" s="1354"/>
      <c r="Y30" s="3730"/>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730"/>
      <c r="Q31" s="1342" t="str">
        <f t="shared" si="11"/>
        <v>是否封闭</v>
      </c>
      <c r="R31" s="701" t="s">
        <v>14</v>
      </c>
      <c r="S31" s="702">
        <f t="shared" si="12"/>
        <v>100</v>
      </c>
      <c r="T31" s="701" t="s">
        <v>14</v>
      </c>
      <c r="U31" s="702">
        <f t="shared" si="13"/>
        <v>100</v>
      </c>
      <c r="V31" s="701" t="s">
        <v>14</v>
      </c>
      <c r="W31" s="702">
        <f t="shared" si="14"/>
        <v>100</v>
      </c>
      <c r="X31" s="703"/>
      <c r="Y31" s="3730"/>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730" t="s">
        <v>1696</v>
      </c>
      <c r="Q32" s="1351">
        <f t="shared" si="11"/>
        <v>111</v>
      </c>
      <c r="R32" s="705" t="s">
        <v>14</v>
      </c>
      <c r="S32" s="706">
        <f t="shared" si="12"/>
        <v>100</v>
      </c>
      <c r="T32" s="705" t="s">
        <v>14</v>
      </c>
      <c r="U32" s="706">
        <f t="shared" si="13"/>
        <v>100</v>
      </c>
      <c r="V32" s="705" t="s">
        <v>14</v>
      </c>
      <c r="W32" s="706">
        <f t="shared" si="14"/>
        <v>100</v>
      </c>
      <c r="X32" s="1354"/>
      <c r="Y32" s="3730"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730"/>
      <c r="Q33" s="1351">
        <f t="shared" si="11"/>
        <v>111</v>
      </c>
      <c r="R33" s="705" t="s">
        <v>14</v>
      </c>
      <c r="S33" s="706">
        <f t="shared" si="12"/>
        <v>100</v>
      </c>
      <c r="T33" s="705" t="s">
        <v>14</v>
      </c>
      <c r="U33" s="706">
        <f t="shared" si="13"/>
        <v>100</v>
      </c>
      <c r="V33" s="705" t="s">
        <v>14</v>
      </c>
      <c r="W33" s="706">
        <f t="shared" si="14"/>
        <v>100</v>
      </c>
      <c r="X33" s="1354"/>
      <c r="Y33" s="3730"/>
      <c r="Z33" s="1355">
        <f t="shared" si="15"/>
        <v>111</v>
      </c>
      <c r="AA33" s="1352">
        <f t="shared" si="3"/>
        <v>1</v>
      </c>
      <c r="AB33" s="1352">
        <f t="shared" si="4"/>
        <v>1</v>
      </c>
      <c r="AC33" s="1352">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7"/>
      <c r="M34" s="2711"/>
      <c r="N34" s="2711"/>
      <c r="O34" s="2769"/>
      <c r="P34" s="3730"/>
      <c r="Q34" s="1351">
        <f t="shared" si="11"/>
        <v>111</v>
      </c>
      <c r="R34" s="705" t="s">
        <v>14</v>
      </c>
      <c r="S34" s="706">
        <f t="shared" si="12"/>
        <v>100</v>
      </c>
      <c r="T34" s="705" t="s">
        <v>14</v>
      </c>
      <c r="U34" s="706">
        <f t="shared" si="13"/>
        <v>100</v>
      </c>
      <c r="V34" s="705" t="s">
        <v>14</v>
      </c>
      <c r="W34" s="706">
        <f t="shared" si="14"/>
        <v>100</v>
      </c>
      <c r="X34" s="1354"/>
      <c r="Y34" s="3730"/>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19"/>
      <c r="M35" s="2720"/>
      <c r="N35" s="2711"/>
      <c r="O35" s="2720"/>
      <c r="P35" s="3723" t="str">
        <f>A35</f>
        <v>成交单价（元/平方米）</v>
      </c>
      <c r="Q35" s="3723"/>
      <c r="R35" s="3724">
        <f>E35</f>
        <v>0</v>
      </c>
      <c r="S35" s="3724"/>
      <c r="T35" s="3724">
        <f>G35</f>
        <v>0</v>
      </c>
      <c r="U35" s="3724"/>
      <c r="V35" s="3724">
        <f>I35</f>
        <v>0</v>
      </c>
      <c r="W35" s="3724"/>
      <c r="X35" s="690"/>
      <c r="Y35" s="712"/>
      <c r="Z35" s="690"/>
      <c r="AA35" s="690"/>
      <c r="AB35" s="690"/>
      <c r="AC35" s="690"/>
    </row>
    <row r="36" spans="1:30" ht="15.75" thickBot="1">
      <c r="A36" s="437" t="s">
        <v>1793</v>
      </c>
      <c r="B36" s="438"/>
      <c r="C36" s="1160" t="e">
        <f>R37</f>
        <v>#DIV/0!</v>
      </c>
      <c r="D36" s="2313" t="s">
        <v>2138</v>
      </c>
      <c r="E36" s="1161" t="e">
        <f>R36</f>
        <v>#DIV/0!</v>
      </c>
      <c r="F36" s="2314"/>
      <c r="G36" s="1160" t="e">
        <f>T36</f>
        <v>#DIV/0!</v>
      </c>
      <c r="H36" s="2314"/>
      <c r="I36" s="1161" t="e">
        <f>V36</f>
        <v>#DIV/0!</v>
      </c>
      <c r="J36" s="2314"/>
      <c r="K36" s="2316">
        <f>F36+H36+J36</f>
        <v>0</v>
      </c>
      <c r="L36" s="2719"/>
      <c r="M36" s="2720"/>
      <c r="N36" s="2711"/>
      <c r="O36" s="2720"/>
      <c r="P36" s="3723" t="str">
        <f>A36</f>
        <v>比较价值（元/平方米）</v>
      </c>
      <c r="Q36" s="3723"/>
      <c r="R36" s="3724" t="e">
        <f>IF(F1="售价",ROUND(PRODUCT(R35,AA7:AA34),0),ROUND(PRODUCT(R35,AA7:AA34),1))</f>
        <v>#DIV/0!</v>
      </c>
      <c r="S36" s="3724"/>
      <c r="T36" s="3724" t="e">
        <f>IF(F1="售价",ROUND(PRODUCT(T35,AB7:AB34),0),ROUND(PRODUCT(T35,AB7:AB34),1))</f>
        <v>#DIV/0!</v>
      </c>
      <c r="U36" s="3724"/>
      <c r="V36" s="3724" t="e">
        <f>IF(F1="售价",ROUND(PRODUCT(V35,AC7:AC34),0),ROUND(PRODUCT(V35,AC7:AC34),1))</f>
        <v>#DIV/0!</v>
      </c>
      <c r="W36" s="372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720" t="str">
        <f>A37</f>
        <v>估价对象XX用房的比较价值（楼面单价，元/平方米）</v>
      </c>
      <c r="Q37" s="3721"/>
      <c r="R37" s="3750" t="e">
        <f>IF(F1="售价",ROUND(IF(D36="简单平均",AVERAGE(R36:W36),R36*F36+T36*H36+V36*J36),0),ROUND(IF(D36="简单平均",AVERAGE(R36:V36),R36*F36+T36*H36+V36*J36),1))</f>
        <v>#DIV/0!</v>
      </c>
      <c r="S37" s="3750"/>
      <c r="T37" s="3750"/>
      <c r="U37" s="3750"/>
      <c r="V37" s="3750"/>
      <c r="W37" s="3750"/>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3" t="str">
        <f>YEAR(C7)&amp;"-"&amp;MONTH(C7)</f>
        <v>2022-10</v>
      </c>
      <c r="D46" s="1184">
        <f>EDATE(C46,-1)</f>
        <v>44805</v>
      </c>
      <c r="E46" s="1184">
        <f t="shared" ref="E46:O46" si="16">EDATE(D46,-1)</f>
        <v>44774</v>
      </c>
      <c r="F46" s="1184">
        <f t="shared" si="16"/>
        <v>44743</v>
      </c>
      <c r="G46" s="1184">
        <f t="shared" si="16"/>
        <v>44713</v>
      </c>
      <c r="H46" s="1184">
        <f t="shared" si="16"/>
        <v>44682</v>
      </c>
      <c r="I46" s="1184">
        <f t="shared" si="16"/>
        <v>44652</v>
      </c>
      <c r="J46" s="1184">
        <f t="shared" si="16"/>
        <v>44621</v>
      </c>
      <c r="K46" s="1184">
        <f t="shared" si="16"/>
        <v>44593</v>
      </c>
      <c r="L46" s="1184">
        <f t="shared" si="16"/>
        <v>44562</v>
      </c>
      <c r="M46" s="1184">
        <f t="shared" si="16"/>
        <v>44531</v>
      </c>
      <c r="N46" s="1184">
        <f t="shared" si="16"/>
        <v>44501</v>
      </c>
      <c r="O46" s="1184">
        <f t="shared" si="16"/>
        <v>44470</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2">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706" t="s">
        <v>1770</v>
      </c>
      <c r="D4" s="3707"/>
      <c r="E4" s="3708" t="s">
        <v>1771</v>
      </c>
      <c r="F4" s="3709"/>
      <c r="G4" s="3706" t="s">
        <v>1772</v>
      </c>
      <c r="H4" s="3707"/>
      <c r="I4" s="3706" t="s">
        <v>1773</v>
      </c>
      <c r="J4" s="3707"/>
      <c r="K4" s="559" t="s">
        <v>1774</v>
      </c>
      <c r="L4" s="2710"/>
      <c r="M4" s="2711"/>
      <c r="N4" s="2711"/>
      <c r="O4" s="2711"/>
      <c r="P4" s="3710" t="s">
        <v>1775</v>
      </c>
      <c r="Q4" s="3711"/>
      <c r="R4" s="3692" t="s">
        <v>1771</v>
      </c>
      <c r="S4" s="3693"/>
      <c r="T4" s="3692" t="s">
        <v>1772</v>
      </c>
      <c r="U4" s="3693"/>
      <c r="V4" s="3718" t="s">
        <v>1773</v>
      </c>
      <c r="W4" s="3718"/>
      <c r="X4" s="1354"/>
      <c r="Y4" s="3692" t="s">
        <v>1775</v>
      </c>
      <c r="Z4" s="3693"/>
      <c r="AA4" s="3687" t="s">
        <v>1771</v>
      </c>
      <c r="AB4" s="3688" t="s">
        <v>1772</v>
      </c>
      <c r="AC4" s="3687" t="s">
        <v>1773</v>
      </c>
    </row>
    <row r="5" spans="1:30" ht="15">
      <c r="A5" s="358"/>
      <c r="B5" s="359"/>
      <c r="C5" s="3702" t="s">
        <v>1673</v>
      </c>
      <c r="D5" s="3699"/>
      <c r="E5" s="3696" t="s">
        <v>1674</v>
      </c>
      <c r="F5" s="3697"/>
      <c r="G5" s="3702" t="s">
        <v>1675</v>
      </c>
      <c r="H5" s="3699"/>
      <c r="I5" s="3702" t="s">
        <v>1676</v>
      </c>
      <c r="J5" s="3699"/>
      <c r="K5" s="559"/>
      <c r="L5" s="2710"/>
      <c r="M5" s="2711"/>
      <c r="N5" s="2711"/>
      <c r="O5" s="2711"/>
      <c r="P5" s="3712"/>
      <c r="Q5" s="3713"/>
      <c r="R5" s="3694"/>
      <c r="S5" s="3695"/>
      <c r="T5" s="3694"/>
      <c r="U5" s="3695"/>
      <c r="V5" s="3718"/>
      <c r="W5" s="3718"/>
      <c r="X5" s="1354"/>
      <c r="Y5" s="3694"/>
      <c r="Z5" s="3695"/>
      <c r="AA5" s="3688"/>
      <c r="AB5" s="3688"/>
      <c r="AC5" s="3688"/>
    </row>
    <row r="6" spans="1:30" ht="15.75" thickBot="1">
      <c r="A6" s="360"/>
      <c r="B6" s="361"/>
      <c r="C6" s="3700" t="s">
        <v>1677</v>
      </c>
      <c r="D6" s="3701"/>
      <c r="E6" s="3703" t="s">
        <v>1677</v>
      </c>
      <c r="F6" s="3704"/>
      <c r="G6" s="3700" t="s">
        <v>1677</v>
      </c>
      <c r="H6" s="3701"/>
      <c r="I6" s="3700" t="s">
        <v>1677</v>
      </c>
      <c r="J6" s="3701"/>
      <c r="K6" s="559" t="s">
        <v>1678</v>
      </c>
      <c r="L6" s="2710"/>
      <c r="M6" s="2711"/>
      <c r="N6" s="2711"/>
      <c r="O6" s="2711"/>
      <c r="P6" s="3714"/>
      <c r="Q6" s="3715"/>
      <c r="R6" s="3694"/>
      <c r="S6" s="3695"/>
      <c r="T6" s="3716"/>
      <c r="U6" s="3717"/>
      <c r="V6" s="3718"/>
      <c r="W6" s="3718"/>
      <c r="X6" s="1354"/>
      <c r="Y6" s="3716"/>
      <c r="Z6" s="3717"/>
      <c r="AA6" s="3689"/>
      <c r="AB6" s="3689"/>
      <c r="AC6" s="3689"/>
    </row>
    <row r="7" spans="1:30" s="108" customFormat="1" ht="15.75" thickBot="1">
      <c r="A7" s="362" t="s">
        <v>1679</v>
      </c>
      <c r="B7" s="363"/>
      <c r="C7" s="364">
        <f>'数据-取费表'!B2</f>
        <v>44845</v>
      </c>
      <c r="D7" s="365">
        <v>100</v>
      </c>
      <c r="E7" s="366"/>
      <c r="F7" s="367">
        <f>SUMIF(69:69,YEAR(E7)&amp;"-"&amp;INT((MONTH(E7)+2)/3),70:70)</f>
        <v>0</v>
      </c>
      <c r="G7" s="1970"/>
      <c r="H7" s="365">
        <f>SUMIF(69:69,YEAR(G7)&amp;"-"&amp;INT((MONTH(G7)+2)/3),70:70)</f>
        <v>0</v>
      </c>
      <c r="I7" s="1970"/>
      <c r="J7" s="365">
        <f>SUMIF(69:69,YEAR(I7)&amp;"-"&amp;INT((MONTH(I7)+2)/3),70:70)</f>
        <v>0</v>
      </c>
      <c r="K7" s="560"/>
      <c r="L7" s="2712"/>
      <c r="M7" s="2713"/>
      <c r="N7" s="2713"/>
      <c r="O7" s="2713"/>
      <c r="P7" s="3690" t="s">
        <v>1680</v>
      </c>
      <c r="Q7" s="3719"/>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690" t="s">
        <v>1683</v>
      </c>
      <c r="Q8" s="3691"/>
      <c r="R8" s="701" t="s">
        <v>14</v>
      </c>
      <c r="S8" s="702">
        <f t="shared" si="0"/>
        <v>0</v>
      </c>
      <c r="T8" s="701" t="s">
        <v>14</v>
      </c>
      <c r="U8" s="702">
        <f t="shared" si="1"/>
        <v>0</v>
      </c>
      <c r="V8" s="701" t="s">
        <v>14</v>
      </c>
      <c r="W8" s="702">
        <f t="shared" si="2"/>
        <v>0</v>
      </c>
      <c r="X8" s="703"/>
      <c r="Y8" s="3690" t="s">
        <v>1683</v>
      </c>
      <c r="Z8" s="3691"/>
      <c r="AA8" s="704" t="e">
        <f t="shared" ref="AA8:AA45" si="3">D8/F8</f>
        <v>#DIV/0!</v>
      </c>
      <c r="AB8" s="704" t="e">
        <f t="shared" ref="AB8:AB45" si="4">D8/H8</f>
        <v>#DIV/0!</v>
      </c>
      <c r="AC8" s="704"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2"/>
      <c r="M9" s="2713"/>
      <c r="N9" s="2713"/>
      <c r="O9" s="2767"/>
      <c r="P9" s="3723"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122</v>
      </c>
      <c r="G10" s="414"/>
      <c r="H10" s="127">
        <f>ROUND(100/'数据-取费表'!G16,0)</f>
        <v>122</v>
      </c>
      <c r="I10" s="414"/>
      <c r="J10" s="127">
        <f>ROUND(100/'数据-取费表'!G16,0)</f>
        <v>122</v>
      </c>
      <c r="K10" s="620"/>
      <c r="L10" s="2714"/>
      <c r="M10" s="2715"/>
      <c r="N10" s="2715"/>
      <c r="O10" s="2768"/>
      <c r="P10" s="3723"/>
      <c r="Q10" s="1342" t="str">
        <f t="shared" si="6"/>
        <v>土地使用年限（年）</v>
      </c>
      <c r="R10" s="701" t="s">
        <v>14</v>
      </c>
      <c r="S10" s="702">
        <f t="shared" si="0"/>
        <v>122</v>
      </c>
      <c r="T10" s="701" t="s">
        <v>14</v>
      </c>
      <c r="U10" s="702">
        <f t="shared" si="1"/>
        <v>122</v>
      </c>
      <c r="V10" s="701" t="s">
        <v>14</v>
      </c>
      <c r="W10" s="702">
        <f t="shared" si="2"/>
        <v>122</v>
      </c>
      <c r="X10" s="703"/>
      <c r="Y10" s="3634"/>
      <c r="Z10" s="52" t="str">
        <f t="shared" si="7"/>
        <v>土地使用年限（年）</v>
      </c>
      <c r="AA10" s="704">
        <f t="shared" si="3"/>
        <v>0.81967213114754101</v>
      </c>
      <c r="AB10" s="704">
        <f t="shared" si="4"/>
        <v>0.81967213114754101</v>
      </c>
      <c r="AC10" s="704">
        <f t="shared" si="5"/>
        <v>0.81967213114754101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723"/>
      <c r="Q11" s="1342"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723"/>
      <c r="Q12" s="1342" t="str">
        <f t="shared" si="6"/>
        <v>配建</v>
      </c>
      <c r="R12" s="701" t="s">
        <v>14</v>
      </c>
      <c r="S12" s="702">
        <f t="shared" si="0"/>
        <v>100</v>
      </c>
      <c r="T12" s="701" t="s">
        <v>14</v>
      </c>
      <c r="U12" s="702">
        <f t="shared" si="1"/>
        <v>100</v>
      </c>
      <c r="V12" s="701" t="s">
        <v>14</v>
      </c>
      <c r="W12" s="702">
        <f t="shared" si="2"/>
        <v>100</v>
      </c>
      <c r="X12" s="703"/>
      <c r="Y12" s="3634"/>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723"/>
      <c r="Q13" s="1342">
        <f t="shared" si="6"/>
        <v>111</v>
      </c>
      <c r="R13" s="701" t="s">
        <v>14</v>
      </c>
      <c r="S13" s="702">
        <f t="shared" si="0"/>
        <v>100</v>
      </c>
      <c r="T13" s="701" t="s">
        <v>14</v>
      </c>
      <c r="U13" s="702">
        <f t="shared" si="1"/>
        <v>100</v>
      </c>
      <c r="V13" s="701" t="s">
        <v>14</v>
      </c>
      <c r="W13" s="702">
        <f t="shared" si="2"/>
        <v>100</v>
      </c>
      <c r="X13" s="703"/>
      <c r="Y13" s="3634"/>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723"/>
      <c r="Q14" s="1342">
        <f t="shared" si="6"/>
        <v>111</v>
      </c>
      <c r="R14" s="701" t="s">
        <v>14</v>
      </c>
      <c r="S14" s="702">
        <f t="shared" si="0"/>
        <v>100</v>
      </c>
      <c r="T14" s="701" t="s">
        <v>14</v>
      </c>
      <c r="U14" s="702">
        <f t="shared" si="1"/>
        <v>100</v>
      </c>
      <c r="V14" s="701" t="s">
        <v>14</v>
      </c>
      <c r="W14" s="702">
        <f t="shared" si="2"/>
        <v>100</v>
      </c>
      <c r="X14" s="703"/>
      <c r="Y14" s="3634"/>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725" t="s">
        <v>1691</v>
      </c>
      <c r="Q15" s="1351" t="str">
        <f t="shared" si="6"/>
        <v>居住社区成熟度</v>
      </c>
      <c r="R15" s="705" t="s">
        <v>14</v>
      </c>
      <c r="S15" s="706">
        <f t="shared" si="0"/>
        <v>100</v>
      </c>
      <c r="T15" s="705" t="s">
        <v>14</v>
      </c>
      <c r="U15" s="706">
        <f t="shared" si="1"/>
        <v>100</v>
      </c>
      <c r="V15" s="705" t="s">
        <v>14</v>
      </c>
      <c r="W15" s="706">
        <f t="shared" si="2"/>
        <v>100</v>
      </c>
      <c r="X15" s="1354"/>
      <c r="Y15" s="3725" t="s">
        <v>1691</v>
      </c>
      <c r="Z15" s="1355" t="str">
        <f t="shared" si="7"/>
        <v>居住社区成熟度</v>
      </c>
      <c r="AA15" s="1352">
        <f t="shared" si="3"/>
        <v>1</v>
      </c>
      <c r="AB15" s="1352">
        <f t="shared" si="4"/>
        <v>1</v>
      </c>
      <c r="AC15" s="1352">
        <f t="shared" si="5"/>
        <v>1</v>
      </c>
    </row>
    <row r="16" spans="1:30" ht="15">
      <c r="A16" s="379"/>
      <c r="B16" s="397"/>
      <c r="C16" s="398"/>
      <c r="D16" s="399"/>
      <c r="E16" s="1896"/>
      <c r="F16" s="399"/>
      <c r="G16" s="1896"/>
      <c r="H16" s="401"/>
      <c r="I16" s="1895"/>
      <c r="J16" s="399"/>
      <c r="K16" s="620"/>
      <c r="L16" s="2717"/>
      <c r="M16" s="2711"/>
      <c r="N16" s="2711"/>
      <c r="O16" s="2769"/>
      <c r="P16" s="3726"/>
      <c r="Q16" s="1351"/>
      <c r="R16" s="705"/>
      <c r="S16" s="706"/>
      <c r="T16" s="705"/>
      <c r="U16" s="706"/>
      <c r="V16" s="705"/>
      <c r="W16" s="706"/>
      <c r="X16" s="1354"/>
      <c r="Y16" s="3726"/>
      <c r="Z16" s="1355"/>
      <c r="AA16" s="1352">
        <v>1</v>
      </c>
      <c r="AB16" s="1352">
        <v>1</v>
      </c>
      <c r="AC16" s="1352">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726"/>
      <c r="Q17" s="1351" t="str">
        <f>B17</f>
        <v>商业繁华度</v>
      </c>
      <c r="R17" s="705" t="s">
        <v>14</v>
      </c>
      <c r="S17" s="706">
        <f>F17</f>
        <v>100</v>
      </c>
      <c r="T17" s="705" t="s">
        <v>14</v>
      </c>
      <c r="U17" s="706">
        <f>H17</f>
        <v>100</v>
      </c>
      <c r="V17" s="705" t="s">
        <v>14</v>
      </c>
      <c r="W17" s="706">
        <f>J17</f>
        <v>100</v>
      </c>
      <c r="X17" s="1354"/>
      <c r="Y17" s="3726"/>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17"/>
      <c r="M18" s="2711"/>
      <c r="N18" s="2711"/>
      <c r="O18" s="2769"/>
      <c r="P18" s="3726"/>
      <c r="Q18" s="1351"/>
      <c r="R18" s="705"/>
      <c r="S18" s="706"/>
      <c r="T18" s="705"/>
      <c r="U18" s="706"/>
      <c r="V18" s="705"/>
      <c r="W18" s="706"/>
      <c r="X18" s="1354"/>
      <c r="Y18" s="3726"/>
      <c r="Z18" s="1355"/>
      <c r="AA18" s="1352">
        <v>1</v>
      </c>
      <c r="AB18" s="1352">
        <v>1</v>
      </c>
      <c r="AC18" s="1352">
        <v>1</v>
      </c>
    </row>
    <row r="19" spans="1:29" ht="128.25">
      <c r="A19" s="379"/>
      <c r="B19" s="402" t="s">
        <v>1811</v>
      </c>
      <c r="C19" s="1951" t="str">
        <f>估价对象房地状况!C17</f>
        <v>估价对象位于知春路商圈，周边办公楼项目有希格玛大厦、资金数码园、厦门大厦、卫星大厦、金仪科技大厦，入驻率高，办公集聚程度较好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726"/>
      <c r="Q19" s="1351" t="str">
        <f>B19</f>
        <v>办公集聚程度</v>
      </c>
      <c r="R19" s="705" t="s">
        <v>14</v>
      </c>
      <c r="S19" s="706">
        <f>F19</f>
        <v>100</v>
      </c>
      <c r="T19" s="705" t="s">
        <v>14</v>
      </c>
      <c r="U19" s="706">
        <f>H19</f>
        <v>100</v>
      </c>
      <c r="V19" s="705" t="s">
        <v>14</v>
      </c>
      <c r="W19" s="706">
        <f>J19</f>
        <v>100</v>
      </c>
      <c r="X19" s="1354"/>
      <c r="Y19" s="3726"/>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17"/>
      <c r="M20" s="2711"/>
      <c r="N20" s="2711"/>
      <c r="O20" s="2769"/>
      <c r="P20" s="3726"/>
      <c r="Q20" s="1351"/>
      <c r="R20" s="705"/>
      <c r="S20" s="706"/>
      <c r="T20" s="705"/>
      <c r="U20" s="706"/>
      <c r="V20" s="705"/>
      <c r="W20" s="706"/>
      <c r="X20" s="1354"/>
      <c r="Y20" s="3726"/>
      <c r="Z20" s="1355"/>
      <c r="AA20" s="1352">
        <v>1</v>
      </c>
      <c r="AB20" s="1352">
        <v>1</v>
      </c>
      <c r="AC20" s="1352">
        <v>1</v>
      </c>
    </row>
    <row r="21" spans="1:29" ht="156.75">
      <c r="A21" s="379"/>
      <c r="B21" s="402" t="s">
        <v>1833</v>
      </c>
      <c r="C21" s="1898" t="str">
        <f>估价对象房地状况!C18</f>
        <v>估价对象临近知春路，距离地铁10、13号线知春路站约100米，周边有专168路、311路、319路、630路等公交车通达，停车便捷程度较好，综合评价交通便捷度好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726"/>
      <c r="Q21" s="1351" t="str">
        <f>B21</f>
        <v>交通便捷度</v>
      </c>
      <c r="R21" s="705" t="s">
        <v>14</v>
      </c>
      <c r="S21" s="706">
        <f>F21</f>
        <v>100</v>
      </c>
      <c r="T21" s="705" t="s">
        <v>14</v>
      </c>
      <c r="U21" s="706">
        <f>H21</f>
        <v>100</v>
      </c>
      <c r="V21" s="705" t="s">
        <v>14</v>
      </c>
      <c r="W21" s="706">
        <f>J21</f>
        <v>100</v>
      </c>
      <c r="X21" s="1354"/>
      <c r="Y21" s="3726"/>
      <c r="Z21" s="1355" t="str">
        <f>Q21</f>
        <v>交通便捷度</v>
      </c>
      <c r="AA21" s="1352">
        <f t="shared" si="3"/>
        <v>1</v>
      </c>
      <c r="AB21" s="1352">
        <f t="shared" si="4"/>
        <v>1</v>
      </c>
      <c r="AC21" s="1352">
        <f t="shared" si="5"/>
        <v>1</v>
      </c>
    </row>
    <row r="22" spans="1:29" ht="15">
      <c r="A22" s="379"/>
      <c r="B22" s="1131"/>
      <c r="C22" s="398"/>
      <c r="D22" s="401"/>
      <c r="E22" s="1896"/>
      <c r="F22" s="399"/>
      <c r="G22" s="1896"/>
      <c r="H22" s="399"/>
      <c r="I22" s="1895"/>
      <c r="J22" s="399"/>
      <c r="K22" s="620"/>
      <c r="L22" s="2717"/>
      <c r="M22" s="2711"/>
      <c r="N22" s="2711"/>
      <c r="O22" s="2769"/>
      <c r="P22" s="3726"/>
      <c r="Q22" s="1351"/>
      <c r="R22" s="705"/>
      <c r="S22" s="706"/>
      <c r="T22" s="705"/>
      <c r="U22" s="706"/>
      <c r="V22" s="705"/>
      <c r="W22" s="706"/>
      <c r="X22" s="1354"/>
      <c r="Y22" s="3726"/>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726"/>
      <c r="Q23" s="1351" t="str">
        <f t="shared" ref="Q23:Q37" si="8">B23</f>
        <v>区域土地利用方向</v>
      </c>
      <c r="R23" s="705" t="s">
        <v>14</v>
      </c>
      <c r="S23" s="706">
        <f>F23</f>
        <v>100</v>
      </c>
      <c r="T23" s="705" t="s">
        <v>14</v>
      </c>
      <c r="U23" s="706">
        <f>H23</f>
        <v>100</v>
      </c>
      <c r="V23" s="705" t="s">
        <v>14</v>
      </c>
      <c r="W23" s="706">
        <f>J23</f>
        <v>100</v>
      </c>
      <c r="X23" s="1354"/>
      <c r="Y23" s="3726"/>
      <c r="Z23" s="1355" t="str">
        <f>Q23</f>
        <v>区域土地利用方向</v>
      </c>
      <c r="AA23" s="1352">
        <f t="shared" si="3"/>
        <v>1</v>
      </c>
      <c r="AB23" s="1352">
        <f t="shared" si="4"/>
        <v>1</v>
      </c>
      <c r="AC23" s="1352">
        <f t="shared" si="5"/>
        <v>1</v>
      </c>
    </row>
    <row r="24" spans="1:29" ht="15">
      <c r="A24" s="358"/>
      <c r="B24" s="407"/>
      <c r="C24" s="565"/>
      <c r="D24" s="399"/>
      <c r="E24" s="1896"/>
      <c r="F24" s="399"/>
      <c r="G24" s="1895"/>
      <c r="H24" s="399"/>
      <c r="I24" s="1895"/>
      <c r="J24" s="399"/>
      <c r="K24" s="740"/>
      <c r="L24" s="2717"/>
      <c r="M24" s="2711"/>
      <c r="N24" s="2711"/>
      <c r="O24" s="2769"/>
      <c r="P24" s="3726"/>
      <c r="Q24" s="1351"/>
      <c r="R24" s="705"/>
      <c r="S24" s="706"/>
      <c r="T24" s="705"/>
      <c r="U24" s="706"/>
      <c r="V24" s="705"/>
      <c r="W24" s="706"/>
      <c r="X24" s="1354"/>
      <c r="Y24" s="3726"/>
      <c r="Z24" s="1355"/>
      <c r="AA24" s="1352"/>
      <c r="AB24" s="1352"/>
      <c r="AC24" s="1352"/>
    </row>
    <row r="25" spans="1:29" ht="114">
      <c r="A25" s="358"/>
      <c r="B25" s="1131" t="s">
        <v>1872</v>
      </c>
      <c r="C25" s="1951" t="str">
        <f>估价对象房地状况!C20</f>
        <v>区域自然环境：知春公园、双榆树公园；人文环境；首体足球场、大运村网球场；
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726"/>
      <c r="Q25" s="1351" t="str">
        <f t="shared" si="8"/>
        <v>自然及人文环境状况</v>
      </c>
      <c r="R25" s="705" t="s">
        <v>14</v>
      </c>
      <c r="S25" s="706">
        <f>F25</f>
        <v>100</v>
      </c>
      <c r="T25" s="705" t="s">
        <v>14</v>
      </c>
      <c r="U25" s="706">
        <f>H25</f>
        <v>100</v>
      </c>
      <c r="V25" s="705" t="s">
        <v>14</v>
      </c>
      <c r="W25" s="706">
        <f>J25</f>
        <v>100</v>
      </c>
      <c r="X25" s="1354"/>
      <c r="Y25" s="3726"/>
      <c r="Z25" s="1355" t="str">
        <f>Q25</f>
        <v>自然及人文环境状况</v>
      </c>
      <c r="AA25" s="1352">
        <f t="shared" si="3"/>
        <v>1</v>
      </c>
      <c r="AB25" s="1352">
        <f t="shared" si="4"/>
        <v>1</v>
      </c>
      <c r="AC25" s="1352">
        <f t="shared" si="5"/>
        <v>1</v>
      </c>
    </row>
    <row r="26" spans="1:29" ht="15">
      <c r="A26" s="358"/>
      <c r="B26" s="407"/>
      <c r="C26" s="398"/>
      <c r="D26" s="399"/>
      <c r="E26" s="1902"/>
      <c r="F26" s="399"/>
      <c r="G26" s="1902"/>
      <c r="H26" s="399"/>
      <c r="I26" s="398"/>
      <c r="J26" s="399"/>
      <c r="K26" s="620"/>
      <c r="L26" s="2717"/>
      <c r="M26" s="2711"/>
      <c r="N26" s="2711"/>
      <c r="O26" s="2769"/>
      <c r="P26" s="3726"/>
      <c r="Q26" s="1351"/>
      <c r="R26" s="705"/>
      <c r="S26" s="706"/>
      <c r="T26" s="705"/>
      <c r="U26" s="706"/>
      <c r="V26" s="705"/>
      <c r="W26" s="706"/>
      <c r="X26" s="1354"/>
      <c r="Y26" s="3726"/>
      <c r="Z26" s="1355"/>
      <c r="AA26" s="1352">
        <v>1</v>
      </c>
      <c r="AB26" s="1352">
        <v>1</v>
      </c>
      <c r="AC26" s="1352">
        <v>1</v>
      </c>
    </row>
    <row r="27" spans="1:29" s="108" customFormat="1" ht="313.5">
      <c r="A27" s="597"/>
      <c r="B27" s="1131" t="s">
        <v>1778</v>
      </c>
      <c r="C27" s="1898"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726"/>
      <c r="Q27" s="1342" t="str">
        <f t="shared" si="8"/>
        <v>公共配套设施</v>
      </c>
      <c r="R27" s="701" t="s">
        <v>14</v>
      </c>
      <c r="S27" s="702">
        <f>F27</f>
        <v>100</v>
      </c>
      <c r="T27" s="701" t="s">
        <v>14</v>
      </c>
      <c r="U27" s="702">
        <f>H27</f>
        <v>100</v>
      </c>
      <c r="V27" s="701" t="s">
        <v>14</v>
      </c>
      <c r="W27" s="702">
        <f>J27</f>
        <v>100</v>
      </c>
      <c r="X27" s="703"/>
      <c r="Y27" s="3726"/>
      <c r="Z27" s="52" t="str">
        <f>Q27</f>
        <v>公共配套设施</v>
      </c>
      <c r="AA27" s="1352">
        <f>D27/F27</f>
        <v>1</v>
      </c>
      <c r="AB27" s="1352">
        <f>D27/H27</f>
        <v>1</v>
      </c>
      <c r="AC27" s="1352">
        <f>D27/J27</f>
        <v>1</v>
      </c>
    </row>
    <row r="28" spans="1:29" s="108" customFormat="1" ht="15">
      <c r="A28" s="597"/>
      <c r="B28" s="407"/>
      <c r="C28" s="1974"/>
      <c r="D28" s="399"/>
      <c r="E28" s="1902"/>
      <c r="F28" s="399"/>
      <c r="G28" s="1902"/>
      <c r="H28" s="399"/>
      <c r="I28" s="398"/>
      <c r="J28" s="399"/>
      <c r="K28" s="620"/>
      <c r="L28" s="2712"/>
      <c r="M28" s="2713"/>
      <c r="N28" s="2713"/>
      <c r="O28" s="2767"/>
      <c r="P28" s="3726"/>
      <c r="Q28" s="1342"/>
      <c r="R28" s="701"/>
      <c r="S28" s="702"/>
      <c r="T28" s="701"/>
      <c r="U28" s="702"/>
      <c r="V28" s="701"/>
      <c r="W28" s="702"/>
      <c r="X28" s="703"/>
      <c r="Y28" s="3726"/>
      <c r="Z28" s="52"/>
      <c r="AA28" s="1352">
        <v>1</v>
      </c>
      <c r="AB28" s="1352">
        <v>1</v>
      </c>
      <c r="AC28" s="1352">
        <v>1</v>
      </c>
    </row>
    <row r="29" spans="1:29" s="108" customFormat="1" ht="42.75">
      <c r="A29" s="597"/>
      <c r="B29" s="1131" t="s">
        <v>1779</v>
      </c>
      <c r="C29" s="1898" t="str">
        <f>估价对象房地状况!C22</f>
        <v>估价对象所在区域基础设施水平-七通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726"/>
      <c r="Q29" s="1342" t="str">
        <f t="shared" ref="Q29" si="9">B29</f>
        <v>基础设施水平</v>
      </c>
      <c r="R29" s="701" t="s">
        <v>14</v>
      </c>
      <c r="S29" s="702">
        <f>F29</f>
        <v>100</v>
      </c>
      <c r="T29" s="701" t="s">
        <v>14</v>
      </c>
      <c r="U29" s="702">
        <f>H29</f>
        <v>100</v>
      </c>
      <c r="V29" s="701" t="s">
        <v>14</v>
      </c>
      <c r="W29" s="702">
        <f>J29</f>
        <v>100</v>
      </c>
      <c r="X29" s="703"/>
      <c r="Y29" s="3726"/>
      <c r="Z29" s="52" t="str">
        <f>Q29</f>
        <v>基础设施水平</v>
      </c>
      <c r="AA29" s="1352">
        <f>D29/F29</f>
        <v>1</v>
      </c>
      <c r="AB29" s="1352">
        <f>D29/H29</f>
        <v>1</v>
      </c>
      <c r="AC29" s="1352">
        <f>D29/J29</f>
        <v>1</v>
      </c>
    </row>
    <row r="30" spans="1:29" s="108" customFormat="1" ht="15">
      <c r="A30" s="597"/>
      <c r="B30" s="407"/>
      <c r="C30" s="1974"/>
      <c r="D30" s="399"/>
      <c r="E30" s="1975"/>
      <c r="F30" s="399"/>
      <c r="G30" s="1975"/>
      <c r="H30" s="399"/>
      <c r="I30" s="1975"/>
      <c r="J30" s="399"/>
      <c r="K30" s="620"/>
      <c r="L30" s="2712"/>
      <c r="M30" s="2713"/>
      <c r="N30" s="2713"/>
      <c r="O30" s="2767"/>
      <c r="P30" s="3726"/>
      <c r="Q30" s="1342"/>
      <c r="R30" s="701"/>
      <c r="S30" s="702"/>
      <c r="T30" s="701"/>
      <c r="U30" s="702"/>
      <c r="V30" s="701"/>
      <c r="W30" s="702"/>
      <c r="X30" s="703"/>
      <c r="Y30" s="3726"/>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72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26"/>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726"/>
      <c r="Q32" s="1351" t="str">
        <f t="shared" si="8"/>
        <v>毗邻道路的类型与等级</v>
      </c>
      <c r="R32" s="705" t="s">
        <v>14</v>
      </c>
      <c r="S32" s="706">
        <f t="shared" si="10"/>
        <v>100</v>
      </c>
      <c r="T32" s="705" t="s">
        <v>14</v>
      </c>
      <c r="U32" s="706">
        <f t="shared" si="11"/>
        <v>100</v>
      </c>
      <c r="V32" s="705" t="s">
        <v>14</v>
      </c>
      <c r="W32" s="706">
        <f t="shared" si="12"/>
        <v>100</v>
      </c>
      <c r="X32" s="1354"/>
      <c r="Y32" s="3726"/>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17"/>
      <c r="M33" s="2711"/>
      <c r="N33" s="2711"/>
      <c r="O33" s="2769"/>
      <c r="P33" s="3726"/>
      <c r="Q33" s="1351"/>
      <c r="R33" s="705"/>
      <c r="S33" s="706"/>
      <c r="T33" s="705"/>
      <c r="U33" s="706"/>
      <c r="V33" s="705"/>
      <c r="W33" s="706"/>
      <c r="X33" s="1354"/>
      <c r="Y33" s="3726"/>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726"/>
      <c r="Q34" s="1351" t="str">
        <f t="shared" si="8"/>
        <v>土地级别</v>
      </c>
      <c r="R34" s="705" t="s">
        <v>14</v>
      </c>
      <c r="S34" s="706">
        <f t="shared" si="10"/>
        <v>100</v>
      </c>
      <c r="T34" s="705" t="s">
        <v>14</v>
      </c>
      <c r="U34" s="706">
        <f t="shared" si="11"/>
        <v>100</v>
      </c>
      <c r="V34" s="705" t="s">
        <v>14</v>
      </c>
      <c r="W34" s="706">
        <f t="shared" si="12"/>
        <v>100</v>
      </c>
      <c r="X34" s="1354"/>
      <c r="Y34" s="3726"/>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726"/>
      <c r="Q35" s="1351">
        <f t="shared" si="8"/>
        <v>111</v>
      </c>
      <c r="R35" s="705" t="s">
        <v>14</v>
      </c>
      <c r="S35" s="706">
        <f t="shared" si="10"/>
        <v>100</v>
      </c>
      <c r="T35" s="705" t="s">
        <v>14</v>
      </c>
      <c r="U35" s="706">
        <f t="shared" si="11"/>
        <v>100</v>
      </c>
      <c r="V35" s="705" t="s">
        <v>14</v>
      </c>
      <c r="W35" s="706">
        <f t="shared" si="12"/>
        <v>100</v>
      </c>
      <c r="X35" s="1354"/>
      <c r="Y35" s="3726"/>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49" t="s">
        <v>1696</v>
      </c>
      <c r="Q36" s="1351">
        <f t="shared" si="8"/>
        <v>111</v>
      </c>
      <c r="R36" s="705" t="s">
        <v>14</v>
      </c>
      <c r="S36" s="706">
        <f t="shared" si="10"/>
        <v>100</v>
      </c>
      <c r="T36" s="705" t="s">
        <v>14</v>
      </c>
      <c r="U36" s="706">
        <f t="shared" si="11"/>
        <v>100</v>
      </c>
      <c r="V36" s="705" t="s">
        <v>14</v>
      </c>
      <c r="W36" s="706">
        <f t="shared" si="12"/>
        <v>100</v>
      </c>
      <c r="X36" s="1354"/>
      <c r="Y36" s="3730"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730"/>
      <c r="Q37" s="1351">
        <f t="shared" si="8"/>
        <v>111</v>
      </c>
      <c r="R37" s="708" t="s">
        <v>14</v>
      </c>
      <c r="S37" s="709">
        <f t="shared" si="10"/>
        <v>100</v>
      </c>
      <c r="T37" s="708" t="s">
        <v>14</v>
      </c>
      <c r="U37" s="709">
        <f t="shared" si="11"/>
        <v>100</v>
      </c>
      <c r="V37" s="708" t="s">
        <v>14</v>
      </c>
      <c r="W37" s="709">
        <f t="shared" si="12"/>
        <v>100</v>
      </c>
      <c r="X37" s="710"/>
      <c r="Y37" s="3730"/>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730"/>
      <c r="Q38" s="1351" t="str">
        <f>B38</f>
        <v>宗地面积</v>
      </c>
      <c r="R38" s="705" t="s">
        <v>14</v>
      </c>
      <c r="S38" s="706" t="e">
        <f t="shared" si="10"/>
        <v>#N/A</v>
      </c>
      <c r="T38" s="705" t="s">
        <v>14</v>
      </c>
      <c r="U38" s="706" t="e">
        <f t="shared" si="11"/>
        <v>#N/A</v>
      </c>
      <c r="V38" s="705" t="s">
        <v>14</v>
      </c>
      <c r="W38" s="706" t="e">
        <f t="shared" si="12"/>
        <v>#N/A</v>
      </c>
      <c r="X38" s="1354"/>
      <c r="Y38" s="3730"/>
      <c r="Z38" s="1355" t="str">
        <f t="shared" si="13"/>
        <v>宗地面积</v>
      </c>
      <c r="AA38" s="1352" t="e">
        <f t="shared" si="3"/>
        <v>#N/A</v>
      </c>
      <c r="AB38" s="1352" t="e">
        <f t="shared" si="4"/>
        <v>#N/A</v>
      </c>
      <c r="AC38" s="1352"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7"/>
      <c r="M39" s="2711"/>
      <c r="N39" s="2711"/>
      <c r="O39" s="2769"/>
      <c r="P39" s="3730"/>
      <c r="Q39" s="1351" t="str">
        <f t="shared" ref="Q39:Q45" si="14">B39</f>
        <v>宗地形状</v>
      </c>
      <c r="R39" s="705" t="s">
        <v>14</v>
      </c>
      <c r="S39" s="706">
        <f t="shared" si="10"/>
        <v>100</v>
      </c>
      <c r="T39" s="705" t="s">
        <v>14</v>
      </c>
      <c r="U39" s="706">
        <f t="shared" si="11"/>
        <v>100</v>
      </c>
      <c r="V39" s="705" t="s">
        <v>14</v>
      </c>
      <c r="W39" s="706">
        <f t="shared" si="12"/>
        <v>100</v>
      </c>
      <c r="X39" s="1354"/>
      <c r="Y39" s="3730"/>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7"/>
      <c r="M40" s="2711"/>
      <c r="N40" s="2711"/>
      <c r="O40" s="2769"/>
      <c r="P40" s="3730"/>
      <c r="Q40" s="1351" t="str">
        <f t="shared" si="14"/>
        <v>临街宽度及深度</v>
      </c>
      <c r="R40" s="705" t="s">
        <v>14</v>
      </c>
      <c r="S40" s="706">
        <f t="shared" si="10"/>
        <v>100</v>
      </c>
      <c r="T40" s="705" t="s">
        <v>14</v>
      </c>
      <c r="U40" s="706">
        <f t="shared" si="11"/>
        <v>100</v>
      </c>
      <c r="V40" s="705" t="s">
        <v>14</v>
      </c>
      <c r="W40" s="706">
        <f t="shared" si="12"/>
        <v>100</v>
      </c>
      <c r="X40" s="1354"/>
      <c r="Y40" s="3730"/>
      <c r="Z40" s="1355" t="str">
        <f t="shared" si="13"/>
        <v>临街宽度及深度</v>
      </c>
      <c r="AA40" s="1352">
        <f t="shared" si="3"/>
        <v>1</v>
      </c>
      <c r="AB40" s="1352">
        <f t="shared" si="4"/>
        <v>1</v>
      </c>
      <c r="AC40" s="1352">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2"/>
      <c r="M41" s="2713"/>
      <c r="N41" s="2713"/>
      <c r="O41" s="2767"/>
      <c r="P41" s="3730"/>
      <c r="Q41" s="1351" t="str">
        <f t="shared" si="14"/>
        <v>宗地开发程度</v>
      </c>
      <c r="R41" s="701" t="s">
        <v>14</v>
      </c>
      <c r="S41" s="702">
        <f t="shared" si="10"/>
        <v>100</v>
      </c>
      <c r="T41" s="701" t="s">
        <v>14</v>
      </c>
      <c r="U41" s="702">
        <f t="shared" si="11"/>
        <v>100</v>
      </c>
      <c r="V41" s="701" t="s">
        <v>14</v>
      </c>
      <c r="W41" s="702">
        <f t="shared" si="12"/>
        <v>100</v>
      </c>
      <c r="X41" s="703"/>
      <c r="Y41" s="3730"/>
      <c r="Z41" s="52" t="str">
        <f t="shared" si="13"/>
        <v>宗地开发程度</v>
      </c>
      <c r="AA41" s="704">
        <f t="shared" si="3"/>
        <v>1</v>
      </c>
      <c r="AB41" s="704">
        <f t="shared" si="4"/>
        <v>1</v>
      </c>
      <c r="AC41" s="704">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7"/>
      <c r="M42" s="2711"/>
      <c r="N42" s="2711"/>
      <c r="O42" s="2769"/>
      <c r="P42" s="3730" t="s">
        <v>1696</v>
      </c>
      <c r="Q42" s="1351" t="str">
        <f t="shared" si="14"/>
        <v>工程地质条件</v>
      </c>
      <c r="R42" s="705" t="s">
        <v>14</v>
      </c>
      <c r="S42" s="706">
        <f t="shared" si="10"/>
        <v>100</v>
      </c>
      <c r="T42" s="705" t="s">
        <v>14</v>
      </c>
      <c r="U42" s="706">
        <f t="shared" si="11"/>
        <v>100</v>
      </c>
      <c r="V42" s="705" t="s">
        <v>14</v>
      </c>
      <c r="W42" s="706">
        <f t="shared" si="12"/>
        <v>100</v>
      </c>
      <c r="X42" s="1354"/>
      <c r="Y42" s="3730"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730"/>
      <c r="Q43" s="1351">
        <f t="shared" si="14"/>
        <v>111</v>
      </c>
      <c r="R43" s="705" t="s">
        <v>14</v>
      </c>
      <c r="S43" s="706">
        <f t="shared" si="10"/>
        <v>100</v>
      </c>
      <c r="T43" s="705" t="s">
        <v>14</v>
      </c>
      <c r="U43" s="706">
        <f t="shared" si="11"/>
        <v>100</v>
      </c>
      <c r="V43" s="705" t="s">
        <v>14</v>
      </c>
      <c r="W43" s="706">
        <f t="shared" si="12"/>
        <v>100</v>
      </c>
      <c r="X43" s="1354"/>
      <c r="Y43" s="3730"/>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730"/>
      <c r="Q44" s="1351">
        <f t="shared" si="14"/>
        <v>111</v>
      </c>
      <c r="R44" s="705" t="s">
        <v>14</v>
      </c>
      <c r="S44" s="706">
        <f t="shared" si="10"/>
        <v>100</v>
      </c>
      <c r="T44" s="705" t="s">
        <v>14</v>
      </c>
      <c r="U44" s="706">
        <f t="shared" si="11"/>
        <v>100</v>
      </c>
      <c r="V44" s="705" t="s">
        <v>14</v>
      </c>
      <c r="W44" s="706">
        <f t="shared" si="12"/>
        <v>100</v>
      </c>
      <c r="X44" s="1354"/>
      <c r="Y44" s="3730"/>
      <c r="Z44" s="1355">
        <f t="shared" si="13"/>
        <v>111</v>
      </c>
      <c r="AA44" s="1352">
        <f t="shared" si="3"/>
        <v>1</v>
      </c>
      <c r="AB44" s="1352">
        <f t="shared" si="4"/>
        <v>1</v>
      </c>
      <c r="AC44" s="1352">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730"/>
      <c r="Q45" s="1351">
        <f t="shared" si="14"/>
        <v>111</v>
      </c>
      <c r="R45" s="708" t="s">
        <v>14</v>
      </c>
      <c r="S45" s="709">
        <f t="shared" si="10"/>
        <v>100</v>
      </c>
      <c r="T45" s="708" t="s">
        <v>14</v>
      </c>
      <c r="U45" s="709">
        <f t="shared" si="11"/>
        <v>100</v>
      </c>
      <c r="V45" s="708" t="s">
        <v>14</v>
      </c>
      <c r="W45" s="709">
        <f t="shared" si="12"/>
        <v>100</v>
      </c>
      <c r="X45" s="710"/>
      <c r="Y45" s="3730"/>
      <c r="Z45" s="711">
        <f t="shared" si="13"/>
        <v>111</v>
      </c>
      <c r="AA45" s="1352">
        <f t="shared" si="3"/>
        <v>1</v>
      </c>
      <c r="AB45" s="1352">
        <f t="shared" si="4"/>
        <v>1</v>
      </c>
      <c r="AC45" s="1352">
        <f t="shared" si="5"/>
        <v>1</v>
      </c>
    </row>
    <row r="46" spans="1:29" ht="15">
      <c r="A46" s="430" t="s">
        <v>1844</v>
      </c>
      <c r="B46" s="1978" t="s">
        <v>1879</v>
      </c>
      <c r="C46" s="630" t="s">
        <v>0</v>
      </c>
      <c r="D46" s="432"/>
      <c r="E46" s="433"/>
      <c r="F46" s="434"/>
      <c r="G46" s="435"/>
      <c r="H46" s="436"/>
      <c r="I46" s="433"/>
      <c r="J46" s="436"/>
      <c r="K46" s="714"/>
      <c r="L46" s="2719"/>
      <c r="M46" s="2720"/>
      <c r="N46" s="2711"/>
      <c r="O46" s="2720"/>
      <c r="P46" s="3723" t="str">
        <f>A46</f>
        <v>成交单价</v>
      </c>
      <c r="Q46" s="3723"/>
      <c r="R46" s="3718">
        <f>E46</f>
        <v>0</v>
      </c>
      <c r="S46" s="3718"/>
      <c r="T46" s="3718">
        <f>G46</f>
        <v>0</v>
      </c>
      <c r="U46" s="3718"/>
      <c r="V46" s="3718">
        <f>I46</f>
        <v>0</v>
      </c>
      <c r="W46" s="3718"/>
      <c r="X46" s="690"/>
      <c r="Y46" s="712"/>
      <c r="Z46" s="690"/>
      <c r="AA46" s="690"/>
      <c r="AB46" s="690"/>
      <c r="AC46" s="690"/>
    </row>
    <row r="47" spans="1:29" ht="15.75" thickBot="1">
      <c r="A47" s="437" t="s">
        <v>1793</v>
      </c>
      <c r="B47" s="631"/>
      <c r="C47" s="440" t="e">
        <f>R48</f>
        <v>#DIV/0!</v>
      </c>
      <c r="D47" s="2313" t="s">
        <v>2138</v>
      </c>
      <c r="E47" s="440" t="e">
        <f>R47</f>
        <v>#DIV/0!</v>
      </c>
      <c r="F47" s="2314"/>
      <c r="G47" s="439" t="e">
        <f>T47</f>
        <v>#DIV/0!</v>
      </c>
      <c r="H47" s="2314"/>
      <c r="I47" s="440" t="e">
        <f>V47</f>
        <v>#DIV/0!</v>
      </c>
      <c r="J47" s="2314"/>
      <c r="K47" s="2316">
        <f>F47+H47+J47</f>
        <v>0</v>
      </c>
      <c r="L47" s="2719"/>
      <c r="M47" s="2720"/>
      <c r="N47" s="2720"/>
      <c r="O47" s="2720"/>
      <c r="P47" s="3723" t="str">
        <f>A47</f>
        <v>比较价值（元/平方米）</v>
      </c>
      <c r="Q47" s="3723"/>
      <c r="R47" s="3751" t="e">
        <f>ROUND(PRODUCT(R46,AA7:AA45),0)</f>
        <v>#DIV/0!</v>
      </c>
      <c r="S47" s="3751"/>
      <c r="T47" s="3751" t="e">
        <f>ROUND(PRODUCT(T46,AB7:AB45),0)</f>
        <v>#DIV/0!</v>
      </c>
      <c r="U47" s="3751"/>
      <c r="V47" s="3751" t="e">
        <f>ROUND(PRODUCT(V46,AC7:AC45),0)</f>
        <v>#DIV/0!</v>
      </c>
      <c r="W47" s="3751"/>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720" t="str">
        <f>A48</f>
        <v>估价对象XX用房的比较价值（楼面单价，元/平方米）</v>
      </c>
      <c r="Q48" s="3721"/>
      <c r="R48" s="3752" t="e">
        <f>ROUND(IF(D47="简单平均",AVERAGE(R47:W47),R47*F47+T47*H47+V47*J47),0)</f>
        <v>#DIV/0!</v>
      </c>
      <c r="S48" s="3752"/>
      <c r="T48" s="3752"/>
      <c r="U48" s="3752"/>
      <c r="V48" s="3752"/>
      <c r="W48" s="3752"/>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9" t="s">
        <v>1883</v>
      </c>
      <c r="D55" s="1980" t="s">
        <v>1884</v>
      </c>
      <c r="E55" s="634" t="s">
        <v>1885</v>
      </c>
      <c r="F55" s="890" t="s">
        <v>1886</v>
      </c>
      <c r="G55" s="3706" t="s">
        <v>1887</v>
      </c>
      <c r="H55" s="3753"/>
      <c r="I55" s="135" t="s">
        <v>1888</v>
      </c>
      <c r="J55" s="1981">
        <f>项目基本情况!F35</f>
        <v>0</v>
      </c>
      <c r="K55" s="1982"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459.68</v>
      </c>
      <c r="F56" s="886" t="e">
        <f t="shared" ref="F56:F64" si="15">ROUND(B56*E56/10000,0)</f>
        <v>#DIV/0!</v>
      </c>
      <c r="G56" s="3705"/>
      <c r="H56" s="3723"/>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v>
      </c>
      <c r="D57" s="945">
        <v>0.25</v>
      </c>
      <c r="E57" s="642"/>
      <c r="F57" s="886" t="e">
        <f t="shared" si="15"/>
        <v>#DIV/0!</v>
      </c>
      <c r="G57" s="3001" t="s">
        <v>1892</v>
      </c>
      <c r="H57" s="887">
        <f>项目基本情况!B37</f>
        <v>0</v>
      </c>
      <c r="I57" s="891">
        <f>SUMIF(修正!A57:A68,H57,修正!B57:B68)</f>
        <v>0</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v>
      </c>
      <c r="D58" s="945">
        <v>0.25</v>
      </c>
      <c r="E58" s="642"/>
      <c r="F58" s="886" t="e">
        <f t="shared" si="15"/>
        <v>#DIV/0!</v>
      </c>
      <c r="G58" s="3002"/>
      <c r="H58" s="887">
        <f>项目基本情况!B37</f>
        <v>0</v>
      </c>
      <c r="I58" s="891">
        <f>SUMIF(修正!A57:A68,H58,修正!C57:C68)</f>
        <v>0</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v>
      </c>
      <c r="D59" s="945">
        <v>0.25</v>
      </c>
      <c r="E59" s="642"/>
      <c r="F59" s="886" t="e">
        <f t="shared" si="15"/>
        <v>#DIV/0!</v>
      </c>
      <c r="G59" s="3002"/>
      <c r="H59" s="887">
        <f>项目基本情况!B37</f>
        <v>0</v>
      </c>
      <c r="I59" s="891">
        <f>SUMIF(修正!A57:A68,H59,修正!D57:D68)</f>
        <v>0</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0.25</v>
      </c>
      <c r="D60" s="945">
        <v>0.25</v>
      </c>
      <c r="E60" s="217">
        <f>'数据-汇总表'!E11</f>
        <v>0</v>
      </c>
      <c r="F60" s="886" t="e">
        <f t="shared" si="15"/>
        <v>#DIV/0!</v>
      </c>
      <c r="G60" s="1983" t="s">
        <v>1896</v>
      </c>
      <c r="H60" s="887" t="str">
        <f>项目基本情况!C37</f>
        <v>三级</v>
      </c>
      <c r="I60" s="891">
        <f>SUMIF(修正!A57:A68,H60,修正!E57:E68)</f>
        <v>0.25</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三级</v>
      </c>
      <c r="I61" s="891">
        <f>SUMIF(修正!A57:A68,H61,修正!F57:F68)</f>
        <v>0.25</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v>
      </c>
      <c r="D63" s="945">
        <v>0.25</v>
      </c>
      <c r="E63" s="217">
        <f>'数据-汇总表'!E14</f>
        <v>0</v>
      </c>
      <c r="F63" s="886" t="e">
        <f t="shared" si="15"/>
        <v>#DIV/0!</v>
      </c>
      <c r="G63" s="1983" t="s">
        <v>1892</v>
      </c>
      <c r="H63" s="887">
        <f>项目基本情况!B37</f>
        <v>0</v>
      </c>
      <c r="I63" s="891">
        <f>SUMIF(修正!A57:A68,H63,修正!G57:G68)</f>
        <v>0</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0.15</v>
      </c>
      <c r="D64" s="945">
        <v>0.25</v>
      </c>
      <c r="E64" s="217">
        <f>'数据-汇总表'!E15</f>
        <v>0</v>
      </c>
      <c r="F64" s="886" t="e">
        <f t="shared" si="15"/>
        <v>#DIV/0!</v>
      </c>
      <c r="G64" s="1984" t="s">
        <v>1896</v>
      </c>
      <c r="H64" s="897" t="str">
        <f>项目基本情况!C37</f>
        <v>三级</v>
      </c>
      <c r="I64" s="893">
        <f>SUMIF(修正!A57:A68,H64,修正!G57:G68)</f>
        <v>0.15</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459.68</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2022-10-1</v>
      </c>
      <c r="D67" s="692">
        <f>EDATE(C67,-3)</f>
        <v>44743</v>
      </c>
      <c r="E67" s="692">
        <f>EDATE(D67,-3)</f>
        <v>44652</v>
      </c>
      <c r="F67" s="692">
        <f t="shared" ref="F67:O67" si="18">EDATE(E67,-3)</f>
        <v>44562</v>
      </c>
      <c r="G67" s="692">
        <f t="shared" si="18"/>
        <v>44470</v>
      </c>
      <c r="H67" s="692">
        <f t="shared" si="18"/>
        <v>44378</v>
      </c>
      <c r="I67" s="692">
        <f t="shared" si="18"/>
        <v>44287</v>
      </c>
      <c r="J67" s="692">
        <f t="shared" si="18"/>
        <v>44197</v>
      </c>
      <c r="K67" s="692">
        <f t="shared" si="18"/>
        <v>44105</v>
      </c>
      <c r="L67" s="692">
        <f t="shared" si="18"/>
        <v>44013</v>
      </c>
      <c r="M67" s="692">
        <f t="shared" si="18"/>
        <v>43922</v>
      </c>
      <c r="N67" s="692">
        <f t="shared" si="18"/>
        <v>43831</v>
      </c>
      <c r="O67" s="692">
        <f t="shared" si="18"/>
        <v>43739</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5" t="s">
        <v>1904</v>
      </c>
      <c r="B69" s="1109"/>
      <c r="C69" s="1181" t="str">
        <f>YEAR(C67)&amp;"-"&amp;ROUNDUP(MONTH(C67)/3,0)</f>
        <v>2022-4</v>
      </c>
      <c r="D69" s="1181" t="str">
        <f>YEAR(D67)&amp;"-"&amp;ROUNDUP(MONTH(D67)/3,0)</f>
        <v>2022-3</v>
      </c>
      <c r="E69" s="1181" t="str">
        <f t="shared" ref="E69:O69" si="19">YEAR(E67)&amp;"-"&amp;ROUNDUP(MONTH(E67)/3,0)</f>
        <v>2022-2</v>
      </c>
      <c r="F69" s="1181" t="str">
        <f t="shared" si="19"/>
        <v>2022-1</v>
      </c>
      <c r="G69" s="1181" t="str">
        <f t="shared" si="19"/>
        <v>2021-4</v>
      </c>
      <c r="H69" s="1181" t="str">
        <f t="shared" si="19"/>
        <v>2021-3</v>
      </c>
      <c r="I69" s="1181" t="str">
        <f t="shared" si="19"/>
        <v>2021-2</v>
      </c>
      <c r="J69" s="1181" t="str">
        <f t="shared" si="19"/>
        <v>2021-1</v>
      </c>
      <c r="K69" s="1181" t="str">
        <f t="shared" si="19"/>
        <v>2020-4</v>
      </c>
      <c r="L69" s="1181" t="str">
        <f t="shared" si="19"/>
        <v>2020-3</v>
      </c>
      <c r="M69" s="1181" t="str">
        <f t="shared" si="19"/>
        <v>2020-2</v>
      </c>
      <c r="N69" s="1181" t="str">
        <f t="shared" si="19"/>
        <v>2020-1</v>
      </c>
      <c r="O69" s="1181" t="str">
        <f t="shared" si="19"/>
        <v>2019-4</v>
      </c>
      <c r="P69" s="2771"/>
      <c r="Q69" s="2736"/>
      <c r="R69" s="2736"/>
      <c r="S69" s="2736"/>
      <c r="T69" s="2736"/>
      <c r="U69" s="2736"/>
      <c r="V69" s="2736"/>
      <c r="W69" s="2736"/>
      <c r="X69" s="2736"/>
      <c r="Y69" s="2736"/>
      <c r="Z69" s="2736"/>
      <c r="AA69" s="2736"/>
      <c r="AB69" s="2736"/>
      <c r="AC69" s="2736"/>
    </row>
    <row r="70" spans="1:29" s="108" customFormat="1" ht="30" customHeight="1">
      <c r="A70" s="1986"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706" t="s">
        <v>1770</v>
      </c>
      <c r="D4" s="3707"/>
      <c r="E4" s="3708" t="s">
        <v>1771</v>
      </c>
      <c r="F4" s="3709"/>
      <c r="G4" s="3706" t="s">
        <v>1772</v>
      </c>
      <c r="H4" s="3707"/>
      <c r="I4" s="3706" t="s">
        <v>1773</v>
      </c>
      <c r="J4" s="3707"/>
      <c r="K4" s="559" t="s">
        <v>1774</v>
      </c>
      <c r="L4" s="2710"/>
      <c r="M4" s="2711"/>
      <c r="N4" s="2711"/>
      <c r="O4" s="2711"/>
      <c r="P4" s="3710" t="s">
        <v>1775</v>
      </c>
      <c r="Q4" s="3711"/>
      <c r="R4" s="3692" t="s">
        <v>1771</v>
      </c>
      <c r="S4" s="3693"/>
      <c r="T4" s="3692" t="s">
        <v>1772</v>
      </c>
      <c r="U4" s="3693"/>
      <c r="V4" s="3718" t="s">
        <v>1773</v>
      </c>
      <c r="W4" s="3718"/>
      <c r="X4" s="1354"/>
      <c r="Y4" s="3692" t="s">
        <v>1775</v>
      </c>
      <c r="Z4" s="3693"/>
      <c r="AA4" s="3687" t="s">
        <v>1771</v>
      </c>
      <c r="AB4" s="3688" t="s">
        <v>1772</v>
      </c>
      <c r="AC4" s="3687" t="s">
        <v>1773</v>
      </c>
    </row>
    <row r="5" spans="1:29" ht="15">
      <c r="A5" s="358"/>
      <c r="B5" s="359"/>
      <c r="C5" s="3702" t="s">
        <v>1673</v>
      </c>
      <c r="D5" s="3699"/>
      <c r="E5" s="3696" t="s">
        <v>1674</v>
      </c>
      <c r="F5" s="3697"/>
      <c r="G5" s="3702" t="s">
        <v>1675</v>
      </c>
      <c r="H5" s="3699"/>
      <c r="I5" s="3702" t="s">
        <v>1676</v>
      </c>
      <c r="J5" s="3699"/>
      <c r="K5" s="559"/>
      <c r="L5" s="2710"/>
      <c r="M5" s="2711"/>
      <c r="N5" s="2711"/>
      <c r="O5" s="2711"/>
      <c r="P5" s="3712"/>
      <c r="Q5" s="3713"/>
      <c r="R5" s="3694"/>
      <c r="S5" s="3695"/>
      <c r="T5" s="3694"/>
      <c r="U5" s="3695"/>
      <c r="V5" s="3718"/>
      <c r="W5" s="3718"/>
      <c r="X5" s="1354"/>
      <c r="Y5" s="3694"/>
      <c r="Z5" s="3695"/>
      <c r="AA5" s="3688"/>
      <c r="AB5" s="3688"/>
      <c r="AC5" s="3688"/>
    </row>
    <row r="6" spans="1:29" ht="15.75" thickBot="1">
      <c r="A6" s="360"/>
      <c r="B6" s="361"/>
      <c r="C6" s="3754" t="s">
        <v>1919</v>
      </c>
      <c r="D6" s="3755"/>
      <c r="E6" s="3756" t="s">
        <v>1919</v>
      </c>
      <c r="F6" s="3757"/>
      <c r="G6" s="3754" t="s">
        <v>1919</v>
      </c>
      <c r="H6" s="3755"/>
      <c r="I6" s="3754" t="s">
        <v>1919</v>
      </c>
      <c r="J6" s="3755"/>
      <c r="K6" s="559" t="s">
        <v>1678</v>
      </c>
      <c r="L6" s="2710"/>
      <c r="M6" s="2711"/>
      <c r="N6" s="2711"/>
      <c r="O6" s="2711"/>
      <c r="P6" s="3714"/>
      <c r="Q6" s="3715"/>
      <c r="R6" s="3694"/>
      <c r="S6" s="3695"/>
      <c r="T6" s="3716"/>
      <c r="U6" s="3717"/>
      <c r="V6" s="3718"/>
      <c r="W6" s="3718"/>
      <c r="X6" s="1354"/>
      <c r="Y6" s="3716"/>
      <c r="Z6" s="3717"/>
      <c r="AA6" s="3689"/>
      <c r="AB6" s="3689"/>
      <c r="AC6" s="3689"/>
    </row>
    <row r="7" spans="1:29" s="108" customFormat="1" ht="15.75" thickBot="1">
      <c r="A7" s="362" t="s">
        <v>1679</v>
      </c>
      <c r="B7" s="363"/>
      <c r="C7" s="364">
        <f>'数据-取费表'!B2</f>
        <v>44845</v>
      </c>
      <c r="D7" s="365">
        <v>100</v>
      </c>
      <c r="E7" s="366"/>
      <c r="F7" s="367">
        <f>SUMIF(65:65,YEAR(E7)&amp;"-"&amp;INT((MONTH(E7)+2)/3),66:66)</f>
        <v>0</v>
      </c>
      <c r="G7" s="1970"/>
      <c r="H7" s="365">
        <f>SUMIF(65:65,YEAR(G7)&amp;"-"&amp;INT((MONTH(G7)+2)/3),66:66)</f>
        <v>0</v>
      </c>
      <c r="I7" s="1970"/>
      <c r="J7" s="365">
        <f>SUMIF(65:65,YEAR(I7)&amp;"-"&amp;INT((MONTH(I7)+2)/3),66:66)</f>
        <v>0</v>
      </c>
      <c r="K7" s="560"/>
      <c r="L7" s="2712"/>
      <c r="M7" s="2713"/>
      <c r="N7" s="2713"/>
      <c r="O7" s="2713"/>
      <c r="P7" s="3690" t="s">
        <v>1680</v>
      </c>
      <c r="Q7" s="3719"/>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690" t="s">
        <v>1683</v>
      </c>
      <c r="Q8" s="3691"/>
      <c r="R8" s="701" t="s">
        <v>14</v>
      </c>
      <c r="S8" s="702">
        <f t="shared" si="0"/>
        <v>0</v>
      </c>
      <c r="T8" s="701" t="s">
        <v>14</v>
      </c>
      <c r="U8" s="702">
        <f t="shared" si="1"/>
        <v>0</v>
      </c>
      <c r="V8" s="701" t="s">
        <v>14</v>
      </c>
      <c r="W8" s="702">
        <f t="shared" si="2"/>
        <v>0</v>
      </c>
      <c r="X8" s="703"/>
      <c r="Y8" s="3690" t="s">
        <v>1683</v>
      </c>
      <c r="Z8" s="3691"/>
      <c r="AA8" s="704" t="e">
        <f t="shared" ref="AA8:AA40" si="3">D8/F8</f>
        <v>#DIV/0!</v>
      </c>
      <c r="AB8" s="704" t="e">
        <f t="shared" ref="AB8:AB40" si="4">D8/H8</f>
        <v>#DIV/0!</v>
      </c>
      <c r="AC8" s="704"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2"/>
      <c r="M9" s="2713"/>
      <c r="N9" s="2713"/>
      <c r="O9" s="2767"/>
      <c r="P9" s="3723" t="s">
        <v>1686</v>
      </c>
      <c r="Q9" s="1342"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122</v>
      </c>
      <c r="G10" s="383"/>
      <c r="H10" s="127">
        <f>ROUND(100/'数据-取费表'!G16,0)</f>
        <v>122</v>
      </c>
      <c r="I10" s="383"/>
      <c r="J10" s="127">
        <f>ROUND(100/'数据-取费表'!G16,0)</f>
        <v>122</v>
      </c>
      <c r="K10" s="620"/>
      <c r="L10" s="2714"/>
      <c r="M10" s="2715"/>
      <c r="N10" s="2715"/>
      <c r="O10" s="2768"/>
      <c r="P10" s="3723"/>
      <c r="Q10" s="1342" t="str">
        <f t="shared" si="6"/>
        <v>土地使用年限（年）</v>
      </c>
      <c r="R10" s="701" t="s">
        <v>14</v>
      </c>
      <c r="S10" s="702">
        <f t="shared" si="0"/>
        <v>122</v>
      </c>
      <c r="T10" s="701" t="s">
        <v>14</v>
      </c>
      <c r="U10" s="702">
        <f t="shared" si="1"/>
        <v>122</v>
      </c>
      <c r="V10" s="701" t="s">
        <v>14</v>
      </c>
      <c r="W10" s="702">
        <f t="shared" si="2"/>
        <v>122</v>
      </c>
      <c r="X10" s="703"/>
      <c r="Y10" s="3634"/>
      <c r="Z10" s="52" t="str">
        <f t="shared" si="7"/>
        <v>土地使用年限（年）</v>
      </c>
      <c r="AA10" s="704">
        <f t="shared" si="3"/>
        <v>0.81967213114754101</v>
      </c>
      <c r="AB10" s="704">
        <f t="shared" si="4"/>
        <v>0.81967213114754101</v>
      </c>
      <c r="AC10" s="704">
        <f t="shared" si="5"/>
        <v>0.81967213114754101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723"/>
      <c r="Q11" s="1342"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723"/>
      <c r="Q12" s="1342">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723"/>
      <c r="Q13" s="1342">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723"/>
      <c r="Q14" s="1342">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725" t="s">
        <v>1691</v>
      </c>
      <c r="Q15" s="1351" t="str">
        <f t="shared" si="6"/>
        <v>产业集聚程度</v>
      </c>
      <c r="R15" s="705" t="s">
        <v>14</v>
      </c>
      <c r="S15" s="706">
        <f t="shared" si="0"/>
        <v>100</v>
      </c>
      <c r="T15" s="705" t="s">
        <v>14</v>
      </c>
      <c r="U15" s="706">
        <f t="shared" si="1"/>
        <v>100</v>
      </c>
      <c r="V15" s="705" t="s">
        <v>14</v>
      </c>
      <c r="W15" s="706">
        <f t="shared" si="2"/>
        <v>100</v>
      </c>
      <c r="X15" s="1354"/>
      <c r="Y15" s="3725"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17"/>
      <c r="M16" s="2711"/>
      <c r="N16" s="2711"/>
      <c r="O16" s="2769"/>
      <c r="P16" s="3726"/>
      <c r="Q16" s="1351"/>
      <c r="R16" s="705"/>
      <c r="S16" s="706"/>
      <c r="T16" s="705"/>
      <c r="U16" s="706"/>
      <c r="V16" s="705"/>
      <c r="W16" s="706"/>
      <c r="X16" s="1354"/>
      <c r="Y16" s="3726"/>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726"/>
      <c r="Q17" s="1351" t="str">
        <f>B17</f>
        <v>交通便捷度</v>
      </c>
      <c r="R17" s="705" t="s">
        <v>14</v>
      </c>
      <c r="S17" s="706">
        <f>F17</f>
        <v>100</v>
      </c>
      <c r="T17" s="705" t="s">
        <v>14</v>
      </c>
      <c r="U17" s="706">
        <f>H17</f>
        <v>100</v>
      </c>
      <c r="V17" s="705" t="s">
        <v>14</v>
      </c>
      <c r="W17" s="706">
        <f>J17</f>
        <v>100</v>
      </c>
      <c r="X17" s="1354"/>
      <c r="Y17" s="3726"/>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17"/>
      <c r="M18" s="2711"/>
      <c r="N18" s="2711"/>
      <c r="O18" s="2769"/>
      <c r="P18" s="3726"/>
      <c r="Q18" s="1351"/>
      <c r="R18" s="705"/>
      <c r="S18" s="706"/>
      <c r="T18" s="705"/>
      <c r="U18" s="706"/>
      <c r="V18" s="705"/>
      <c r="W18" s="706"/>
      <c r="X18" s="1354"/>
      <c r="Y18" s="3726"/>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726"/>
      <c r="Q19" s="1351" t="str">
        <f t="shared" ref="Q19:Q33" si="8">B19</f>
        <v>区域土地利用方向</v>
      </c>
      <c r="R19" s="705" t="s">
        <v>14</v>
      </c>
      <c r="S19" s="706">
        <f>F19</f>
        <v>100</v>
      </c>
      <c r="T19" s="705" t="s">
        <v>14</v>
      </c>
      <c r="U19" s="706">
        <f>H19</f>
        <v>100</v>
      </c>
      <c r="V19" s="705" t="s">
        <v>14</v>
      </c>
      <c r="W19" s="706">
        <f>J19</f>
        <v>100</v>
      </c>
      <c r="X19" s="1354"/>
      <c r="Y19" s="3726"/>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17"/>
      <c r="M20" s="2711"/>
      <c r="N20" s="2711"/>
      <c r="O20" s="2769"/>
      <c r="P20" s="3726"/>
      <c r="Q20" s="1351"/>
      <c r="R20" s="705"/>
      <c r="S20" s="706"/>
      <c r="T20" s="705"/>
      <c r="U20" s="706"/>
      <c r="V20" s="705"/>
      <c r="W20" s="706"/>
      <c r="X20" s="1354"/>
      <c r="Y20" s="3726"/>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726"/>
      <c r="Q21" s="1351" t="str">
        <f t="shared" si="8"/>
        <v>环境状况</v>
      </c>
      <c r="R21" s="705" t="s">
        <v>14</v>
      </c>
      <c r="S21" s="706">
        <f>F21</f>
        <v>100</v>
      </c>
      <c r="T21" s="705" t="s">
        <v>14</v>
      </c>
      <c r="U21" s="706">
        <f>H21</f>
        <v>100</v>
      </c>
      <c r="V21" s="705" t="s">
        <v>14</v>
      </c>
      <c r="W21" s="706">
        <f>J21</f>
        <v>100</v>
      </c>
      <c r="X21" s="1354"/>
      <c r="Y21" s="3726"/>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17"/>
      <c r="M22" s="2711"/>
      <c r="N22" s="2711"/>
      <c r="O22" s="2769"/>
      <c r="P22" s="3726"/>
      <c r="Q22" s="1351"/>
      <c r="R22" s="705"/>
      <c r="S22" s="706"/>
      <c r="T22" s="705"/>
      <c r="U22" s="706"/>
      <c r="V22" s="705"/>
      <c r="W22" s="706"/>
      <c r="X22" s="1354"/>
      <c r="Y22" s="3726"/>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726"/>
      <c r="Q23" s="1342" t="str">
        <f t="shared" si="8"/>
        <v>公共配套设施</v>
      </c>
      <c r="R23" s="701" t="s">
        <v>14</v>
      </c>
      <c r="S23" s="702">
        <f>F23</f>
        <v>100</v>
      </c>
      <c r="T23" s="701" t="s">
        <v>14</v>
      </c>
      <c r="U23" s="702">
        <f>H23</f>
        <v>100</v>
      </c>
      <c r="V23" s="701" t="s">
        <v>14</v>
      </c>
      <c r="W23" s="702">
        <f>J23</f>
        <v>100</v>
      </c>
      <c r="X23" s="703"/>
      <c r="Y23" s="3726"/>
      <c r="Z23" s="52" t="str">
        <f>Q23</f>
        <v>公共配套设施</v>
      </c>
      <c r="AA23" s="1352">
        <f>D23/F23</f>
        <v>1</v>
      </c>
      <c r="AB23" s="1352">
        <f>D23/H23</f>
        <v>1</v>
      </c>
      <c r="AC23" s="1352">
        <f>D23/J23</f>
        <v>1</v>
      </c>
    </row>
    <row r="24" spans="1:29" s="108" customFormat="1" ht="15">
      <c r="A24" s="597"/>
      <c r="B24" s="580"/>
      <c r="C24" s="1974"/>
      <c r="D24" s="399"/>
      <c r="E24" s="1902"/>
      <c r="F24" s="399"/>
      <c r="G24" s="1902"/>
      <c r="H24" s="399"/>
      <c r="I24" s="398"/>
      <c r="J24" s="399"/>
      <c r="K24" s="620"/>
      <c r="L24" s="2712"/>
      <c r="M24" s="2713"/>
      <c r="N24" s="2713"/>
      <c r="O24" s="2767"/>
      <c r="P24" s="3726"/>
      <c r="Q24" s="1342"/>
      <c r="R24" s="701"/>
      <c r="S24" s="702"/>
      <c r="T24" s="701"/>
      <c r="U24" s="702"/>
      <c r="V24" s="701"/>
      <c r="W24" s="702"/>
      <c r="X24" s="703"/>
      <c r="Y24" s="3726"/>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726"/>
      <c r="Q25" s="1342" t="str">
        <f t="shared" ref="Q25" si="9">B25</f>
        <v>基础设施水平</v>
      </c>
      <c r="R25" s="701" t="s">
        <v>14</v>
      </c>
      <c r="S25" s="702">
        <f>F25</f>
        <v>100</v>
      </c>
      <c r="T25" s="701" t="s">
        <v>14</v>
      </c>
      <c r="U25" s="702">
        <f>H25</f>
        <v>100</v>
      </c>
      <c r="V25" s="701" t="s">
        <v>14</v>
      </c>
      <c r="W25" s="702">
        <f>J25</f>
        <v>100</v>
      </c>
      <c r="X25" s="703"/>
      <c r="Y25" s="3726"/>
      <c r="Z25" s="52" t="str">
        <f>Q25</f>
        <v>基础设施水平</v>
      </c>
      <c r="AA25" s="1352">
        <f>D25/F25</f>
        <v>1</v>
      </c>
      <c r="AB25" s="1352">
        <f>D25/H25</f>
        <v>1</v>
      </c>
      <c r="AC25" s="1352">
        <f>D25/J25</f>
        <v>1</v>
      </c>
    </row>
    <row r="26" spans="1:29" s="108" customFormat="1" ht="15">
      <c r="A26" s="597"/>
      <c r="B26" s="580"/>
      <c r="C26" s="1974"/>
      <c r="D26" s="399"/>
      <c r="E26" s="1975"/>
      <c r="F26" s="399"/>
      <c r="G26" s="1975"/>
      <c r="H26" s="399"/>
      <c r="I26" s="1975"/>
      <c r="J26" s="399"/>
      <c r="K26" s="620"/>
      <c r="L26" s="2712"/>
      <c r="M26" s="2713"/>
      <c r="N26" s="2713"/>
      <c r="O26" s="2767"/>
      <c r="P26" s="3726"/>
      <c r="Q26" s="1342"/>
      <c r="R26" s="701"/>
      <c r="S26" s="702"/>
      <c r="T26" s="701"/>
      <c r="U26" s="702"/>
      <c r="V26" s="701"/>
      <c r="W26" s="702"/>
      <c r="X26" s="703"/>
      <c r="Y26" s="372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72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26"/>
      <c r="Z27" s="1355" t="str">
        <f t="shared" ref="Z27:Z40" si="13">Q27</f>
        <v>临街状况</v>
      </c>
      <c r="AA27" s="1352">
        <f t="shared" si="3"/>
        <v>1</v>
      </c>
      <c r="AB27" s="1352">
        <f t="shared" si="4"/>
        <v>1</v>
      </c>
      <c r="AC27" s="1352">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726"/>
      <c r="Q28" s="1351" t="str">
        <f t="shared" si="8"/>
        <v>毗邻道路的类型与等级</v>
      </c>
      <c r="R28" s="705" t="s">
        <v>14</v>
      </c>
      <c r="S28" s="706">
        <f t="shared" si="10"/>
        <v>100</v>
      </c>
      <c r="T28" s="705" t="s">
        <v>14</v>
      </c>
      <c r="U28" s="706">
        <f t="shared" si="11"/>
        <v>100</v>
      </c>
      <c r="V28" s="705" t="s">
        <v>14</v>
      </c>
      <c r="W28" s="706">
        <f t="shared" si="12"/>
        <v>100</v>
      </c>
      <c r="X28" s="1354"/>
      <c r="Y28" s="3726"/>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17"/>
      <c r="M29" s="2711"/>
      <c r="N29" s="2711"/>
      <c r="O29" s="2769"/>
      <c r="P29" s="3726"/>
      <c r="Q29" s="1351"/>
      <c r="R29" s="705"/>
      <c r="S29" s="706"/>
      <c r="T29" s="705"/>
      <c r="U29" s="706"/>
      <c r="V29" s="705"/>
      <c r="W29" s="706"/>
      <c r="X29" s="1354"/>
      <c r="Y29" s="3726"/>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726"/>
      <c r="Q30" s="1351" t="str">
        <f t="shared" si="8"/>
        <v>土地级别</v>
      </c>
      <c r="R30" s="705" t="s">
        <v>14</v>
      </c>
      <c r="S30" s="706">
        <f t="shared" si="10"/>
        <v>100</v>
      </c>
      <c r="T30" s="705" t="s">
        <v>14</v>
      </c>
      <c r="U30" s="706">
        <f t="shared" si="11"/>
        <v>100</v>
      </c>
      <c r="V30" s="705" t="s">
        <v>14</v>
      </c>
      <c r="W30" s="706">
        <f t="shared" si="12"/>
        <v>100</v>
      </c>
      <c r="X30" s="1354"/>
      <c r="Y30" s="3726"/>
      <c r="Z30" s="1355" t="str">
        <f t="shared" si="13"/>
        <v>土地级别</v>
      </c>
      <c r="AA30" s="1352">
        <f t="shared" si="3"/>
        <v>1</v>
      </c>
      <c r="AB30" s="1352">
        <f t="shared" si="4"/>
        <v>1</v>
      </c>
      <c r="AC30" s="1352">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726"/>
      <c r="Q31" s="1351">
        <f t="shared" si="8"/>
        <v>111</v>
      </c>
      <c r="R31" s="705" t="s">
        <v>14</v>
      </c>
      <c r="S31" s="706">
        <f t="shared" si="10"/>
        <v>100</v>
      </c>
      <c r="T31" s="705" t="s">
        <v>14</v>
      </c>
      <c r="U31" s="706">
        <f t="shared" si="11"/>
        <v>100</v>
      </c>
      <c r="V31" s="705" t="s">
        <v>14</v>
      </c>
      <c r="W31" s="706">
        <f t="shared" si="12"/>
        <v>100</v>
      </c>
      <c r="X31" s="1354"/>
      <c r="Y31" s="3726"/>
      <c r="Z31" s="1355">
        <f t="shared" si="13"/>
        <v>111</v>
      </c>
      <c r="AA31" s="1352">
        <f t="shared" si="3"/>
        <v>1</v>
      </c>
      <c r="AB31" s="1352">
        <f t="shared" si="4"/>
        <v>1</v>
      </c>
      <c r="AC31" s="1352">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49" t="s">
        <v>1696</v>
      </c>
      <c r="Q32" s="1351">
        <f t="shared" si="8"/>
        <v>111</v>
      </c>
      <c r="R32" s="705" t="s">
        <v>14</v>
      </c>
      <c r="S32" s="706">
        <f t="shared" si="10"/>
        <v>100</v>
      </c>
      <c r="T32" s="705" t="s">
        <v>14</v>
      </c>
      <c r="U32" s="706">
        <f t="shared" si="11"/>
        <v>100</v>
      </c>
      <c r="V32" s="705" t="s">
        <v>14</v>
      </c>
      <c r="W32" s="706">
        <f t="shared" si="12"/>
        <v>100</v>
      </c>
      <c r="X32" s="1354"/>
      <c r="Y32" s="3730" t="s">
        <v>1696</v>
      </c>
      <c r="Z32" s="1355">
        <f t="shared" si="13"/>
        <v>111</v>
      </c>
      <c r="AA32" s="1352">
        <f t="shared" si="3"/>
        <v>1</v>
      </c>
      <c r="AB32" s="1352">
        <f t="shared" si="4"/>
        <v>1</v>
      </c>
      <c r="AC32" s="1352">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730"/>
      <c r="Q33" s="1351">
        <f t="shared" si="8"/>
        <v>111</v>
      </c>
      <c r="R33" s="708" t="s">
        <v>14</v>
      </c>
      <c r="S33" s="709">
        <f t="shared" si="10"/>
        <v>100</v>
      </c>
      <c r="T33" s="708" t="s">
        <v>14</v>
      </c>
      <c r="U33" s="709">
        <f t="shared" si="11"/>
        <v>100</v>
      </c>
      <c r="V33" s="708" t="s">
        <v>14</v>
      </c>
      <c r="W33" s="709">
        <f t="shared" si="12"/>
        <v>100</v>
      </c>
      <c r="X33" s="710"/>
      <c r="Y33" s="3730"/>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730"/>
      <c r="Q34" s="1351" t="str">
        <f>B34</f>
        <v>宗地面积</v>
      </c>
      <c r="R34" s="705" t="s">
        <v>14</v>
      </c>
      <c r="S34" s="706" t="e">
        <f t="shared" si="10"/>
        <v>#N/A</v>
      </c>
      <c r="T34" s="705" t="s">
        <v>14</v>
      </c>
      <c r="U34" s="706" t="e">
        <f t="shared" si="11"/>
        <v>#N/A</v>
      </c>
      <c r="V34" s="705" t="s">
        <v>14</v>
      </c>
      <c r="W34" s="706" t="e">
        <f t="shared" si="12"/>
        <v>#N/A</v>
      </c>
      <c r="X34" s="1354"/>
      <c r="Y34" s="3730"/>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7"/>
      <c r="M35" s="2711"/>
      <c r="N35" s="2711"/>
      <c r="O35" s="2769"/>
      <c r="P35" s="3730"/>
      <c r="Q35" s="1351" t="str">
        <f t="shared" ref="Q35:Q40" si="14">B35</f>
        <v>宗地形状</v>
      </c>
      <c r="R35" s="705" t="s">
        <v>14</v>
      </c>
      <c r="S35" s="706">
        <f t="shared" si="10"/>
        <v>100</v>
      </c>
      <c r="T35" s="705" t="s">
        <v>14</v>
      </c>
      <c r="U35" s="706">
        <f t="shared" si="11"/>
        <v>100</v>
      </c>
      <c r="V35" s="705" t="s">
        <v>14</v>
      </c>
      <c r="W35" s="706">
        <f t="shared" si="12"/>
        <v>100</v>
      </c>
      <c r="X35" s="1354"/>
      <c r="Y35" s="3730"/>
      <c r="Z35" s="1355" t="str">
        <f t="shared" si="13"/>
        <v>宗地形状</v>
      </c>
      <c r="AA35" s="1352">
        <f t="shared" si="3"/>
        <v>1</v>
      </c>
      <c r="AB35" s="1352">
        <f t="shared" si="4"/>
        <v>1</v>
      </c>
      <c r="AC35" s="1352">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2"/>
      <c r="M36" s="2713"/>
      <c r="N36" s="2713"/>
      <c r="O36" s="2767"/>
      <c r="P36" s="3730"/>
      <c r="Q36" s="1351" t="str">
        <f t="shared" si="14"/>
        <v>宗地开发程度</v>
      </c>
      <c r="R36" s="701" t="s">
        <v>14</v>
      </c>
      <c r="S36" s="702">
        <f t="shared" si="10"/>
        <v>100</v>
      </c>
      <c r="T36" s="701" t="s">
        <v>14</v>
      </c>
      <c r="U36" s="702">
        <f t="shared" si="11"/>
        <v>100</v>
      </c>
      <c r="V36" s="701" t="s">
        <v>14</v>
      </c>
      <c r="W36" s="702">
        <f t="shared" si="12"/>
        <v>100</v>
      </c>
      <c r="X36" s="703"/>
      <c r="Y36" s="3730"/>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7"/>
      <c r="M37" s="2711"/>
      <c r="N37" s="2711"/>
      <c r="O37" s="2769"/>
      <c r="P37" s="3730" t="s">
        <v>1696</v>
      </c>
      <c r="Q37" s="1351" t="str">
        <f t="shared" si="14"/>
        <v>工程地质条件</v>
      </c>
      <c r="R37" s="705" t="s">
        <v>14</v>
      </c>
      <c r="S37" s="706">
        <f t="shared" si="10"/>
        <v>100</v>
      </c>
      <c r="T37" s="705" t="s">
        <v>14</v>
      </c>
      <c r="U37" s="706">
        <f t="shared" si="11"/>
        <v>100</v>
      </c>
      <c r="V37" s="705" t="s">
        <v>14</v>
      </c>
      <c r="W37" s="706">
        <f t="shared" si="12"/>
        <v>100</v>
      </c>
      <c r="X37" s="1354"/>
      <c r="Y37" s="3730"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730"/>
      <c r="Q38" s="1351">
        <f t="shared" si="14"/>
        <v>111</v>
      </c>
      <c r="R38" s="705" t="s">
        <v>14</v>
      </c>
      <c r="S38" s="706">
        <f t="shared" si="10"/>
        <v>100</v>
      </c>
      <c r="T38" s="705" t="s">
        <v>14</v>
      </c>
      <c r="U38" s="706">
        <f t="shared" si="11"/>
        <v>100</v>
      </c>
      <c r="V38" s="705" t="s">
        <v>14</v>
      </c>
      <c r="W38" s="706">
        <f t="shared" si="12"/>
        <v>100</v>
      </c>
      <c r="X38" s="1354"/>
      <c r="Y38" s="3730"/>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730"/>
      <c r="Q39" s="1351">
        <f t="shared" si="14"/>
        <v>111</v>
      </c>
      <c r="R39" s="705" t="s">
        <v>14</v>
      </c>
      <c r="S39" s="706">
        <f t="shared" si="10"/>
        <v>100</v>
      </c>
      <c r="T39" s="705" t="s">
        <v>14</v>
      </c>
      <c r="U39" s="706">
        <f t="shared" si="11"/>
        <v>100</v>
      </c>
      <c r="V39" s="705" t="s">
        <v>14</v>
      </c>
      <c r="W39" s="706">
        <f t="shared" si="12"/>
        <v>100</v>
      </c>
      <c r="X39" s="1354"/>
      <c r="Y39" s="3730"/>
      <c r="Z39" s="1355">
        <f t="shared" si="13"/>
        <v>111</v>
      </c>
      <c r="AA39" s="1352">
        <f t="shared" si="3"/>
        <v>1</v>
      </c>
      <c r="AB39" s="1352">
        <f t="shared" si="4"/>
        <v>1</v>
      </c>
      <c r="AC39" s="1352">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730"/>
      <c r="Q40" s="1351">
        <f t="shared" si="14"/>
        <v>111</v>
      </c>
      <c r="R40" s="708" t="s">
        <v>14</v>
      </c>
      <c r="S40" s="709">
        <f t="shared" si="10"/>
        <v>100</v>
      </c>
      <c r="T40" s="708" t="s">
        <v>14</v>
      </c>
      <c r="U40" s="709">
        <f t="shared" si="11"/>
        <v>100</v>
      </c>
      <c r="V40" s="708" t="s">
        <v>14</v>
      </c>
      <c r="W40" s="709">
        <f t="shared" si="12"/>
        <v>100</v>
      </c>
      <c r="X40" s="710"/>
      <c r="Y40" s="3730"/>
      <c r="Z40" s="711">
        <f t="shared" si="13"/>
        <v>111</v>
      </c>
      <c r="AA40" s="1352">
        <f t="shared" si="3"/>
        <v>1</v>
      </c>
      <c r="AB40" s="1352">
        <f t="shared" si="4"/>
        <v>1</v>
      </c>
      <c r="AC40" s="1352">
        <f t="shared" si="5"/>
        <v>1</v>
      </c>
    </row>
    <row r="41" spans="1:31" ht="15">
      <c r="A41" s="430" t="s">
        <v>1844</v>
      </c>
      <c r="B41" s="1978" t="s">
        <v>1922</v>
      </c>
      <c r="C41" s="630" t="s">
        <v>0</v>
      </c>
      <c r="D41" s="432"/>
      <c r="E41" s="433"/>
      <c r="F41" s="434"/>
      <c r="G41" s="435"/>
      <c r="H41" s="436"/>
      <c r="I41" s="433"/>
      <c r="J41" s="436"/>
      <c r="K41" s="714"/>
      <c r="L41" s="2719"/>
      <c r="M41" s="2711"/>
      <c r="N41" s="2711"/>
      <c r="O41" s="2720"/>
      <c r="P41" s="3723" t="str">
        <f>A41</f>
        <v>成交单价</v>
      </c>
      <c r="Q41" s="3723"/>
      <c r="R41" s="3718">
        <f>E41</f>
        <v>0</v>
      </c>
      <c r="S41" s="3718"/>
      <c r="T41" s="3718">
        <f>G41</f>
        <v>0</v>
      </c>
      <c r="U41" s="3718"/>
      <c r="V41" s="3718">
        <f>I41</f>
        <v>0</v>
      </c>
      <c r="W41" s="3718"/>
      <c r="X41" s="690"/>
      <c r="Y41" s="712"/>
      <c r="Z41" s="690"/>
      <c r="AA41" s="690"/>
      <c r="AB41" s="690"/>
      <c r="AC41" s="690"/>
    </row>
    <row r="42" spans="1:31" ht="15.75" thickBot="1">
      <c r="A42" s="437" t="s">
        <v>1793</v>
      </c>
      <c r="B42" s="631"/>
      <c r="C42" s="440" t="e">
        <f>R43</f>
        <v>#DIV/0!</v>
      </c>
      <c r="D42" s="2313" t="s">
        <v>2138</v>
      </c>
      <c r="E42" s="440" t="e">
        <f>R42</f>
        <v>#DIV/0!</v>
      </c>
      <c r="F42" s="2314"/>
      <c r="G42" s="439" t="e">
        <f>T42</f>
        <v>#DIV/0!</v>
      </c>
      <c r="H42" s="2314"/>
      <c r="I42" s="440" t="e">
        <f>V42</f>
        <v>#DIV/0!</v>
      </c>
      <c r="J42" s="2314"/>
      <c r="K42" s="2316">
        <f>F42+H42+J42</f>
        <v>0</v>
      </c>
      <c r="L42" s="2719"/>
      <c r="M42" s="2711"/>
      <c r="N42" s="2711"/>
      <c r="O42" s="2720"/>
      <c r="P42" s="3723" t="str">
        <f>A42</f>
        <v>比较价值（元/平方米）</v>
      </c>
      <c r="Q42" s="3723"/>
      <c r="R42" s="3751" t="e">
        <f>ROUND(PRODUCT(R41,AA7:AA40),0)</f>
        <v>#DIV/0!</v>
      </c>
      <c r="S42" s="3751"/>
      <c r="T42" s="3751" t="e">
        <f>ROUND(PRODUCT(T41,AB7:AB40),0)</f>
        <v>#DIV/0!</v>
      </c>
      <c r="U42" s="3751"/>
      <c r="V42" s="3751" t="e">
        <f>ROUND(PRODUCT(V41,AC7:AC40),0)</f>
        <v>#DIV/0!</v>
      </c>
      <c r="W42" s="375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720" t="str">
        <f>A43</f>
        <v>估价对象XX用房的比较价值（楼面单价，元/平方米）</v>
      </c>
      <c r="Q43" s="3721"/>
      <c r="R43" s="3752" t="e">
        <f>ROUND(IF(D42="简单平均",AVERAGE(R42:W42),R42*F42+T42*H42+V42*J42),0)</f>
        <v>#DIV/0!</v>
      </c>
      <c r="S43" s="3752"/>
      <c r="T43" s="3752"/>
      <c r="U43" s="3752"/>
      <c r="V43" s="3752"/>
      <c r="W43" s="3752"/>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9" t="s">
        <v>1883</v>
      </c>
      <c r="D50" s="1980" t="s">
        <v>1884</v>
      </c>
      <c r="E50" s="634" t="s">
        <v>1885</v>
      </c>
      <c r="F50" s="635" t="s">
        <v>1886</v>
      </c>
      <c r="G50" s="3706" t="s">
        <v>1887</v>
      </c>
      <c r="H50" s="3753"/>
      <c r="I50" s="1355" t="s">
        <v>1923</v>
      </c>
      <c r="J50" s="1355">
        <f>项目基本情况!F35</f>
        <v>0</v>
      </c>
      <c r="K50" s="1982"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459.68</v>
      </c>
      <c r="F51" s="639" t="e">
        <f t="shared" ref="F51:F60" si="15">ROUND(B51*E51/10000,0)</f>
        <v>#DIV/0!</v>
      </c>
      <c r="G51" s="3705"/>
      <c r="H51" s="3723"/>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v>
      </c>
      <c r="D52" s="945">
        <v>0.25</v>
      </c>
      <c r="E52" s="642"/>
      <c r="F52" s="639" t="e">
        <f t="shared" si="15"/>
        <v>#DIV/0!</v>
      </c>
      <c r="G52" s="3001" t="s">
        <v>1892</v>
      </c>
      <c r="H52" s="887">
        <f>项目基本情况!B37</f>
        <v>0</v>
      </c>
      <c r="I52" s="773">
        <f>SUMIF(修正!A57:A68,H52,修正!B57:B68)</f>
        <v>0</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v>
      </c>
      <c r="D54" s="945">
        <v>0.25</v>
      </c>
      <c r="E54" s="642"/>
      <c r="F54" s="639" t="e">
        <f t="shared" si="15"/>
        <v>#DIV/0!</v>
      </c>
      <c r="G54" s="3002"/>
      <c r="H54" s="887">
        <f>项目基本情况!B37</f>
        <v>0</v>
      </c>
      <c r="I54" s="773">
        <f>SUMIF(修正!A57:A68,H54,修正!D57:D68)</f>
        <v>0</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0.25</v>
      </c>
      <c r="D56" s="945">
        <v>0.25</v>
      </c>
      <c r="E56" s="217">
        <f>'数据-汇总表'!E11</f>
        <v>0</v>
      </c>
      <c r="F56" s="639" t="e">
        <f t="shared" si="15"/>
        <v>#DIV/0!</v>
      </c>
      <c r="G56" s="1983" t="s">
        <v>1896</v>
      </c>
      <c r="H56" s="887" t="str">
        <f>项目基本情况!C37</f>
        <v>三级</v>
      </c>
      <c r="I56" s="773">
        <f>SUMIF(修正!A57:A68,H56,修正!E57:E68)</f>
        <v>0.25</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三级</v>
      </c>
      <c r="I57" s="773">
        <f>SUMIF(修正!A57:A68,H57,修正!F57:F68)</f>
        <v>0.25</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v>
      </c>
      <c r="D59" s="945">
        <v>0.25</v>
      </c>
      <c r="E59" s="217">
        <f>'数据-汇总表'!E14</f>
        <v>0</v>
      </c>
      <c r="F59" s="639" t="e">
        <f t="shared" si="15"/>
        <v>#DIV/0!</v>
      </c>
      <c r="G59" s="1983" t="s">
        <v>1892</v>
      </c>
      <c r="H59" s="887">
        <f>项目基本情况!B37</f>
        <v>0</v>
      </c>
      <c r="I59" s="773">
        <f>SUMIF(修正!A57:A68,H59,修正!G57:G68)</f>
        <v>0</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0.15</v>
      </c>
      <c r="D60" s="945">
        <v>0.25</v>
      </c>
      <c r="E60" s="217">
        <f>'数据-汇总表'!E15</f>
        <v>0</v>
      </c>
      <c r="F60" s="639" t="e">
        <f t="shared" si="15"/>
        <v>#DIV/0!</v>
      </c>
      <c r="G60" s="1984" t="s">
        <v>1896</v>
      </c>
      <c r="H60" s="897" t="str">
        <f>项目基本情况!C37</f>
        <v>三级</v>
      </c>
      <c r="I60" s="773">
        <f>SUMIF(修正!A57:A68,H60,修正!G57:G68)</f>
        <v>0.15</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2022-10-1</v>
      </c>
      <c r="D63" s="692">
        <f>EDATE(C63,-3)</f>
        <v>44743</v>
      </c>
      <c r="E63" s="692">
        <f>EDATE(D63,-3)</f>
        <v>44652</v>
      </c>
      <c r="F63" s="692">
        <f t="shared" ref="F63:O63" si="18">EDATE(E63,-3)</f>
        <v>44562</v>
      </c>
      <c r="G63" s="692">
        <f t="shared" si="18"/>
        <v>44470</v>
      </c>
      <c r="H63" s="692">
        <f t="shared" si="18"/>
        <v>44378</v>
      </c>
      <c r="I63" s="692">
        <f t="shared" si="18"/>
        <v>44287</v>
      </c>
      <c r="J63" s="692">
        <f t="shared" si="18"/>
        <v>44197</v>
      </c>
      <c r="K63" s="692">
        <f t="shared" si="18"/>
        <v>44105</v>
      </c>
      <c r="L63" s="692">
        <f t="shared" si="18"/>
        <v>44013</v>
      </c>
      <c r="M63" s="692">
        <f t="shared" si="18"/>
        <v>43922</v>
      </c>
      <c r="N63" s="692">
        <f t="shared" si="18"/>
        <v>43831</v>
      </c>
      <c r="O63" s="692">
        <f t="shared" si="18"/>
        <v>43739</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5" t="s">
        <v>1904</v>
      </c>
      <c r="B65" s="1109"/>
      <c r="C65" s="1181" t="str">
        <f>YEAR(C63)&amp;"-"&amp;ROUNDUP(MONTH(C63)/3,0)</f>
        <v>2022-4</v>
      </c>
      <c r="D65" s="1181" t="str">
        <f t="shared" ref="D65:O65" si="19">YEAR(D63)&amp;"-"&amp;ROUNDUP(MONTH(D63)/3,0)</f>
        <v>2022-3</v>
      </c>
      <c r="E65" s="1181" t="str">
        <f t="shared" si="19"/>
        <v>2022-2</v>
      </c>
      <c r="F65" s="1181" t="str">
        <f t="shared" si="19"/>
        <v>2022-1</v>
      </c>
      <c r="G65" s="1181" t="str">
        <f t="shared" si="19"/>
        <v>2021-4</v>
      </c>
      <c r="H65" s="1181" t="str">
        <f t="shared" si="19"/>
        <v>2021-3</v>
      </c>
      <c r="I65" s="1181" t="str">
        <f t="shared" si="19"/>
        <v>2021-2</v>
      </c>
      <c r="J65" s="1181" t="str">
        <f t="shared" si="19"/>
        <v>2021-1</v>
      </c>
      <c r="K65" s="1181" t="str">
        <f t="shared" si="19"/>
        <v>2020-4</v>
      </c>
      <c r="L65" s="1181" t="str">
        <f t="shared" si="19"/>
        <v>2020-3</v>
      </c>
      <c r="M65" s="1181" t="str">
        <f t="shared" si="19"/>
        <v>2020-2</v>
      </c>
      <c r="N65" s="1181" t="str">
        <f t="shared" si="19"/>
        <v>2020-1</v>
      </c>
      <c r="O65" s="1181" t="str">
        <f t="shared" si="19"/>
        <v>2019-4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0"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1" t="s">
        <v>2084</v>
      </c>
      <c r="D1" s="3762"/>
      <c r="E1" s="3762"/>
      <c r="F1" s="3762"/>
      <c r="G1" s="3762"/>
      <c r="H1" s="3762"/>
      <c r="I1" s="3762"/>
      <c r="J1" s="3762"/>
      <c r="K1" s="3762"/>
      <c r="L1" s="3762"/>
      <c r="M1" s="3762"/>
      <c r="N1" s="3762"/>
      <c r="O1" s="3762"/>
      <c r="P1" s="3762"/>
      <c r="Q1" s="3762"/>
      <c r="R1" s="3762"/>
      <c r="S1" s="376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2093</v>
      </c>
      <c r="B17" s="2145"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47"/>
      <c r="E20" s="1340"/>
      <c r="F20" s="983" t="e">
        <f ca="1">SUMIF(INDIRECT("'"&amp;H20&amp;"'"&amp;"!A:A"),"承租人权益价值",INDIRECT("'"&amp;H20&amp;"'"&amp;"!c:c"))</f>
        <v>#REF!</v>
      </c>
      <c r="G20" s="983" t="s">
        <v>2097</v>
      </c>
      <c r="H20" s="2148"/>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8" t="s">
        <v>27</v>
      </c>
      <c r="D22" s="3759"/>
      <c r="E22" s="3759"/>
      <c r="F22" s="3759"/>
      <c r="G22" s="3759"/>
      <c r="H22" s="3759"/>
      <c r="I22" s="3759"/>
      <c r="J22" s="3759"/>
      <c r="K22" s="3759"/>
      <c r="L22" s="3759"/>
      <c r="M22" s="3759"/>
      <c r="N22" s="3759"/>
      <c r="O22" s="3759"/>
      <c r="P22" s="3759"/>
      <c r="Q22" s="376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5">
        <v>1</v>
      </c>
      <c r="D24" s="2806"/>
      <c r="E24" s="2805">
        <v>1</v>
      </c>
      <c r="F24" s="2806"/>
      <c r="G24" s="2805">
        <v>1</v>
      </c>
      <c r="H24" s="2806"/>
      <c r="I24" s="2805">
        <v>1</v>
      </c>
      <c r="J24" s="2806"/>
      <c r="K24" s="2805">
        <v>1</v>
      </c>
      <c r="L24" s="2806"/>
      <c r="M24" s="2805">
        <v>1</v>
      </c>
      <c r="N24" s="2806"/>
      <c r="O24" s="2805">
        <v>1</v>
      </c>
      <c r="P24" s="2806"/>
      <c r="Q24" s="2805">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3"/>
      <c r="C1" s="2143"/>
      <c r="D1" s="2143"/>
      <c r="E1" s="2143"/>
      <c r="F1" s="2788"/>
      <c r="G1" s="2788"/>
      <c r="H1" s="2788"/>
      <c r="I1" s="2788"/>
      <c r="J1" s="2788"/>
      <c r="K1" s="2788"/>
      <c r="L1" s="2788"/>
      <c r="M1" s="2788"/>
      <c r="N1" s="2788"/>
      <c r="O1" s="2788"/>
      <c r="P1" s="2788"/>
    </row>
    <row r="2" spans="1:16" ht="15.75">
      <c r="A2" s="2141" t="s">
        <v>2073</v>
      </c>
      <c r="B2" s="2597">
        <f ca="1">SUMIF(B6:B13,"&lt;&gt;#ref!",B6:B13)</f>
        <v>952</v>
      </c>
      <c r="C2" s="2141" t="s">
        <v>2074</v>
      </c>
      <c r="D2" s="2141" t="s">
        <v>2075</v>
      </c>
      <c r="E2" s="2607">
        <f ca="1">SUMIF(E6:E13,"&lt;&gt;#ref!",E6:E13)</f>
        <v>459.68</v>
      </c>
      <c r="F2" s="2788"/>
      <c r="G2" s="2788"/>
      <c r="H2" s="2788"/>
      <c r="I2" s="2788"/>
      <c r="J2" s="2788"/>
      <c r="K2" s="2788"/>
      <c r="L2" s="2788"/>
      <c r="M2" s="2788"/>
      <c r="N2" s="2788"/>
      <c r="O2" s="2788"/>
      <c r="P2" s="2788"/>
    </row>
    <row r="3" spans="1:16" ht="15.75">
      <c r="A3" s="2141" t="s">
        <v>2076</v>
      </c>
      <c r="B3" s="2597">
        <f ca="1">ROUND(B2*10000/E2,0)</f>
        <v>20710</v>
      </c>
      <c r="C3" s="2141"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2"/>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952</v>
      </c>
      <c r="C6" s="2141" t="s">
        <v>2074</v>
      </c>
      <c r="D6" s="2788"/>
      <c r="E6" s="2607">
        <f ca="1">SUMIF(INDIRECT("'"&amp;A6&amp;"'"&amp;"!C:C"),"建筑面积",INDIRECT("'"&amp;A6&amp;"'"&amp;"!D:D"))</f>
        <v>459.68</v>
      </c>
      <c r="F6" s="2788"/>
      <c r="G6" s="2788"/>
      <c r="H6" s="2788"/>
      <c r="I6" s="2788"/>
      <c r="J6" s="2788"/>
      <c r="K6" s="2788"/>
      <c r="L6" s="2788"/>
      <c r="M6" s="2788"/>
      <c r="N6" s="2788"/>
      <c r="O6" s="2788"/>
      <c r="P6" s="2788"/>
    </row>
    <row r="7" spans="1:16" ht="15.75">
      <c r="A7" s="2604"/>
      <c r="B7" s="2597" t="e">
        <f ca="1">SUMIF(INDIRECT("'"&amp;A7&amp;"'"&amp;"!A:A"),"总价",INDIRECT("'"&amp;A7&amp;"'"&amp;"!B:B"))</f>
        <v>#REF!</v>
      </c>
      <c r="C7" s="2141"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1"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1"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1"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1"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1"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1"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pageSetUpPr fitToPage="1"/>
  </sheetPr>
  <dimension ref="A1:H57"/>
  <sheetViews>
    <sheetView tabSelected="1" view="pageBreakPreview" zoomScale="90" zoomScaleNormal="70" zoomScaleSheetLayoutView="90" workbookViewId="0">
      <selection activeCell="H50" sqref="H5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21</v>
      </c>
      <c r="C1" s="1858" t="s">
        <v>1563</v>
      </c>
      <c r="D1" s="198"/>
      <c r="E1" s="198"/>
      <c r="F1" s="198"/>
      <c r="G1" s="1126">
        <f>MATCH(B1,'数据-取费表'!A6:A16,0)+5</f>
        <v>6</v>
      </c>
      <c r="H1" s="1061" t="str">
        <f>IF(ISERROR(FIND("住宅",B1)),"非住宅","住宅")</f>
        <v>非住宅</v>
      </c>
    </row>
    <row r="2" spans="1:8" s="200" customFormat="1" ht="18" customHeight="1">
      <c r="A2" s="201" t="s">
        <v>1462</v>
      </c>
      <c r="B2" s="3419">
        <f ca="1">ROUND(IF(D2="——",C52/10000,C52/10000-E2),4)</f>
        <v>1724.4317000000001</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37514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C6+C7+C8</f>
        <v>9807963</v>
      </c>
      <c r="D5" s="211" t="s">
        <v>1469</v>
      </c>
      <c r="E5" s="212" t="s">
        <v>1470</v>
      </c>
      <c r="F5" s="212" t="s">
        <v>1471</v>
      </c>
      <c r="G5" s="213"/>
    </row>
    <row r="6" spans="1:8" s="214" customFormat="1" ht="13.5" customHeight="1">
      <c r="A6" s="778" t="s">
        <v>1472</v>
      </c>
      <c r="B6" s="215" t="s">
        <v>1473</v>
      </c>
      <c r="C6" s="216">
        <f>ROUND(基准地价修正!C33*基准地价修正!D33,0)</f>
        <v>9517674</v>
      </c>
      <c r="D6" s="217"/>
      <c r="E6" s="218"/>
      <c r="F6" s="218"/>
      <c r="G6" s="219"/>
    </row>
    <row r="7" spans="1:8" s="214" customFormat="1" ht="13.5" customHeight="1">
      <c r="A7" s="778" t="s">
        <v>1474</v>
      </c>
      <c r="B7" s="215" t="s">
        <v>1475</v>
      </c>
      <c r="C7" s="220">
        <f>ROUND(C6*F7,0)</f>
        <v>290289</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5" t="s">
        <v>451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91936</v>
      </c>
      <c r="D10" s="845">
        <f ca="1">IF(B1="",'数据-汇总表'!E6,IF(INDIRECT("'数据-取费表'!c"&amp;$G$1)="住宅",INDIRECT("'数据-取费表'!s"&amp;$G$1),INDIRECT("'数据-取费表'!k"&amp;$G$1)+INDIRECT("'数据-取费表'!s"&amp;$G$1)))</f>
        <v>459.68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68952</v>
      </c>
      <c r="D19" s="849">
        <f ca="1">D9+D10</f>
        <v>459.68</v>
      </c>
      <c r="E19" s="211">
        <f>'数据-取费表'!B31</f>
        <v>150</v>
      </c>
      <c r="F19" s="231"/>
      <c r="G19" s="1855" t="s">
        <v>436</v>
      </c>
    </row>
    <row r="20" spans="1:7" s="214" customFormat="1" ht="13.5" customHeight="1">
      <c r="A20" s="255" t="s">
        <v>1574</v>
      </c>
      <c r="B20" s="210" t="s">
        <v>1575</v>
      </c>
      <c r="C20" s="232">
        <f ca="1">ROUND((C5+C19)*F20,0)</f>
        <v>296307</v>
      </c>
      <c r="D20" s="232"/>
      <c r="E20" s="232"/>
      <c r="F20" s="233">
        <f>'数据-取费表'!B37</f>
        <v>0.03</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974667</v>
      </c>
      <c r="D22" s="235">
        <f ca="1">C26</f>
        <v>2.3999999999999998E-3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953886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6706</v>
      </c>
      <c r="D24" s="238"/>
      <c r="E24" s="238"/>
      <c r="F24" s="239"/>
      <c r="G24" s="240" t="s">
        <v>1586</v>
      </c>
    </row>
    <row r="25" spans="1:7" s="214" customFormat="1" ht="24">
      <c r="A25" s="780" t="s">
        <v>1476</v>
      </c>
      <c r="B25" s="215" t="s">
        <v>1587</v>
      </c>
      <c r="C25" s="1128">
        <f ca="1">ROUND(IF('数据-取费表'!B22&lt;=1,C20*F22*'数据-取费表'!B22/2,C20*(POWER((1+F22),'数据-取费表'!B22/2)-1)),0)</f>
        <v>14075</v>
      </c>
      <c r="D25" s="238"/>
      <c r="E25" s="241"/>
      <c r="F25" s="239"/>
      <c r="G25" s="242" t="s">
        <v>1588</v>
      </c>
    </row>
    <row r="26" spans="1:7" s="214" customFormat="1">
      <c r="A26" s="780" t="s">
        <v>350</v>
      </c>
      <c r="B26" s="215" t="s">
        <v>1511</v>
      </c>
      <c r="C26" s="238">
        <f ca="1">ROUND(IF('数据-取费表'!B22&lt;=1,F21*F22*'数据-取费表'!B22/2,F21*(POWER((1+F22),'数据-取费表'!B22/2)-1)),4)</f>
        <v>2.3999999999999998E-3</v>
      </c>
      <c r="D26" s="238"/>
      <c r="E26" s="241"/>
      <c r="F26" s="239"/>
      <c r="G26" s="243"/>
    </row>
    <row r="27" spans="1:7" s="214" customFormat="1" ht="24.75">
      <c r="A27" s="255" t="s">
        <v>1512</v>
      </c>
      <c r="B27" s="244" t="s">
        <v>1513</v>
      </c>
      <c r="C27" s="245">
        <f ca="1">C28</f>
        <v>1525983</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1525983</v>
      </c>
      <c r="D28" s="235"/>
      <c r="E28" s="236"/>
      <c r="F28" s="246"/>
      <c r="G28" s="247"/>
    </row>
    <row r="29" spans="1:7" s="214" customFormat="1" ht="13.5" customHeight="1">
      <c r="A29" s="780" t="s">
        <v>347</v>
      </c>
      <c r="B29" s="248" t="s">
        <v>1517</v>
      </c>
      <c r="C29" s="238">
        <f ca="1">ROUND(C21*F27,4)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14291691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2830480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2528240</v>
      </c>
      <c r="D34" s="217"/>
      <c r="E34" s="220"/>
      <c r="F34" s="257"/>
      <c r="G34" s="219"/>
    </row>
    <row r="35" spans="1:7" ht="13.5" customHeight="1">
      <c r="A35" s="780" t="s">
        <v>351</v>
      </c>
      <c r="B35" s="215" t="s">
        <v>1527</v>
      </c>
      <c r="C35" s="220">
        <f ca="1">ROUND(C34*F35,0)</f>
        <v>126412</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137904</v>
      </c>
      <c r="D37" s="217">
        <f ca="1">D19</f>
        <v>459.68</v>
      </c>
      <c r="E37" s="249">
        <f>'数据-取费表'!B35</f>
        <v>300</v>
      </c>
      <c r="F37" s="259"/>
      <c r="G37" s="261"/>
    </row>
    <row r="38" spans="1:7" ht="13.5" customHeight="1">
      <c r="A38" s="780" t="s">
        <v>354</v>
      </c>
      <c r="B38" s="215" t="s">
        <v>1533</v>
      </c>
      <c r="C38" s="220">
        <f ca="1">ROUND(C34*F38,0)</f>
        <v>37924</v>
      </c>
      <c r="D38" s="220"/>
      <c r="E38" s="220"/>
      <c r="F38" s="259">
        <f>'数据-取费表'!B36</f>
        <v>1.4999999999999999E-2</v>
      </c>
      <c r="G38" s="219" t="s">
        <v>1528</v>
      </c>
    </row>
    <row r="39" spans="1:7" s="214" customFormat="1" ht="13.5" customHeight="1">
      <c r="A39" s="255" t="s">
        <v>1534</v>
      </c>
      <c r="B39" s="210" t="s">
        <v>1535</v>
      </c>
      <c r="C39" s="232">
        <f ca="1">ROUND(C33*F20,0)</f>
        <v>84914</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138481</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134448</v>
      </c>
      <c r="D42" s="238"/>
      <c r="E42" s="238"/>
      <c r="F42" s="239"/>
      <c r="G42" s="3658" t="s">
        <v>1591</v>
      </c>
    </row>
    <row r="43" spans="1:7" ht="13.5" customHeight="1">
      <c r="A43" s="780" t="s">
        <v>347</v>
      </c>
      <c r="B43" s="215" t="s">
        <v>1545</v>
      </c>
      <c r="C43" s="238">
        <f ca="1">ROUND(IF('数据-取费表'!B22&lt;=1,C39*F22*'数据-取费表'!B20/2,C39*(POWER((1+F22),'数据-取费表'!B20/2)-1)),0)</f>
        <v>4033</v>
      </c>
      <c r="D43" s="238"/>
      <c r="E43" s="238"/>
      <c r="F43" s="239"/>
      <c r="G43" s="3659"/>
    </row>
    <row r="44" spans="1:7" ht="13.5" customHeight="1">
      <c r="A44" s="780" t="s">
        <v>348</v>
      </c>
      <c r="B44" s="215" t="s">
        <v>1546</v>
      </c>
      <c r="C44" s="238">
        <f ca="1">ROUND(IF('数据-取费表'!B22&lt;=1,C40*F22*'数据-取费表'!B20/2,C40*(POWER((1+F22),'数据-取费表'!B20/2)-1)),4)</f>
        <v>2.3999999999999998E-3</v>
      </c>
      <c r="D44" s="238"/>
      <c r="E44" s="238"/>
      <c r="F44" s="239"/>
      <c r="G44" s="3660"/>
    </row>
    <row r="45" spans="1:7" s="214" customFormat="1" ht="13.5" customHeight="1">
      <c r="A45" s="255" t="s">
        <v>1547</v>
      </c>
      <c r="B45" s="244" t="s">
        <v>1513</v>
      </c>
      <c r="C45" s="245">
        <f ca="1">C46</f>
        <v>437309</v>
      </c>
      <c r="D45" s="235">
        <f ca="1">C47</f>
        <v>7.4999999999999997E-3</v>
      </c>
      <c r="E45" s="236" t="s">
        <v>1539</v>
      </c>
      <c r="F45" s="246">
        <f ca="1">F27</f>
        <v>0.15</v>
      </c>
      <c r="G45" s="247" t="s">
        <v>1548</v>
      </c>
    </row>
    <row r="46" spans="1:7" s="214" customFormat="1" ht="13.5" customHeight="1">
      <c r="A46" s="780" t="s">
        <v>346</v>
      </c>
      <c r="B46" s="248" t="s">
        <v>1549</v>
      </c>
      <c r="C46" s="249">
        <f ca="1">ROUND((C33+C39)*F27,0)</f>
        <v>437309</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8" ht="16.5" customHeight="1">
      <c r="A49" s="255" t="s">
        <v>1518</v>
      </c>
      <c r="B49" s="210" t="s">
        <v>1592</v>
      </c>
      <c r="C49" s="232">
        <f ca="1">ROUND((C33+C39+C41+C45)/(1-C40-D41-D45-C48),0)</f>
        <v>3936834</v>
      </c>
      <c r="D49" s="232"/>
      <c r="E49" s="232"/>
      <c r="F49" s="264"/>
      <c r="G49" s="234" t="s">
        <v>1554</v>
      </c>
      <c r="H49" s="251">
        <f ca="1">C49/D37</f>
        <v>8564.2925513400623</v>
      </c>
    </row>
    <row r="50" spans="1:8" s="258" customFormat="1">
      <c r="A50" s="255" t="s">
        <v>1555</v>
      </c>
      <c r="B50" s="210" t="s">
        <v>1556</v>
      </c>
      <c r="C50" s="232"/>
      <c r="D50" s="232"/>
      <c r="E50" s="232"/>
      <c r="F50" s="264">
        <f>IF('数据-取费表'!B24=0,'数据-取费表'!N16,1)</f>
        <v>0.75</v>
      </c>
      <c r="G50" s="247"/>
    </row>
    <row r="51" spans="1:8" ht="16.5" customHeight="1">
      <c r="A51" s="255" t="s">
        <v>1558</v>
      </c>
      <c r="B51" s="210" t="s">
        <v>1593</v>
      </c>
      <c r="C51" s="232">
        <f ca="1">ROUND(C49*F50,0)</f>
        <v>2952626</v>
      </c>
      <c r="D51" s="232"/>
      <c r="E51" s="232"/>
      <c r="F51" s="264"/>
      <c r="G51" s="234" t="s">
        <v>1560</v>
      </c>
    </row>
    <row r="52" spans="1:8" s="208" customFormat="1" ht="16.5" thickBot="1">
      <c r="A52" s="265" t="s">
        <v>1561</v>
      </c>
      <c r="B52" s="266"/>
      <c r="C52" s="267">
        <f ca="1">C31+C51</f>
        <v>17244317</v>
      </c>
      <c r="D52" s="266"/>
      <c r="E52" s="266"/>
      <c r="F52" s="266"/>
      <c r="G52" s="268"/>
    </row>
    <row r="55" spans="1:8" ht="15">
      <c r="B55" s="270" t="s">
        <v>1562</v>
      </c>
      <c r="C55" s="271"/>
    </row>
    <row r="56" spans="1:8">
      <c r="B56" s="273" t="s">
        <v>802</v>
      </c>
      <c r="C56" s="275">
        <f ca="1">1-C57</f>
        <v>0.82899999999999996</v>
      </c>
    </row>
    <row r="57" spans="1:8">
      <c r="B57" s="273" t="s">
        <v>803</v>
      </c>
      <c r="C57" s="274">
        <f ca="1">ROUND(C51/C52,3)</f>
        <v>0.17100000000000001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200-000000000000}">
      <formula1>"已包含在土地购买价格中,未包含在土地购买价格中"</formula1>
    </dataValidation>
    <dataValidation type="list" allowBlank="1" showInputMessage="1" showErrorMessage="1" sqref="G19" xr:uid="{00000000-0002-0000-2200-000001000000}">
      <formula1>"已包含在土地取得成本中,未包含在土地取得成本中"</formula1>
    </dataValidation>
    <dataValidation type="list" allowBlank="1" showInputMessage="1" showErrorMessage="1" sqref="B1" xr:uid="{00000000-0002-0000-2200-000002000000}">
      <formula1>项目类型</formula1>
    </dataValidation>
    <dataValidation type="list" allowBlank="1" showInputMessage="1" showErrorMessage="1" sqref="G2" xr:uid="{00000000-0002-0000-2200-000003000000}">
      <formula1>估价方法</formula1>
    </dataValidation>
    <dataValidation type="list" allowBlank="1" showInputMessage="1" showErrorMessage="1" sqref="D2" xr:uid="{00000000-0002-0000-22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92D050"/>
  </sheetPr>
  <dimension ref="A1:AK122"/>
  <sheetViews>
    <sheetView view="pageBreakPreview" topLeftCell="A10" zoomScale="80" zoomScaleNormal="80" zoomScaleSheetLayoutView="80" workbookViewId="0">
      <selection activeCell="G3" sqref="G3"/>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1926</v>
      </c>
      <c r="B1" s="197"/>
      <c r="C1" s="201" t="s">
        <v>1927</v>
      </c>
      <c r="D1" s="342">
        <f>SUM(D33:D34,D37:D42)</f>
        <v>459.68</v>
      </c>
      <c r="E1" s="1991"/>
      <c r="F1" s="1991"/>
      <c r="G1" s="1991"/>
      <c r="H1" s="1991"/>
      <c r="I1" s="1991"/>
      <c r="J1" s="1991"/>
      <c r="K1" s="1119"/>
      <c r="L1" s="1992" t="s">
        <v>1928</v>
      </c>
      <c r="M1" s="863">
        <f>SUMPRODUCT((区片价!B5:B9=I2)*(区片价!C3:G3=E2)*(区片价!C5:G9))</f>
        <v>0</v>
      </c>
      <c r="N1" s="866">
        <f>SUMPRODUCT((因素修正幅度!B5:B9=I2)*(因素修正幅度!C3:G3=E2)*(因素修正幅度!C5:G9))</f>
        <v>0</v>
      </c>
      <c r="O1" s="1993"/>
      <c r="P1" s="1993"/>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952</v>
      </c>
      <c r="C2" s="1995" t="s">
        <v>1935</v>
      </c>
      <c r="D2" s="1996" t="s">
        <v>1936</v>
      </c>
      <c r="E2" s="3417" t="s">
        <v>21</v>
      </c>
      <c r="F2" s="1996" t="s">
        <v>1937</v>
      </c>
      <c r="G2" s="1997" t="str">
        <f>IF(E2="商业",项目基本情况!B37,IF(E2="办公",项目基本情况!C37,IF(E2="住宅",项目基本情况!D37,IF(E2="工业",项目基本情况!E37,项目基本情况!F37))))</f>
        <v>三级</v>
      </c>
      <c r="H2" s="1996" t="s">
        <v>1938</v>
      </c>
      <c r="I2" s="1997" t="str">
        <f>IF(E2="商业",项目基本情况!B38,IF(E2="办公",项目基本情况!C38,IF(E2="住宅",项目基本情况!D38,IF(E2="工业",项目基本情况!E38,项目基本情况!F38))))</f>
        <v>Ⅲ—02</v>
      </c>
      <c r="J2" s="1998"/>
      <c r="K2" s="1119"/>
      <c r="L2" s="1999" t="s">
        <v>1939</v>
      </c>
      <c r="M2" s="864">
        <f>SUMPRODUCT((区片价!B10:B29=I2)*(区片价!C3:G3=E2)*(区片价!C10:G29))</f>
        <v>0</v>
      </c>
      <c r="N2" s="866">
        <f>SUMPRODUCT((因素修正幅度!B10:B29=I2)*(因素修正幅度!C3:G3=E2)*(因素修正幅度!C10:G29))</f>
        <v>0</v>
      </c>
      <c r="O2" s="1119"/>
      <c r="P2" s="1119"/>
      <c r="Q2" s="1119"/>
      <c r="R2" s="1211">
        <v>1</v>
      </c>
      <c r="S2" s="3356">
        <f>ROUND(SUMPRODUCT((B106:B110=R2)*(C105:N105=G2)*(C106:N110)),4)</f>
        <v>1.5019</v>
      </c>
      <c r="T2" s="3356">
        <f t="shared" ref="T2:T16" si="0">ROUND($C$5*$C$22*$C$23*$C$24*S2*$C$28,0)</f>
        <v>34509</v>
      </c>
      <c r="U2" s="1212"/>
      <c r="V2" s="3356">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20710</v>
      </c>
      <c r="C3" s="1995" t="s">
        <v>1941</v>
      </c>
      <c r="D3" s="1996" t="s">
        <v>1942</v>
      </c>
      <c r="E3" s="3415" t="s">
        <v>3424</v>
      </c>
      <c r="F3" s="2000" t="s">
        <v>3396</v>
      </c>
      <c r="G3" s="3474">
        <f>IF(F3="宗地容积率",'数据-汇总表'!I4,IF(F3="估价对象容积率",'数据-汇总表'!I6,'数据-汇总表'!I7))</f>
        <v>4.6399999999999997</v>
      </c>
      <c r="H3" s="170" t="s">
        <v>1943</v>
      </c>
      <c r="I3" s="775"/>
      <c r="J3" s="1998" t="s">
        <v>1944</v>
      </c>
      <c r="K3" s="1119"/>
      <c r="L3" s="1999" t="s">
        <v>1945</v>
      </c>
      <c r="M3" s="864">
        <f>SUMPRODUCT((区片价!B30:B54=I2)*(区片价!C3:G3=E2)*(区片价!C30:G54))</f>
        <v>23990</v>
      </c>
      <c r="N3" s="866">
        <f>SUMPRODUCT((因素修正幅度!B30:B54=I2)*(因素修正幅度!C3:G3=E2)*(因素修正幅度!C30:G54))</f>
        <v>8.2000000000000003E-2</v>
      </c>
      <c r="O3" s="1119"/>
      <c r="P3" s="1119"/>
      <c r="Q3" s="1119"/>
      <c r="R3" s="1211">
        <v>2</v>
      </c>
      <c r="S3" s="3356">
        <f>ROUND(SUMPRODUCT((B106:B110=R3)*(C105:N105=G2)*(C106:N110)),4)</f>
        <v>1.1838</v>
      </c>
      <c r="T3" s="3356">
        <f t="shared" si="0"/>
        <v>27200</v>
      </c>
      <c r="U3" s="1212"/>
      <c r="V3" s="3356">
        <f t="shared" ref="V3:V16" si="1">ROUND(T3*U3/10000,0)</f>
        <v>0</v>
      </c>
      <c r="W3" s="1215"/>
      <c r="X3" s="1215"/>
      <c r="Y3" s="1215"/>
      <c r="Z3" s="1215"/>
      <c r="AA3" s="1215"/>
      <c r="AB3" s="1215"/>
      <c r="AC3" s="1216"/>
      <c r="AD3" s="1217"/>
      <c r="AE3" s="1217"/>
      <c r="AF3" s="1217"/>
      <c r="AG3" s="1217"/>
      <c r="AH3" s="1217"/>
      <c r="AI3" s="1217"/>
      <c r="AJ3" s="1218"/>
    </row>
    <row r="4" spans="1:36" ht="15.75">
      <c r="A4" s="3771"/>
      <c r="B4" s="3772"/>
      <c r="C4" s="3772"/>
      <c r="D4" s="3773"/>
      <c r="E4" s="3773"/>
      <c r="F4" s="3773"/>
      <c r="G4" s="3773"/>
      <c r="H4" s="3773"/>
      <c r="I4" s="3773"/>
      <c r="J4" s="3774"/>
      <c r="K4" s="1119"/>
      <c r="L4" s="1999" t="s">
        <v>1946</v>
      </c>
      <c r="M4" s="864">
        <f>SUMPRODUCT((区片价!B55:B86=I2)*(区片价!C3:G3=E2)*(区片价!C55:G86))</f>
        <v>0</v>
      </c>
      <c r="N4" s="866">
        <f>SUMPRODUCT((因素修正幅度!B55:B86=I2)*(因素修正幅度!C3:G3=E2)*(因素修正幅度!C55:G86))</f>
        <v>0</v>
      </c>
      <c r="O4" s="1119"/>
      <c r="P4" s="1119"/>
      <c r="Q4" s="1119"/>
      <c r="R4" s="1211">
        <v>3</v>
      </c>
      <c r="S4" s="3356">
        <f>ROUND(SUMPRODUCT((B106:B110=R4)*(C105:N105=G2)*(C106:N110)),4)</f>
        <v>1.0004999999999999</v>
      </c>
      <c r="T4" s="3356">
        <f t="shared" si="0"/>
        <v>22988</v>
      </c>
      <c r="U4" s="1212"/>
      <c r="V4" s="3356">
        <f t="shared" si="1"/>
        <v>0</v>
      </c>
      <c r="W4" s="1215"/>
      <c r="X4" s="1215"/>
      <c r="Y4" s="1215"/>
      <c r="Z4" s="1215"/>
      <c r="AA4" s="1215"/>
      <c r="AB4" s="1215"/>
      <c r="AC4" s="1216"/>
      <c r="AD4" s="1217"/>
      <c r="AE4" s="1217"/>
      <c r="AF4" s="1217"/>
      <c r="AG4" s="1217"/>
      <c r="AH4" s="1217"/>
      <c r="AI4" s="1217"/>
      <c r="AJ4" s="1218"/>
    </row>
    <row r="5" spans="1:36" s="2010" customFormat="1" ht="15.75" thickBot="1">
      <c r="A5" s="2001" t="s">
        <v>362</v>
      </c>
      <c r="B5" s="2002" t="s">
        <v>1947</v>
      </c>
      <c r="C5" s="753">
        <f>ROUND(IF(E2="商业",C6*C7*C17+C20,(IF(E2="住宅",C6*C13*C17+C20,IF(E2="办公",C6*C12*C17+C20,C6+C20)))),0)</f>
        <v>25154</v>
      </c>
      <c r="D5" s="1338">
        <f>ROUND(C6*C17+C20,0)</f>
        <v>23954</v>
      </c>
      <c r="E5" s="1338"/>
      <c r="F5" s="2003"/>
      <c r="G5" s="2004"/>
      <c r="H5" s="2004"/>
      <c r="I5" s="2004"/>
      <c r="J5" s="2005"/>
      <c r="K5" s="2006"/>
      <c r="L5" s="1999" t="s">
        <v>1948</v>
      </c>
      <c r="M5" s="864">
        <f>SUMPRODUCT((区片价!B87:B126=I2)*(区片价!C3:G3=E2)*(区片价!C87:G126))</f>
        <v>0</v>
      </c>
      <c r="N5" s="866">
        <f>SUMPRODUCT((因素修正幅度!B87:B126=I2)*(因素修正幅度!C3:G3=E2)*(因素修正幅度!C87:G126))</f>
        <v>0</v>
      </c>
      <c r="O5" s="1119"/>
      <c r="P5" s="1119"/>
      <c r="Q5" s="1119"/>
      <c r="R5" s="1211">
        <v>4</v>
      </c>
      <c r="S5" s="3356">
        <f>ROUND(SUMPRODUCT((B106:B110=R5)*(C105:N105=G2)*(C106:N110)),4)</f>
        <v>0.88239999999999996</v>
      </c>
      <c r="T5" s="3356">
        <f t="shared" si="0"/>
        <v>20275</v>
      </c>
      <c r="U5" s="1212"/>
      <c r="V5" s="3356">
        <f t="shared" si="1"/>
        <v>0</v>
      </c>
      <c r="W5" s="1215"/>
      <c r="X5" s="1215"/>
      <c r="Y5" s="1215"/>
      <c r="Z5" s="1215"/>
      <c r="AA5" s="1215"/>
      <c r="AB5" s="1215"/>
      <c r="AC5" s="2007"/>
      <c r="AD5" s="2008"/>
      <c r="AE5" s="2008"/>
      <c r="AF5" s="2008"/>
      <c r="AG5" s="2008"/>
      <c r="AH5" s="2008"/>
      <c r="AI5" s="2008"/>
      <c r="AJ5" s="2009"/>
    </row>
    <row r="6" spans="1:36" ht="15.75" thickBot="1">
      <c r="A6" s="2011" t="s">
        <v>1949</v>
      </c>
      <c r="B6" s="2012" t="s">
        <v>1950</v>
      </c>
      <c r="C6" s="754">
        <f>SUMIF(L1:L12,G2,M1:M12)</f>
        <v>23990</v>
      </c>
      <c r="D6" s="2013"/>
      <c r="E6" s="2014"/>
      <c r="F6" s="2014"/>
      <c r="G6" s="2015"/>
      <c r="H6" s="2015"/>
      <c r="I6" s="2015"/>
      <c r="J6" s="2016"/>
      <c r="K6" s="1383"/>
      <c r="L6" s="1999" t="s">
        <v>1951</v>
      </c>
      <c r="M6" s="864">
        <f>SUMPRODUCT((区片价!B127:B189=I2)*(区片价!C3:G3=E2)*(区片价!C127:G189))</f>
        <v>0</v>
      </c>
      <c r="N6" s="866">
        <f>SUMPRODUCT((因素修正幅度!B127:B189=I2)*(因素修正幅度!C3:G3=E2)*(因素修正幅度!C127:G189))</f>
        <v>0</v>
      </c>
      <c r="O6" s="1119"/>
      <c r="P6" s="1119"/>
      <c r="Q6" s="1119"/>
      <c r="R6" s="1211">
        <v>5</v>
      </c>
      <c r="S6" s="3356">
        <f>ROUND(SUMPRODUCT((B106:B110=R6)*(C105:N105=G2)*(C106:N110)),4)</f>
        <v>0.84799999999999998</v>
      </c>
      <c r="T6" s="3356">
        <f t="shared" si="0"/>
        <v>19484</v>
      </c>
      <c r="U6" s="1212"/>
      <c r="V6" s="3356">
        <f t="shared" si="1"/>
        <v>0</v>
      </c>
      <c r="W6" s="1215"/>
      <c r="X6" s="1215"/>
      <c r="Y6" s="1215"/>
      <c r="Z6" s="1215"/>
      <c r="AA6" s="1215"/>
      <c r="AB6" s="1215"/>
      <c r="AC6" s="2007"/>
      <c r="AD6" s="2008"/>
      <c r="AE6" s="2008"/>
      <c r="AF6" s="2008"/>
      <c r="AG6" s="2008"/>
      <c r="AH6" s="2008"/>
      <c r="AI6" s="2008"/>
      <c r="AJ6" s="2009"/>
    </row>
    <row r="7" spans="1:36" ht="24.75" thickBot="1">
      <c r="A7" s="3299" t="s">
        <v>3242</v>
      </c>
      <c r="B7" s="2017" t="s">
        <v>1952</v>
      </c>
      <c r="C7" s="755">
        <f>IF(C8="不临65条商业街",1,ROUND(1+(1.6*E8+1.2*E9+0.8*E10+0.4*E11)*C9,4))</f>
        <v>1</v>
      </c>
      <c r="D7" s="2018" t="s">
        <v>1953</v>
      </c>
      <c r="E7" s="776"/>
      <c r="F7" s="2019"/>
      <c r="G7" s="2020"/>
      <c r="H7" s="2020"/>
      <c r="I7" s="2020"/>
      <c r="J7" s="2021"/>
      <c r="K7" s="1383"/>
      <c r="L7" s="1999" t="s">
        <v>1954</v>
      </c>
      <c r="M7" s="864">
        <f>SUMPRODUCT((区片价!B190:B233=I2)*(区片价!C3:G3=E2)*(区片价!C190:G233))</f>
        <v>0</v>
      </c>
      <c r="N7" s="866">
        <f>SUMPRODUCT((因素修正幅度!B190:B233=I2)*(因素修正幅度!C3:G3=E2)*(因素修正幅度!C190:G233))</f>
        <v>0</v>
      </c>
      <c r="O7" s="1119"/>
      <c r="P7" s="1119"/>
      <c r="Q7" s="1119"/>
      <c r="R7" s="1211">
        <v>6</v>
      </c>
      <c r="S7" s="3414"/>
      <c r="T7" s="3356">
        <f t="shared" si="0"/>
        <v>0</v>
      </c>
      <c r="U7" s="1212"/>
      <c r="V7" s="3356">
        <f t="shared" si="1"/>
        <v>0</v>
      </c>
      <c r="W7" s="1357" t="s">
        <v>1955</v>
      </c>
      <c r="X7" s="1213" t="str">
        <f>G2</f>
        <v>三级</v>
      </c>
      <c r="Y7" s="1213" t="s">
        <v>1956</v>
      </c>
      <c r="Z7" s="1214">
        <f>G3</f>
        <v>4.6399999999999997</v>
      </c>
      <c r="AA7" s="1215"/>
      <c r="AB7" s="1215"/>
      <c r="AC7" s="1216"/>
      <c r="AD7" s="1217"/>
      <c r="AE7" s="1217"/>
      <c r="AF7" s="1217"/>
      <c r="AG7" s="1217"/>
      <c r="AH7" s="1217"/>
      <c r="AI7" s="1217"/>
      <c r="AJ7" s="1218"/>
    </row>
    <row r="8" spans="1:36" ht="25.5">
      <c r="A8" s="3294"/>
      <c r="B8" s="170" t="s">
        <v>1957</v>
      </c>
      <c r="C8" s="2022" t="s">
        <v>3382</v>
      </c>
      <c r="D8" s="756" t="s">
        <v>112</v>
      </c>
      <c r="E8" s="757" t="e">
        <f>ROUND(C11/E7,4)</f>
        <v>#DIV/0!</v>
      </c>
      <c r="F8" s="2023" t="s">
        <v>1958</v>
      </c>
      <c r="G8" s="2024"/>
      <c r="H8" s="2024"/>
      <c r="I8" s="2024"/>
      <c r="J8" s="2025"/>
      <c r="K8" s="1119"/>
      <c r="L8" s="1999" t="s">
        <v>1959</v>
      </c>
      <c r="M8" s="864">
        <f>SUMPRODUCT((区片价!B234:B276=I2)*(区片价!C3:G3=E2)*(区片价!C234:G276))</f>
        <v>0</v>
      </c>
      <c r="N8" s="866">
        <f>SUMPRODUCT((因素修正幅度!B234:B276=I2)*(因素修正幅度!C3:G3=E2)*(因素修正幅度!C234:G276))</f>
        <v>0</v>
      </c>
      <c r="O8" s="1119"/>
      <c r="P8" s="1119"/>
      <c r="Q8" s="1119"/>
      <c r="R8" s="1211">
        <v>7</v>
      </c>
      <c r="S8" s="1212"/>
      <c r="T8" s="3356">
        <f t="shared" si="0"/>
        <v>0</v>
      </c>
      <c r="U8" s="1212"/>
      <c r="V8" s="3356">
        <f t="shared" si="1"/>
        <v>0</v>
      </c>
      <c r="W8" s="3768" t="s">
        <v>1960</v>
      </c>
      <c r="X8" s="3769"/>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4"/>
      <c r="B9" s="170" t="s">
        <v>1973</v>
      </c>
      <c r="C9" s="758">
        <f>SUMIF(修正!C71:C138,C8,修正!E71:E138)</f>
        <v>0</v>
      </c>
      <c r="D9" s="171" t="s">
        <v>113</v>
      </c>
      <c r="E9" s="171" t="e">
        <f>ROUND(C11/E7,4)</f>
        <v>#DIV/0!</v>
      </c>
      <c r="F9" s="2023" t="s">
        <v>1974</v>
      </c>
      <c r="G9" s="2024"/>
      <c r="H9" s="2024"/>
      <c r="I9" s="2024"/>
      <c r="J9" s="2025"/>
      <c r="K9" s="1119"/>
      <c r="L9" s="1999" t="s">
        <v>1975</v>
      </c>
      <c r="M9" s="864">
        <f>SUMPRODUCT((区片价!B277:B326=I2)*(区片价!C3:G3=E2)*(区片价!C277:G326))</f>
        <v>0</v>
      </c>
      <c r="N9" s="866">
        <f>SUMPRODUCT((因素修正幅度!B277:B326=I2)*(因素修正幅度!C3:G3=E2)*(因素修正幅度!C277:G326))</f>
        <v>0</v>
      </c>
      <c r="O9" s="1119"/>
      <c r="P9" s="1119"/>
      <c r="Q9" s="1119"/>
      <c r="R9" s="1211">
        <v>8</v>
      </c>
      <c r="S9" s="1212"/>
      <c r="T9" s="3356">
        <f t="shared" si="0"/>
        <v>0</v>
      </c>
      <c r="U9" s="1212"/>
      <c r="V9" s="3356">
        <f t="shared" si="1"/>
        <v>0</v>
      </c>
      <c r="W9" s="3770"/>
      <c r="X9" s="3357" t="s">
        <v>3273</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3" t="s">
        <v>1977</v>
      </c>
      <c r="G10" s="2024"/>
      <c r="H10" s="2024"/>
      <c r="I10" s="2024"/>
      <c r="J10" s="2025"/>
      <c r="K10" s="1119"/>
      <c r="L10" s="1999"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56">
        <f t="shared" si="0"/>
        <v>0</v>
      </c>
      <c r="U10" s="1212"/>
      <c r="V10" s="3356">
        <f t="shared" si="1"/>
        <v>0</v>
      </c>
      <c r="W10" s="3770"/>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6" t="s">
        <v>1979</v>
      </c>
      <c r="C11" s="759">
        <f>C10/4</f>
        <v>0</v>
      </c>
      <c r="D11" s="759" t="s">
        <v>115</v>
      </c>
      <c r="E11" s="759" t="e">
        <f>ROUND(C11/E7,4)</f>
        <v>#DIV/0!</v>
      </c>
      <c r="F11" s="2027" t="s">
        <v>1980</v>
      </c>
      <c r="G11" s="2028"/>
      <c r="H11" s="2028"/>
      <c r="I11" s="2028"/>
      <c r="J11" s="2029"/>
      <c r="K11" s="1119"/>
      <c r="L11" s="1999"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56">
        <f t="shared" si="0"/>
        <v>0</v>
      </c>
      <c r="U11" s="1212"/>
      <c r="V11" s="3356">
        <f t="shared" si="1"/>
        <v>0</v>
      </c>
      <c r="W11" s="1215"/>
      <c r="X11" s="1215"/>
      <c r="Y11" s="1215"/>
      <c r="Z11" s="1215"/>
      <c r="AA11" s="1215"/>
      <c r="AB11" s="1215"/>
      <c r="AC11" s="1216"/>
      <c r="AD11" s="2784"/>
      <c r="AE11" s="2784"/>
      <c r="AF11" s="2784"/>
      <c r="AG11" s="2784"/>
      <c r="AH11" s="2784"/>
      <c r="AI11" s="2784"/>
      <c r="AJ11" s="2785"/>
    </row>
    <row r="12" spans="1:36" ht="25.5" thickBot="1">
      <c r="A12" s="3299" t="s">
        <v>3243</v>
      </c>
      <c r="B12" s="3300" t="s">
        <v>3244</v>
      </c>
      <c r="C12" s="3301">
        <v>1.05</v>
      </c>
      <c r="D12" s="3302" t="s">
        <v>3245</v>
      </c>
      <c r="E12" s="3303" t="s">
        <v>3246</v>
      </c>
      <c r="F12" s="3304"/>
      <c r="G12" s="3305"/>
      <c r="H12" s="3305"/>
      <c r="I12" s="3305"/>
      <c r="J12" s="3306"/>
      <c r="K12" s="1119"/>
      <c r="L12" s="2035"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56">
        <f t="shared" si="0"/>
        <v>0</v>
      </c>
      <c r="U12" s="1212"/>
      <c r="V12" s="3356">
        <f t="shared" si="1"/>
        <v>0</v>
      </c>
      <c r="W12" s="1215"/>
      <c r="X12" s="1215"/>
      <c r="Y12" s="1215"/>
      <c r="Z12" s="1215"/>
      <c r="AA12" s="1215"/>
      <c r="AB12" s="1215"/>
      <c r="AC12" s="1216"/>
      <c r="AD12" s="2784"/>
      <c r="AE12" s="2784"/>
      <c r="AF12" s="2784"/>
      <c r="AG12" s="2784"/>
      <c r="AH12" s="2784"/>
      <c r="AI12" s="2784"/>
      <c r="AJ12" s="2785"/>
    </row>
    <row r="13" spans="1:36" ht="15.75" thickBot="1">
      <c r="A13" s="3299" t="s">
        <v>3247</v>
      </c>
      <c r="B13" s="2030" t="s">
        <v>1982</v>
      </c>
      <c r="C13" s="755">
        <f>ROUND(C16*D16*E16*F16*G16*H16*I16*J16,4)</f>
        <v>1</v>
      </c>
      <c r="D13" s="2031" t="s">
        <v>1983</v>
      </c>
      <c r="E13" s="2032"/>
      <c r="F13" s="2032"/>
      <c r="G13" s="2033"/>
      <c r="H13" s="2033"/>
      <c r="I13" s="2033"/>
      <c r="J13" s="2034"/>
      <c r="K13" s="1119"/>
      <c r="L13" s="3295"/>
      <c r="M13" s="3296"/>
      <c r="N13" s="3297"/>
      <c r="O13" s="1119"/>
      <c r="P13" s="1119"/>
      <c r="Q13" s="1119"/>
      <c r="R13" s="1211">
        <v>12</v>
      </c>
      <c r="S13" s="1212"/>
      <c r="T13" s="3356">
        <f t="shared" si="0"/>
        <v>0</v>
      </c>
      <c r="U13" s="1212"/>
      <c r="V13" s="3356">
        <f t="shared" si="1"/>
        <v>0</v>
      </c>
      <c r="W13" s="1215"/>
      <c r="X13" s="1215"/>
      <c r="Y13" s="1215"/>
      <c r="Z13" s="1215"/>
      <c r="AA13" s="1215"/>
      <c r="AB13" s="1215"/>
      <c r="AC13" s="1216"/>
      <c r="AD13" s="2784"/>
      <c r="AE13" s="2784"/>
      <c r="AF13" s="2784"/>
      <c r="AG13" s="2784"/>
      <c r="AH13" s="2784"/>
      <c r="AI13" s="2784"/>
      <c r="AJ13" s="2785"/>
    </row>
    <row r="14" spans="1:36" ht="15">
      <c r="A14" s="3293"/>
      <c r="B14" s="2036" t="s">
        <v>1985</v>
      </c>
      <c r="C14" s="2037" t="s">
        <v>1986</v>
      </c>
      <c r="D14" s="1349" t="s">
        <v>1987</v>
      </c>
      <c r="E14" s="27" t="s">
        <v>1988</v>
      </c>
      <c r="F14" s="3307" t="s">
        <v>3248</v>
      </c>
      <c r="G14" s="3307" t="s">
        <v>3248</v>
      </c>
      <c r="H14" s="3307" t="s">
        <v>3248</v>
      </c>
      <c r="I14" s="3307" t="s">
        <v>3248</v>
      </c>
      <c r="J14" s="3307" t="s">
        <v>3248</v>
      </c>
      <c r="K14" s="1119"/>
      <c r="L14" s="1119"/>
      <c r="M14" s="1119"/>
      <c r="N14" s="1119"/>
      <c r="O14" s="1119"/>
      <c r="P14" s="1119"/>
      <c r="Q14" s="1119"/>
      <c r="R14" s="1211">
        <v>13</v>
      </c>
      <c r="S14" s="1212"/>
      <c r="T14" s="3356">
        <f t="shared" si="0"/>
        <v>0</v>
      </c>
      <c r="U14" s="1212"/>
      <c r="V14" s="3356">
        <f t="shared" si="1"/>
        <v>0</v>
      </c>
      <c r="W14" s="1215"/>
      <c r="X14" s="1215"/>
      <c r="Y14" s="1215"/>
      <c r="Z14" s="1215"/>
      <c r="AA14" s="1215"/>
      <c r="AB14" s="1215"/>
      <c r="AC14" s="1216"/>
      <c r="AD14" s="2784"/>
      <c r="AE14" s="2784"/>
      <c r="AF14" s="2784"/>
      <c r="AG14" s="2784"/>
      <c r="AH14" s="2784"/>
      <c r="AI14" s="2784"/>
      <c r="AJ14" s="2785"/>
    </row>
    <row r="15" spans="1:36" ht="15">
      <c r="A15" s="3293"/>
      <c r="B15" s="2038"/>
      <c r="C15" s="2039" t="s">
        <v>3383</v>
      </c>
      <c r="D15" s="2040" t="s">
        <v>3417</v>
      </c>
      <c r="E15" s="2041" t="s">
        <v>3508</v>
      </c>
      <c r="F15" s="3308" t="s">
        <v>3249</v>
      </c>
      <c r="G15" s="3309"/>
      <c r="H15" s="3310"/>
      <c r="I15" s="3311"/>
      <c r="J15" s="3312"/>
      <c r="K15" s="1119"/>
      <c r="L15" s="1119"/>
      <c r="M15" s="1119"/>
      <c r="N15" s="1119"/>
      <c r="O15" s="1119"/>
      <c r="P15" s="1119"/>
      <c r="Q15" s="1119"/>
      <c r="R15" s="1211">
        <v>14</v>
      </c>
      <c r="S15" s="1212"/>
      <c r="T15" s="3356">
        <f t="shared" si="0"/>
        <v>0</v>
      </c>
      <c r="U15" s="1212"/>
      <c r="V15" s="3356">
        <f t="shared" si="1"/>
        <v>0</v>
      </c>
      <c r="W15" s="1215"/>
      <c r="X15" s="1215"/>
      <c r="Y15" s="1215"/>
      <c r="Z15" s="1215"/>
      <c r="AA15" s="1215"/>
      <c r="AB15" s="1215"/>
      <c r="AC15" s="1216"/>
      <c r="AD15" s="2784"/>
      <c r="AE15" s="2784"/>
      <c r="AF15" s="2784"/>
      <c r="AG15" s="2784"/>
      <c r="AH15" s="2784"/>
      <c r="AI15" s="2784"/>
      <c r="AJ15" s="2785"/>
    </row>
    <row r="16" spans="1:36" ht="15.75" thickBot="1">
      <c r="A16" s="3293"/>
      <c r="B16" s="3315" t="s">
        <v>1989</v>
      </c>
      <c r="C16" s="3313">
        <v>1</v>
      </c>
      <c r="D16" s="3313">
        <v>1</v>
      </c>
      <c r="E16" s="3313">
        <v>1</v>
      </c>
      <c r="F16" s="3313">
        <v>1</v>
      </c>
      <c r="G16" s="3313">
        <v>1</v>
      </c>
      <c r="H16" s="3313">
        <v>1</v>
      </c>
      <c r="I16" s="3313">
        <v>1</v>
      </c>
      <c r="J16" s="3314">
        <v>1</v>
      </c>
      <c r="K16" s="1119"/>
      <c r="L16" s="1993"/>
      <c r="M16" s="1993"/>
      <c r="N16" s="1993"/>
      <c r="O16" s="1993"/>
      <c r="P16" s="1993"/>
      <c r="Q16" s="1119"/>
      <c r="R16" s="1211">
        <v>15</v>
      </c>
      <c r="S16" s="1212"/>
      <c r="T16" s="3356">
        <f t="shared" si="0"/>
        <v>0</v>
      </c>
      <c r="U16" s="1212"/>
      <c r="V16" s="3356">
        <f t="shared" si="1"/>
        <v>0</v>
      </c>
      <c r="W16" s="1215"/>
      <c r="X16" s="1215"/>
      <c r="Y16" s="1215"/>
      <c r="Z16" s="1215"/>
      <c r="AA16" s="1215"/>
      <c r="AB16" s="1215"/>
      <c r="AC16" s="1216"/>
      <c r="AD16" s="2784"/>
      <c r="AE16" s="2784"/>
      <c r="AF16" s="2784"/>
      <c r="AG16" s="2784"/>
      <c r="AH16" s="2784"/>
      <c r="AI16" s="2784"/>
      <c r="AJ16" s="2785"/>
    </row>
    <row r="17" spans="1:37">
      <c r="A17" s="3325" t="s">
        <v>3250</v>
      </c>
      <c r="B17" s="3316" t="s">
        <v>3251</v>
      </c>
      <c r="C17" s="3326">
        <f>ROUND(IF(OR(E2="工业",E2="公共服务"),1,IF(AND(E18=0,E19=0),1,IF(AND(E18=J24,E19=G19),0.8,IF(E19=0,1+E17*(-0.2),1+E17*G17*(-0.2))))),4)</f>
        <v>1</v>
      </c>
      <c r="D17" s="3317" t="s">
        <v>3252</v>
      </c>
      <c r="E17" s="3326">
        <f>ROUND(G18/I18,2)</f>
        <v>0</v>
      </c>
      <c r="F17" s="3317" t="s">
        <v>3255</v>
      </c>
      <c r="G17" s="3326" t="e">
        <f>ROUND(E19/G19,2)</f>
        <v>#DIV/0!</v>
      </c>
      <c r="H17" s="3326"/>
      <c r="I17" s="3326"/>
      <c r="J17" s="3327"/>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8"/>
      <c r="B18" s="3005"/>
      <c r="C18" s="3323"/>
      <c r="D18" s="3318" t="s">
        <v>3253</v>
      </c>
      <c r="E18" s="3324"/>
      <c r="F18" s="3319" t="s">
        <v>3256</v>
      </c>
      <c r="G18" s="3323">
        <f>ROUND(1-(1/(POWER(1+G24,E18))),4)</f>
        <v>0</v>
      </c>
      <c r="H18" s="3319" t="s">
        <v>3258</v>
      </c>
      <c r="I18" s="3323">
        <f>ROUND(1-(1/(POWER(1+G24,J24))),4)</f>
        <v>0.93120000000000003</v>
      </c>
      <c r="J18" s="3329"/>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83"/>
    </row>
    <row r="19" spans="1:37" s="2010" customFormat="1" ht="15" thickBot="1">
      <c r="A19" s="3330"/>
      <c r="B19" s="3331"/>
      <c r="C19" s="3332"/>
      <c r="D19" s="3332" t="s">
        <v>3254</v>
      </c>
      <c r="E19" s="3333"/>
      <c r="F19" s="3334" t="s">
        <v>3257</v>
      </c>
      <c r="G19" s="3333"/>
      <c r="H19" s="3332"/>
      <c r="I19" s="3332"/>
      <c r="J19" s="3335"/>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6"/>
      <c r="AH19" s="2137"/>
      <c r="AI19" s="2787"/>
      <c r="AJ19" s="2787"/>
      <c r="AK19" s="2053"/>
    </row>
    <row r="20" spans="1:37" s="2010" customFormat="1" ht="14.25">
      <c r="A20" s="3775" t="s">
        <v>3259</v>
      </c>
      <c r="B20" s="167" t="s">
        <v>1994</v>
      </c>
      <c r="C20" s="3320">
        <f>ROUND(IF(F21="与级别开发程度一致",0,(G21-E21)/C21),0)</f>
        <v>-36</v>
      </c>
      <c r="D20" s="3336" t="s">
        <v>1998</v>
      </c>
      <c r="E20" s="3337"/>
      <c r="F20" s="3781" t="s">
        <v>1995</v>
      </c>
      <c r="G20" s="3782"/>
      <c r="H20" s="3321" t="s">
        <v>3426</v>
      </c>
      <c r="I20" s="3321" t="s">
        <v>3427</v>
      </c>
      <c r="J20" s="3322" t="s">
        <v>3428</v>
      </c>
      <c r="K20" s="2043" t="s">
        <v>3429</v>
      </c>
      <c r="L20" s="2043" t="s">
        <v>3430</v>
      </c>
      <c r="M20" s="2043" t="s">
        <v>3431</v>
      </c>
      <c r="N20" s="2043"/>
      <c r="O20" s="2044"/>
      <c r="P20" s="1993"/>
      <c r="Q20" s="1124"/>
      <c r="R20" s="1124"/>
      <c r="S20" s="1124"/>
      <c r="T20" s="1120"/>
      <c r="U20" s="1120"/>
      <c r="V20" s="1120"/>
      <c r="W20" s="1119"/>
      <c r="X20" s="1119"/>
      <c r="Y20" s="1119"/>
      <c r="Z20" s="1125"/>
      <c r="AA20" s="1125"/>
      <c r="AB20" s="1125"/>
      <c r="AC20" s="1125"/>
      <c r="AD20" s="1125"/>
      <c r="AE20" s="1125"/>
      <c r="AF20" s="1125"/>
      <c r="AG20" s="2783"/>
      <c r="AH20" s="2783"/>
      <c r="AI20" s="2783"/>
      <c r="AJ20" s="2783"/>
    </row>
    <row r="21" spans="1:37" s="2010" customFormat="1" ht="26.25" thickBot="1">
      <c r="A21" s="3776"/>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3425</v>
      </c>
      <c r="G21" s="2153">
        <f>SUM(H21:O21)</f>
        <v>225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0</v>
      </c>
      <c r="O21" s="2163">
        <f>SUMPRODUCT((七通一平=O20)*(修正!B1:M1=G2)*(修正!B8:M16))</f>
        <v>0</v>
      </c>
      <c r="P21" s="1993"/>
      <c r="Q21" s="2783"/>
      <c r="R21" s="1124"/>
      <c r="S21" s="1124"/>
      <c r="T21" s="1120"/>
      <c r="U21" s="1120"/>
      <c r="V21" s="1120"/>
      <c r="W21" s="1119"/>
      <c r="X21" s="1119"/>
      <c r="Y21" s="1119"/>
      <c r="Z21" s="1125"/>
      <c r="AA21" s="1125"/>
      <c r="AB21" s="1125"/>
      <c r="AC21" s="1125"/>
      <c r="AD21" s="1125"/>
      <c r="AE21" s="1125"/>
      <c r="AF21" s="1125"/>
      <c r="AG21" s="2783"/>
      <c r="AH21" s="2783"/>
      <c r="AI21" s="2783"/>
      <c r="AJ21" s="2783"/>
    </row>
    <row r="22" spans="1:37" s="2010" customFormat="1" ht="15.75" thickBot="1">
      <c r="A22" s="2154" t="s">
        <v>363</v>
      </c>
      <c r="B22" s="2155" t="s">
        <v>2000</v>
      </c>
      <c r="C22" s="2156">
        <f>SUMIF(修正!C20:C51,E3,修正!E20:E51)</f>
        <v>1</v>
      </c>
      <c r="D22" s="2157"/>
      <c r="E22" s="2158"/>
      <c r="F22" s="2158"/>
      <c r="G22" s="2158"/>
      <c r="H22" s="2158"/>
      <c r="I22" s="2158"/>
      <c r="J22" s="2159"/>
      <c r="K22" s="1125"/>
      <c r="L22" s="2783"/>
      <c r="M22" s="2783"/>
      <c r="N22" s="2783"/>
      <c r="O22" s="1123"/>
      <c r="P22" s="1123"/>
      <c r="Q22" s="2783"/>
      <c r="R22" s="1124"/>
      <c r="S22" s="1124"/>
      <c r="T22" s="1120"/>
      <c r="U22" s="1120"/>
      <c r="V22" s="1120"/>
      <c r="W22" s="1119"/>
      <c r="X22" s="1119"/>
      <c r="Y22" s="1119"/>
      <c r="Z22" s="1125"/>
      <c r="AA22" s="1125"/>
      <c r="AB22" s="1125"/>
      <c r="AC22" s="1125"/>
      <c r="AD22" s="1125"/>
      <c r="AE22" s="1125"/>
      <c r="AF22" s="1125"/>
      <c r="AG22" s="2783"/>
      <c r="AH22" s="2783"/>
      <c r="AI22" s="2783"/>
      <c r="AJ22" s="2783"/>
    </row>
    <row r="23" spans="1:37" ht="26.25" thickBot="1">
      <c r="A23" s="2046" t="s">
        <v>364</v>
      </c>
      <c r="B23" s="2047"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0" t="s">
        <v>2002</v>
      </c>
      <c r="E23" s="761">
        <v>44197</v>
      </c>
      <c r="F23" s="2050" t="s">
        <v>2003</v>
      </c>
      <c r="G23" s="762">
        <f>'数据-取费表'!B2</f>
        <v>44845</v>
      </c>
      <c r="H23" s="3338" t="s">
        <v>3261</v>
      </c>
      <c r="I23" s="3339" t="str">
        <f>IF(H23="季度增幅（自定义）",SUMIF(N25:N28,E2,O25:O28),"")</f>
        <v/>
      </c>
      <c r="J23" s="3441" t="s">
        <v>3260</v>
      </c>
      <c r="K23" s="1125"/>
      <c r="L23" s="2051" t="s">
        <v>2004</v>
      </c>
      <c r="M23" s="1327">
        <f>ROUND(SUMIF(地价!B2:G2,E2,地价!B16:G16),0)</f>
        <v>350</v>
      </c>
      <c r="N23" s="2052" t="s">
        <v>2005</v>
      </c>
      <c r="O23" s="763">
        <f>ROUNDDOWN(DATEDIF(E23,G23,"M")/3,0)</f>
        <v>7</v>
      </c>
      <c r="P23" s="1122"/>
      <c r="Q23" s="2783"/>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2006</v>
      </c>
      <c r="C24" s="764">
        <f>ROUND(POWER(1+G24,J24-I24)*(POWER(1+G24,I24)-1)/(POWER(1+G24,J24)-1),4)</f>
        <v>0.85370000000000001</v>
      </c>
      <c r="D24" s="2056" t="s">
        <v>2007</v>
      </c>
      <c r="E24" s="1334">
        <f>存贷款利率!E22/100</f>
        <v>4.3499999999999997E-2</v>
      </c>
      <c r="F24" s="2056" t="s">
        <v>1999</v>
      </c>
      <c r="G24" s="768">
        <f>SUMIF(M30:Q30,E2,M33:Q33)</f>
        <v>5.5E-2</v>
      </c>
      <c r="H24" s="2056" t="s">
        <v>2008</v>
      </c>
      <c r="I24" s="769">
        <f>SUMIF('数据-取费表'!C6:C15,E2,'数据-取费表'!F6:F15)/COUNTIF('数据-取费表'!C6:C15,E2)</f>
        <v>29.6</v>
      </c>
      <c r="J24" s="770">
        <f>IF(E2="住宅",70,IF(E2="商业",40,50))</f>
        <v>50</v>
      </c>
      <c r="K24" s="1125"/>
      <c r="L24" s="2057" t="s">
        <v>2009</v>
      </c>
      <c r="M24" s="1328">
        <f>ROUND(SUMPRODUCT((地价!A4:A16=YEAR(G23)&amp;"-"&amp;ROUNDUP(MONTH(G23)/3,0))*(地价!B2:G2=E2)*(地价!B4:G16)),0)</f>
        <v>353</v>
      </c>
      <c r="N24" s="2058" t="s">
        <v>2010</v>
      </c>
      <c r="O24" s="2059" t="s">
        <v>2011</v>
      </c>
      <c r="P24" s="2060" t="s">
        <v>2012</v>
      </c>
      <c r="Q24" s="1993"/>
      <c r="R24" s="1124"/>
      <c r="S24" s="1124"/>
      <c r="T24" s="1120"/>
      <c r="U24" s="1120"/>
      <c r="V24" s="1120"/>
      <c r="W24" s="1119"/>
      <c r="X24" s="1119"/>
      <c r="Y24" s="1119"/>
      <c r="Z24" s="1125"/>
      <c r="AA24" s="1125"/>
      <c r="AB24" s="1125"/>
      <c r="AC24" s="1125"/>
      <c r="AD24" s="1125"/>
      <c r="AE24" s="1125"/>
      <c r="AF24" s="1125"/>
      <c r="AG24" s="2783"/>
      <c r="AH24" s="2783"/>
      <c r="AI24" s="2783"/>
      <c r="AJ24" s="2783"/>
    </row>
    <row r="25" spans="1:37" ht="15">
      <c r="A25" s="2061" t="s">
        <v>366</v>
      </c>
      <c r="B25" s="2062" t="s">
        <v>3340</v>
      </c>
      <c r="C25" s="771">
        <f>IF(B25="容积率修正",IF(G3&lt;10,D26,J26),C27)</f>
        <v>0.90110000000000001</v>
      </c>
      <c r="D25" s="2063"/>
      <c r="E25" s="2063"/>
      <c r="F25" s="2063"/>
      <c r="G25" s="2063"/>
      <c r="H25" s="2063"/>
      <c r="I25" s="2063"/>
      <c r="J25" s="2064"/>
      <c r="K25" s="1125"/>
      <c r="L25" s="2783"/>
      <c r="M25" s="2783"/>
      <c r="N25" s="2065" t="s">
        <v>2013</v>
      </c>
      <c r="O25" s="1173"/>
      <c r="P25" s="1174">
        <f>SUMPRODUCT((地价!A3:A40=YEAR(G23)&amp;"-"&amp;ROUNDUP(MONTH(G23)/3,0))*(地价!AD2:AH2=N25)*(地价!AD3:AH40))</f>
        <v>9.7000000000000003E-3</v>
      </c>
      <c r="Q25" s="2783"/>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2014</v>
      </c>
      <c r="B26" s="2066" t="s">
        <v>2015</v>
      </c>
      <c r="C26" s="3340" t="s">
        <v>3262</v>
      </c>
      <c r="D26" s="1351">
        <f>IF(E26=G26,F26,IF(G3&lt;10,ROUND(F26+(H26-F26)*(G3-E26)/(G26-E26),4),"——"))</f>
        <v>0.90110000000000001</v>
      </c>
      <c r="E26" s="752">
        <f>ROUNDDOWN(G3,1)</f>
        <v>4.5999999999999996</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0.90210000000000001</v>
      </c>
      <c r="G26" s="752">
        <f>ROUNDUP(G3,1)</f>
        <v>4.6999999999999993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0.89959999999999996</v>
      </c>
      <c r="I26" s="3340" t="s">
        <v>3263</v>
      </c>
      <c r="J26" s="772" t="str">
        <f>IF(G3&gt;=10,D115,"——")</f>
        <v>——</v>
      </c>
      <c r="K26" s="1125"/>
      <c r="L26" s="2783"/>
      <c r="M26" s="2783"/>
      <c r="N26" s="2065" t="s">
        <v>2016</v>
      </c>
      <c r="O26" s="1173"/>
      <c r="P26" s="1174">
        <f>SUMPRODUCT((地价!A3:A40=YEAR(G23)&amp;"-"&amp;ROUNDUP(MONTH(G23)/3,0))*(地价!AD2:AH2=N26)*(地价!AD3:AH40))</f>
        <v>9.7000000000000003E-3</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2017</v>
      </c>
      <c r="B27" s="2067" t="s">
        <v>2018</v>
      </c>
      <c r="C27" s="841">
        <f>ROUND(IF(I3&lt;6,SUMPRODUCT((B106:B110=I3)*(C105:N105=G2)*(C106:N110)),SUMIF(C105:N105,G2,C112:N112)),4)</f>
        <v>0</v>
      </c>
      <c r="D27" s="2042"/>
      <c r="E27" s="2042"/>
      <c r="F27" s="2068"/>
      <c r="G27" s="2069"/>
      <c r="H27" s="2070"/>
      <c r="I27" s="2071"/>
      <c r="J27" s="2072"/>
      <c r="K27" s="1119"/>
      <c r="L27" s="1993"/>
      <c r="M27" s="1993"/>
      <c r="N27" s="2065" t="s">
        <v>2019</v>
      </c>
      <c r="O27" s="1173"/>
      <c r="P27" s="1174">
        <f>SUMPRODUCT((地价!A3:A40=YEAR(G23)&amp;"-"&amp;ROUNDUP(MONTH(G23)/3,0))*(地价!AD2:AH2=N27)*(地价!AD3:AH40))</f>
        <v>1.66E-2</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2020</v>
      </c>
      <c r="C28" s="760">
        <f>SUMIF(A47:A101,E2,B47:B101)</f>
        <v>1.0547</v>
      </c>
      <c r="D28" s="2048"/>
      <c r="E28" s="2073"/>
      <c r="F28" s="2073"/>
      <c r="G28" s="2073"/>
      <c r="H28" s="2073"/>
      <c r="I28" s="2073"/>
      <c r="J28" s="2074"/>
      <c r="K28" s="1125"/>
      <c r="L28" s="2783"/>
      <c r="M28" s="2783"/>
      <c r="N28" s="2075"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2022</v>
      </c>
      <c r="C29" s="765"/>
      <c r="D29" s="2020"/>
      <c r="E29" s="2020"/>
      <c r="F29" s="2077"/>
      <c r="G29" s="2020"/>
      <c r="H29" s="2020"/>
      <c r="I29" s="2020"/>
      <c r="J29" s="2021"/>
      <c r="K29" s="1119"/>
      <c r="L29" s="1993"/>
      <c r="M29" s="1993"/>
      <c r="N29" s="2780" t="s">
        <v>2023</v>
      </c>
      <c r="O29" s="2781"/>
      <c r="P29" s="2782">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2024</v>
      </c>
      <c r="C30" s="2317">
        <f>IF(B25="容积率修正",E33+SUM(E37:E42),SUM(V2:V16)+SUM(E37:E42))</f>
        <v>952</v>
      </c>
      <c r="D30" s="2079"/>
      <c r="E30" s="2042"/>
      <c r="F30" s="2080"/>
      <c r="G30" s="2042"/>
      <c r="H30" s="2042"/>
      <c r="I30" s="2042"/>
      <c r="J30" s="2081"/>
      <c r="K30" s="1119"/>
      <c r="L30" s="3346" t="s">
        <v>1936</v>
      </c>
      <c r="M30" s="3347" t="s">
        <v>1990</v>
      </c>
      <c r="N30" s="3347" t="s">
        <v>1991</v>
      </c>
      <c r="O30" s="3347" t="s">
        <v>1992</v>
      </c>
      <c r="P30" s="3347" t="s">
        <v>1993</v>
      </c>
      <c r="Q30" s="3350" t="s">
        <v>3267</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2025</v>
      </c>
      <c r="C31" s="766">
        <f>E34+SUM(I37:I42)</f>
        <v>0</v>
      </c>
      <c r="D31" s="2083"/>
      <c r="E31" s="2084"/>
      <c r="F31" s="2085"/>
      <c r="G31" s="2084"/>
      <c r="H31" s="2084"/>
      <c r="I31" s="2084"/>
      <c r="J31" s="2086"/>
      <c r="K31" s="1119"/>
      <c r="L31" s="3348" t="s">
        <v>1996</v>
      </c>
      <c r="M31" s="1996">
        <v>0.25</v>
      </c>
      <c r="N31" s="1996">
        <v>0.2</v>
      </c>
      <c r="O31" s="1996">
        <v>0.15</v>
      </c>
      <c r="P31" s="1996">
        <v>0.1</v>
      </c>
      <c r="Q31" s="3343">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9"/>
      <c r="L32" s="3349" t="s">
        <v>1999</v>
      </c>
      <c r="M32" s="2565">
        <f>ROUND($E$24*(1+M31),3)</f>
        <v>5.3999999999999999E-2</v>
      </c>
      <c r="N32" s="2565">
        <f>ROUND($E$24*(1+N31),3)</f>
        <v>5.1999999999999998E-2</v>
      </c>
      <c r="O32" s="2565">
        <f>ROUND($E$24*(1+O31),3)</f>
        <v>0.05</v>
      </c>
      <c r="P32" s="2565">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2030</v>
      </c>
      <c r="C33" s="175">
        <f>ROUND(C5*C22*C23*C24*C25*C28,0)</f>
        <v>20705</v>
      </c>
      <c r="D33" s="2094">
        <f>'数据-基础表'!I13</f>
        <v>459.68</v>
      </c>
      <c r="E33" s="773">
        <f>ROUND(C33*D33/10000,0)</f>
        <v>952</v>
      </c>
      <c r="F33" s="3341" t="s">
        <v>3265</v>
      </c>
      <c r="G33" s="2095"/>
      <c r="H33" s="2095"/>
      <c r="I33" s="2095"/>
      <c r="J33" s="2096"/>
      <c r="K33" s="1119"/>
      <c r="L33" s="3344" t="s">
        <v>3268</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2031</v>
      </c>
      <c r="C34" s="187">
        <f>ROUND(IF(E2="工业",C33*M42,IF(B25="楼层修正",SUM(V2:V16)*M41*10000/D34,C33*M41)),0)</f>
        <v>5176</v>
      </c>
      <c r="D34" s="2099"/>
      <c r="E34" s="773">
        <f>ROUND(IF(B25="楼层修正",SUM(V2:V16)*M40,C34*D34/10000),0)</f>
        <v>0</v>
      </c>
      <c r="F34" s="2100" t="s">
        <v>2032</v>
      </c>
      <c r="G34" s="2101"/>
      <c r="H34" s="2101"/>
      <c r="I34" s="2101"/>
      <c r="J34" s="2102"/>
      <c r="K34" s="1119"/>
      <c r="L34" s="3344" t="s">
        <v>3269</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2033</v>
      </c>
      <c r="C35" s="3342" t="s">
        <v>3266</v>
      </c>
      <c r="D35" s="2033"/>
      <c r="E35" s="2105"/>
      <c r="F35" s="2105"/>
      <c r="G35" s="2031" t="s">
        <v>2034</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2" t="s">
        <v>3270</v>
      </c>
      <c r="L36" s="3442">
        <f ca="1">'数据-取费表'!B40</f>
        <v>4.7500000000000001E-2</v>
      </c>
      <c r="M36" s="3353">
        <f ca="1">ROUND($L$36*(1+M31),3)</f>
        <v>5.8999999999999997E-2</v>
      </c>
      <c r="N36" s="3353">
        <f ca="1">ROUND($L$36*(1+N31),3)</f>
        <v>5.7000000000000002E-2</v>
      </c>
      <c r="O36" s="3353">
        <f ca="1">ROUND($L$36*(1+O31),3)</f>
        <v>5.5E-2</v>
      </c>
      <c r="P36" s="3353">
        <f ca="1">ROUND($L$36*(1+P31),3)</f>
        <v>5.1999999999999998E-2</v>
      </c>
      <c r="Q36" s="3353">
        <f ca="1">ROUND($L$36*(1+Q31),3)</f>
        <v>5.5E-2</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79"/>
      <c r="B37" s="2109" t="s">
        <v>2036</v>
      </c>
      <c r="C37" s="175">
        <f>ROUND(D5*C22*C23*C24*C28*F37,0)</f>
        <v>13129</v>
      </c>
      <c r="D37" s="2094"/>
      <c r="E37" s="171">
        <f>ROUND(C37*D37/10000,0)</f>
        <v>0</v>
      </c>
      <c r="F37" s="171">
        <f>SUMIF(修正!A57:A68,G2,修正!B57:B68)</f>
        <v>0.6</v>
      </c>
      <c r="G37" s="171">
        <f>ROUND(IF(E2="工业",C37*$M$42,C37*$M$41),0)</f>
        <v>3282</v>
      </c>
      <c r="H37" s="171">
        <f>D37</f>
        <v>0</v>
      </c>
      <c r="I37" s="171">
        <f>ROUND(G37*H37/10000,0)</f>
        <v>0</v>
      </c>
      <c r="J37" s="3007"/>
      <c r="K37" s="3354" t="s">
        <v>3271</v>
      </c>
      <c r="L37" s="3352">
        <f ca="1">L36+K38</f>
        <v>5.2499999999999998E-2</v>
      </c>
      <c r="M37" s="3353">
        <f ca="1">ROUND($L$37*(1+M31),3)</f>
        <v>6.6000000000000003E-2</v>
      </c>
      <c r="N37" s="3353">
        <f t="shared" ref="N37:Q37" ca="1" si="3">ROUND($L$37*(1+N31),3)</f>
        <v>6.3E-2</v>
      </c>
      <c r="O37" s="3353">
        <f t="shared" ca="1" si="3"/>
        <v>0.06</v>
      </c>
      <c r="P37" s="3353">
        <f t="shared" ca="1" si="3"/>
        <v>5.8000000000000003E-2</v>
      </c>
      <c r="Q37" s="3353">
        <f t="shared" ca="1" si="3"/>
        <v>0.06</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80"/>
      <c r="B38" s="2037" t="s">
        <v>2037</v>
      </c>
      <c r="C38" s="175">
        <f>ROUND(D5*C22*C23*C24*C28*F38,0)</f>
        <v>6564</v>
      </c>
      <c r="D38" s="2094"/>
      <c r="E38" s="171">
        <f t="shared" ref="E38:E42" si="4">ROUND(C38*D38/10000,0)</f>
        <v>0</v>
      </c>
      <c r="F38" s="171">
        <f>SUMIF(修正!A57:A68,G2,修正!C57:C68)</f>
        <v>0.3</v>
      </c>
      <c r="G38" s="171">
        <f>ROUND(IF(E2="工业",C38*$M$42,C38*$M$41),0)</f>
        <v>1641</v>
      </c>
      <c r="H38" s="171">
        <f t="shared" ref="H38:H42" si="5">D38</f>
        <v>0</v>
      </c>
      <c r="I38" s="171">
        <f t="shared" ref="I38:I42" si="6">ROUND(G38*H38/10000,0)</f>
        <v>0</v>
      </c>
      <c r="J38" s="3006"/>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80"/>
      <c r="B39" s="2037" t="s">
        <v>3264</v>
      </c>
      <c r="C39" s="175">
        <f>ROUND(D5*C22*C23*C24*C28*F39,0)</f>
        <v>5470</v>
      </c>
      <c r="D39" s="2094"/>
      <c r="E39" s="171">
        <f t="shared" si="4"/>
        <v>0</v>
      </c>
      <c r="F39" s="171">
        <f>SUMIF(修正!A57:A68,G2,修正!D57:D68)</f>
        <v>0.25</v>
      </c>
      <c r="G39" s="171">
        <f>ROUND(IF(E2="工业",C39*$M$42,C39*$M$41),0)</f>
        <v>1368</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2038</v>
      </c>
      <c r="C40" s="171">
        <f>ROUND(D5*C22*C23*C24*C28*F40,0)</f>
        <v>5470</v>
      </c>
      <c r="D40" s="2094"/>
      <c r="E40" s="171">
        <f t="shared" si="4"/>
        <v>0</v>
      </c>
      <c r="F40" s="175">
        <f>SUMIF(修正!A57:A68,G2,修正!E57:E68)</f>
        <v>0.25</v>
      </c>
      <c r="G40" s="171">
        <f>ROUND(IF(E2="工业",C40*$M$42,C40*$M$41),0)</f>
        <v>1368</v>
      </c>
      <c r="H40" s="171">
        <f t="shared" si="5"/>
        <v>0</v>
      </c>
      <c r="I40" s="171">
        <f t="shared" si="6"/>
        <v>0</v>
      </c>
      <c r="J40" s="2110"/>
      <c r="L40" s="2112" t="s">
        <v>2039</v>
      </c>
      <c r="M40" s="2113"/>
      <c r="Z40" s="1120"/>
      <c r="AA40" s="1120"/>
      <c r="AB40" s="1120"/>
      <c r="AC40" s="1120"/>
      <c r="AD40" s="1120"/>
      <c r="AE40" s="1120"/>
      <c r="AF40" s="1120"/>
      <c r="AG40" s="1120"/>
      <c r="AH40" s="1120"/>
      <c r="AI40" s="1120"/>
      <c r="AJ40" s="1120"/>
    </row>
    <row r="41" spans="1:37" s="1119"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5" t="s">
        <v>3272</v>
      </c>
      <c r="M41" s="2114">
        <v>0.25</v>
      </c>
      <c r="Z41" s="1120"/>
      <c r="AA41" s="1120"/>
      <c r="AB41" s="1120"/>
      <c r="AC41" s="1120"/>
      <c r="AD41" s="1120"/>
      <c r="AE41" s="1120"/>
      <c r="AF41" s="1120"/>
      <c r="AG41" s="1120"/>
      <c r="AH41" s="1120"/>
      <c r="AI41" s="1120"/>
      <c r="AJ41" s="1120"/>
    </row>
    <row r="42" spans="1:37" s="1119" customFormat="1" ht="13.5" thickBot="1">
      <c r="A42" s="2097"/>
      <c r="B42" s="2115" t="s">
        <v>2041</v>
      </c>
      <c r="C42" s="187">
        <f>ROUND(D5*C22*C23*C44*C28*F42,0)</f>
        <v>0</v>
      </c>
      <c r="D42" s="2099"/>
      <c r="E42" s="187">
        <f t="shared" si="4"/>
        <v>0</v>
      </c>
      <c r="F42" s="767">
        <f>SUMIF(修正!A57:A68,G2,修正!G57:G68)</f>
        <v>0.15</v>
      </c>
      <c r="G42" s="187">
        <f>ROUND(IF(E2="工业",C42*$M$42,C42*$M$41),0)</f>
        <v>0</v>
      </c>
      <c r="H42" s="187">
        <f t="shared" si="5"/>
        <v>0</v>
      </c>
      <c r="I42" s="187">
        <f t="shared" si="6"/>
        <v>0</v>
      </c>
      <c r="J42" s="2116"/>
      <c r="L42" s="2117" t="s">
        <v>1993</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2122</v>
      </c>
      <c r="C44" s="342">
        <f>ROUND(POWER(1+E44,H44-G44)*(POWER(1+E44,G44)-1)/(POWER(1+E44,H44)-1),4)</f>
        <v>0</v>
      </c>
      <c r="D44" s="171" t="s">
        <v>1999</v>
      </c>
      <c r="E44" s="2149">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2042</v>
      </c>
      <c r="B47" s="2121"/>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hidden="1">
      <c r="A48" s="2122" t="s">
        <v>2043</v>
      </c>
      <c r="B48" s="2123">
        <f>1+E50</f>
        <v>1</v>
      </c>
      <c r="C48" s="2124"/>
      <c r="D48" s="741"/>
      <c r="E48" s="742"/>
      <c r="F48" s="2125"/>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hidden="1">
      <c r="A49" s="2126" t="s">
        <v>2044</v>
      </c>
      <c r="B49" s="1350" t="s">
        <v>2045</v>
      </c>
      <c r="C49" s="1350" t="s">
        <v>2046</v>
      </c>
      <c r="D49" s="1350" t="s">
        <v>2047</v>
      </c>
      <c r="E49" s="743" t="s">
        <v>2048</v>
      </c>
      <c r="F49" s="2127" t="s">
        <v>2049</v>
      </c>
      <c r="G49" s="1350" t="s">
        <v>310</v>
      </c>
      <c r="H49" s="2128"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26" t="s">
        <v>2052</v>
      </c>
      <c r="B50" s="2129" t="str">
        <f>估价对象房地状况!C4</f>
        <v>估价对象位于XX商圈，周边商业氛围成熟，人流量大，商业繁华度好</v>
      </c>
      <c r="C50" s="2040"/>
      <c r="D50" s="1065">
        <f t="shared" ref="D50:D58" si="7">SUMIF($J$49:$N$49,C50,J50:N50)</f>
        <v>0</v>
      </c>
      <c r="E50" s="744">
        <f>ROUND(SUM(D50:D58),4)</f>
        <v>0</v>
      </c>
      <c r="F50" s="1813"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26" t="s">
        <v>2053</v>
      </c>
      <c r="B51" s="2130" t="str">
        <f>估价对象房地状况!C18</f>
        <v>估价对象临近知春路，距离地铁10、13号线知春路站约100米，周边有专168路、311路、319路、630路等公交车通达，停车便捷程度较好，综合评价交通便捷度好</v>
      </c>
      <c r="C51" s="2040"/>
      <c r="D51" s="1065">
        <f t="shared" si="7"/>
        <v>0</v>
      </c>
      <c r="E51" s="745"/>
      <c r="F51" s="1813"/>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4" t="s">
        <v>3274</v>
      </c>
      <c r="B52" s="2130">
        <f>估价对象房地状况!C19</f>
        <v>0</v>
      </c>
      <c r="C52" s="2040"/>
      <c r="D52" s="1065">
        <f t="shared" si="7"/>
        <v>0</v>
      </c>
      <c r="E52" s="745"/>
      <c r="F52" s="1813"/>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6" t="s">
        <v>2054</v>
      </c>
      <c r="B53" s="2131" t="s">
        <v>2055</v>
      </c>
      <c r="C53" s="2040"/>
      <c r="D53" s="1065">
        <f t="shared" si="7"/>
        <v>0</v>
      </c>
      <c r="E53" s="745"/>
      <c r="F53" s="1813"/>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6" t="s">
        <v>2056</v>
      </c>
      <c r="B54" s="2130" t="str">
        <f>估价对象房地状况!C24</f>
        <v>城市主干道-知春路</v>
      </c>
      <c r="C54" s="2040"/>
      <c r="D54" s="1065">
        <f t="shared" si="7"/>
        <v>0</v>
      </c>
      <c r="E54" s="745"/>
      <c r="F54" s="1813"/>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6" t="s">
        <v>2057</v>
      </c>
      <c r="B55" s="2132" t="s">
        <v>2058</v>
      </c>
      <c r="C55" s="2040"/>
      <c r="D55" s="1065">
        <f t="shared" si="7"/>
        <v>0</v>
      </c>
      <c r="E55" s="745"/>
      <c r="F55" s="1813"/>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hidden="1">
      <c r="A56" s="2133" t="s">
        <v>2059</v>
      </c>
      <c r="B5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56" s="2040"/>
      <c r="D56" s="1065">
        <f t="shared" si="7"/>
        <v>0</v>
      </c>
      <c r="E56" s="745"/>
      <c r="F56" s="1813"/>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3" t="s">
        <v>2060</v>
      </c>
      <c r="B57" s="2130" t="str">
        <f>估价对象房地状况!C22</f>
        <v>估价对象所在区域基础设施水平-七通</v>
      </c>
      <c r="C57" s="2040"/>
      <c r="D57" s="1065">
        <f t="shared" si="7"/>
        <v>0</v>
      </c>
      <c r="E57" s="745"/>
      <c r="F57" s="1813"/>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hidden="1" thickBot="1">
      <c r="A58" s="2134" t="s">
        <v>2061</v>
      </c>
      <c r="B58" s="2135" t="str">
        <f>估价对象房地状况!C20</f>
        <v>区域自然环境：知春公园、双榆树公园；人文环境；首体足球场、大运村网球场；
综合评价环境状况较好</v>
      </c>
      <c r="C58" s="2040"/>
      <c r="D58" s="1065">
        <f t="shared" si="7"/>
        <v>0</v>
      </c>
      <c r="E58" s="746"/>
      <c r="F58" s="1813"/>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2" t="s">
        <v>2062</v>
      </c>
      <c r="B59" s="2123">
        <f>1+E61</f>
        <v>1.0547</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6" t="s">
        <v>2044</v>
      </c>
      <c r="B60" s="1350"/>
      <c r="C60" s="1350" t="s">
        <v>2046</v>
      </c>
      <c r="D60" s="1350" t="s">
        <v>2047</v>
      </c>
      <c r="E60" s="743" t="s">
        <v>2048</v>
      </c>
      <c r="F60" s="2127" t="s">
        <v>2063</v>
      </c>
      <c r="G60" s="1350" t="s">
        <v>310</v>
      </c>
      <c r="H60" s="2128"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63.75">
      <c r="A61" s="2126" t="s">
        <v>2064</v>
      </c>
      <c r="B61" s="2129" t="str">
        <f>估价对象房地状况!C17</f>
        <v>估价对象位于知春路商圈，周边办公楼项目有希格玛大厦、资金数码园、厦门大厦、卫星大厦、金仪科技大厦，入驻率高，办公集聚程度较好</v>
      </c>
      <c r="C61" s="2040" t="s">
        <v>3393</v>
      </c>
      <c r="D61" s="1065">
        <f t="shared" ref="D61:D69" si="12">SUMIF($J$60:$N$60,C61,J61:N61)</f>
        <v>1.0200000000000001E-2</v>
      </c>
      <c r="E61" s="744">
        <f>ROUND(SUM(D61:D69),4)</f>
        <v>5.4699999999999999E-2</v>
      </c>
      <c r="F61" s="1813">
        <f>IF(E2="办公",SUMIF(L1:L12,G2,N1:N12),"——")</f>
        <v>8.2000000000000003E-2</v>
      </c>
      <c r="G61" s="1063">
        <v>1.0200000000000001E-2</v>
      </c>
      <c r="H61" s="1066">
        <f t="shared" ref="H61:H69" si="13">IFERROR(ROUNDDOWN($F$61*I61/2,4),"——")</f>
        <v>1.0200000000000001E-2</v>
      </c>
      <c r="I61" s="3362">
        <v>0.25</v>
      </c>
      <c r="J61" s="1064">
        <f t="shared" ref="J61:J69" si="14">K61+$G61</f>
        <v>2.0400000000000001E-2</v>
      </c>
      <c r="K61" s="1064">
        <f t="shared" ref="K61:K69" si="15">$L61+$G61</f>
        <v>1.0200000000000001E-2</v>
      </c>
      <c r="L61" s="1064">
        <v>0</v>
      </c>
      <c r="M61" s="1064">
        <f t="shared" ref="M61:N69" si="16">L61-$G61</f>
        <v>-1.0200000000000001E-2</v>
      </c>
      <c r="N61" s="1064">
        <f t="shared" si="16"/>
        <v>-2.0400000000000001E-2</v>
      </c>
      <c r="AA61" s="1120"/>
      <c r="AB61" s="1120"/>
      <c r="AC61" s="1120"/>
      <c r="AD61" s="1120"/>
      <c r="AE61" s="1120"/>
      <c r="AF61" s="1120"/>
      <c r="AG61" s="1120"/>
      <c r="AH61" s="1120"/>
      <c r="AI61" s="1120"/>
      <c r="AJ61" s="1120"/>
      <c r="AK61" s="1120"/>
    </row>
    <row r="62" spans="1:37" s="1119" customFormat="1" ht="76.5">
      <c r="A62" s="2126" t="s">
        <v>2053</v>
      </c>
      <c r="B62" s="2130" t="str">
        <f>估价对象房地状况!C18</f>
        <v>估价对象临近知春路，距离地铁10、13号线知春路站约100米，周边有专168路、311路、319路、630路等公交车通达，停车便捷程度较好，综合评价交通便捷度好</v>
      </c>
      <c r="C62" s="2040" t="s">
        <v>3395</v>
      </c>
      <c r="D62" s="1065">
        <f t="shared" si="12"/>
        <v>2.12E-2</v>
      </c>
      <c r="E62" s="745"/>
      <c r="F62" s="1813"/>
      <c r="G62" s="1063">
        <v>1.06E-2</v>
      </c>
      <c r="H62" s="1066">
        <f t="shared" si="13"/>
        <v>1.06E-2</v>
      </c>
      <c r="I62" s="3362">
        <v>0.26</v>
      </c>
      <c r="J62" s="1064">
        <f t="shared" si="14"/>
        <v>2.12E-2</v>
      </c>
      <c r="K62" s="1064">
        <f t="shared" si="15"/>
        <v>1.06E-2</v>
      </c>
      <c r="L62" s="1064">
        <v>0</v>
      </c>
      <c r="M62" s="1064">
        <f t="shared" si="16"/>
        <v>-1.06E-2</v>
      </c>
      <c r="N62" s="1064">
        <f t="shared" si="16"/>
        <v>-2.12E-2</v>
      </c>
      <c r="AA62" s="1120"/>
      <c r="AB62" s="1120"/>
      <c r="AC62" s="1120"/>
      <c r="AD62" s="1120"/>
      <c r="AE62" s="1120"/>
      <c r="AF62" s="1120"/>
      <c r="AG62" s="1120"/>
      <c r="AH62" s="1120"/>
      <c r="AI62" s="1120"/>
      <c r="AJ62" s="1120"/>
      <c r="AK62" s="1120"/>
    </row>
    <row r="63" spans="1:37" s="1119" customFormat="1" ht="36">
      <c r="A63" s="3364" t="s">
        <v>3274</v>
      </c>
      <c r="B63" s="2130">
        <f>估价对象房地状况!C19</f>
        <v>0</v>
      </c>
      <c r="C63" s="2040" t="s">
        <v>3393</v>
      </c>
      <c r="D63" s="1065">
        <f t="shared" si="12"/>
        <v>4.4999999999999997E-3</v>
      </c>
      <c r="E63" s="745"/>
      <c r="F63" s="1813"/>
      <c r="G63" s="1063">
        <v>4.4999999999999997E-3</v>
      </c>
      <c r="H63" s="1066">
        <f t="shared" si="13"/>
        <v>4.4999999999999997E-3</v>
      </c>
      <c r="I63" s="3362">
        <v>0.11</v>
      </c>
      <c r="J63" s="1064">
        <f t="shared" si="14"/>
        <v>8.9999999999999993E-3</v>
      </c>
      <c r="K63" s="1064">
        <f t="shared" si="15"/>
        <v>4.4999999999999997E-3</v>
      </c>
      <c r="L63" s="1064">
        <v>0</v>
      </c>
      <c r="M63" s="1064">
        <f t="shared" si="16"/>
        <v>-4.4999999999999997E-3</v>
      </c>
      <c r="N63" s="1064">
        <f t="shared" si="16"/>
        <v>-8.9999999999999993E-3</v>
      </c>
      <c r="AA63" s="1120"/>
      <c r="AB63" s="1120"/>
      <c r="AC63" s="1120"/>
      <c r="AD63" s="1120"/>
      <c r="AE63" s="1120"/>
      <c r="AF63" s="1120"/>
      <c r="AG63" s="1120"/>
      <c r="AH63" s="1120"/>
      <c r="AI63" s="1120"/>
      <c r="AJ63" s="1120"/>
      <c r="AK63" s="1120"/>
    </row>
    <row r="64" spans="1:37" s="1119" customFormat="1" ht="36.75">
      <c r="A64" s="2126" t="s">
        <v>2054</v>
      </c>
      <c r="B64" s="2131" t="s">
        <v>2055</v>
      </c>
      <c r="C64" s="2040" t="s">
        <v>3393</v>
      </c>
      <c r="D64" s="1065">
        <f t="shared" si="12"/>
        <v>2E-3</v>
      </c>
      <c r="E64" s="745"/>
      <c r="F64" s="1813"/>
      <c r="G64" s="1063">
        <v>2E-3</v>
      </c>
      <c r="H64" s="1066">
        <f t="shared" si="13"/>
        <v>2E-3</v>
      </c>
      <c r="I64" s="3362">
        <v>0.05</v>
      </c>
      <c r="J64" s="1064">
        <f t="shared" si="14"/>
        <v>4.0000000000000001E-3</v>
      </c>
      <c r="K64" s="1064">
        <f t="shared" si="15"/>
        <v>2E-3</v>
      </c>
      <c r="L64" s="1064">
        <v>0</v>
      </c>
      <c r="M64" s="1064">
        <f t="shared" si="16"/>
        <v>-2E-3</v>
      </c>
      <c r="N64" s="1064">
        <f t="shared" si="16"/>
        <v>-4.0000000000000001E-3</v>
      </c>
      <c r="AA64" s="1120"/>
      <c r="AB64" s="1120"/>
      <c r="AC64" s="1120"/>
      <c r="AD64" s="1120"/>
      <c r="AE64" s="1120"/>
      <c r="AF64" s="1120"/>
      <c r="AG64" s="1120"/>
      <c r="AH64" s="1120"/>
      <c r="AI64" s="1120"/>
      <c r="AJ64" s="1120"/>
      <c r="AK64" s="1120"/>
    </row>
    <row r="65" spans="1:37" s="1119" customFormat="1" ht="24">
      <c r="A65" s="2126" t="s">
        <v>2056</v>
      </c>
      <c r="B65" s="2130" t="str">
        <f>估价对象房地状况!C24</f>
        <v>城市主干道-知春路</v>
      </c>
      <c r="C65" s="2040" t="s">
        <v>3393</v>
      </c>
      <c r="D65" s="1065">
        <f t="shared" si="12"/>
        <v>2E-3</v>
      </c>
      <c r="E65" s="745"/>
      <c r="F65" s="1813"/>
      <c r="G65" s="1063">
        <v>2E-3</v>
      </c>
      <c r="H65" s="1066">
        <f t="shared" si="13"/>
        <v>2E-3</v>
      </c>
      <c r="I65" s="3362">
        <v>0.05</v>
      </c>
      <c r="J65" s="1064">
        <f t="shared" si="14"/>
        <v>4.0000000000000001E-3</v>
      </c>
      <c r="K65" s="1064">
        <f t="shared" si="15"/>
        <v>2E-3</v>
      </c>
      <c r="L65" s="1064">
        <v>0</v>
      </c>
      <c r="M65" s="1064">
        <f t="shared" si="16"/>
        <v>-2E-3</v>
      </c>
      <c r="N65" s="1064">
        <f t="shared" si="16"/>
        <v>-4.0000000000000001E-3</v>
      </c>
      <c r="AA65" s="1120"/>
      <c r="AB65" s="1120"/>
      <c r="AC65" s="1120"/>
      <c r="AD65" s="1120"/>
      <c r="AE65" s="1120"/>
      <c r="AF65" s="1120"/>
      <c r="AG65" s="1120"/>
      <c r="AH65" s="1120"/>
      <c r="AI65" s="1120"/>
      <c r="AJ65" s="1120"/>
      <c r="AK65" s="1120"/>
    </row>
    <row r="66" spans="1:37" s="1119" customFormat="1" ht="24">
      <c r="A66" s="2126" t="s">
        <v>2057</v>
      </c>
      <c r="B66" s="2132" t="s">
        <v>2058</v>
      </c>
      <c r="C66" s="2040" t="s">
        <v>3393</v>
      </c>
      <c r="D66" s="1065">
        <f t="shared" si="12"/>
        <v>2.3999999999999998E-3</v>
      </c>
      <c r="E66" s="745"/>
      <c r="F66" s="1813"/>
      <c r="G66" s="1063">
        <v>2.3999999999999998E-3</v>
      </c>
      <c r="H66" s="1066">
        <f t="shared" si="13"/>
        <v>2.3999999999999998E-3</v>
      </c>
      <c r="I66" s="3362">
        <v>0.06</v>
      </c>
      <c r="J66" s="1064">
        <f t="shared" si="14"/>
        <v>4.7999999999999996E-3</v>
      </c>
      <c r="K66" s="1064">
        <f t="shared" si="15"/>
        <v>2.3999999999999998E-3</v>
      </c>
      <c r="L66" s="1064">
        <v>0</v>
      </c>
      <c r="M66" s="1064">
        <f t="shared" si="16"/>
        <v>-2.3999999999999998E-3</v>
      </c>
      <c r="N66" s="1064">
        <f t="shared" si="16"/>
        <v>-4.7999999999999996E-3</v>
      </c>
      <c r="AA66" s="1120"/>
      <c r="AB66" s="1120"/>
      <c r="AC66" s="1120"/>
      <c r="AD66" s="1120"/>
      <c r="AE66" s="1120"/>
      <c r="AF66" s="1120"/>
      <c r="AG66" s="1120"/>
      <c r="AH66" s="1120"/>
      <c r="AI66" s="1120"/>
      <c r="AJ66" s="1120"/>
      <c r="AK66" s="1120"/>
    </row>
    <row r="67" spans="1:37" s="1119" customFormat="1" ht="178.5">
      <c r="A67" s="2126" t="s">
        <v>2059</v>
      </c>
      <c r="B67"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67" s="2040" t="s">
        <v>3393</v>
      </c>
      <c r="D67" s="1065">
        <f t="shared" si="12"/>
        <v>2.3999999999999998E-3</v>
      </c>
      <c r="E67" s="745"/>
      <c r="F67" s="1813"/>
      <c r="G67" s="1063">
        <v>2.3999999999999998E-3</v>
      </c>
      <c r="H67" s="1066">
        <f t="shared" si="13"/>
        <v>2.3999999999999998E-3</v>
      </c>
      <c r="I67" s="3362">
        <v>0.06</v>
      </c>
      <c r="J67" s="1064">
        <f t="shared" si="14"/>
        <v>4.7999999999999996E-3</v>
      </c>
      <c r="K67" s="1064">
        <f t="shared" si="15"/>
        <v>2.3999999999999998E-3</v>
      </c>
      <c r="L67" s="1064">
        <v>0</v>
      </c>
      <c r="M67" s="1064">
        <f t="shared" si="16"/>
        <v>-2.3999999999999998E-3</v>
      </c>
      <c r="N67" s="1064">
        <f t="shared" si="16"/>
        <v>-4.7999999999999996E-3</v>
      </c>
      <c r="AA67" s="1120"/>
      <c r="AB67" s="1120"/>
      <c r="AC67" s="1120"/>
      <c r="AD67" s="1120"/>
      <c r="AE67" s="1120"/>
      <c r="AF67" s="1120"/>
      <c r="AG67" s="1120"/>
      <c r="AH67" s="1120"/>
      <c r="AI67" s="1120"/>
      <c r="AJ67" s="1120"/>
      <c r="AK67" s="1120"/>
    </row>
    <row r="68" spans="1:37" s="1119" customFormat="1" ht="25.5">
      <c r="A68" s="2126" t="s">
        <v>2060</v>
      </c>
      <c r="B68" s="1325" t="str">
        <f>估价对象房地状况!C22</f>
        <v>估价对象所在区域基础设施水平-七通</v>
      </c>
      <c r="C68" s="2040" t="s">
        <v>3395</v>
      </c>
      <c r="D68" s="1065">
        <f t="shared" si="12"/>
        <v>7.1999999999999998E-3</v>
      </c>
      <c r="E68" s="745"/>
      <c r="F68" s="1813"/>
      <c r="G68" s="1063">
        <v>3.5999999999999999E-3</v>
      </c>
      <c r="H68" s="1066">
        <f t="shared" si="13"/>
        <v>3.5999999999999999E-3</v>
      </c>
      <c r="I68" s="3362">
        <v>0.09</v>
      </c>
      <c r="J68" s="1064">
        <f t="shared" si="14"/>
        <v>7.1999999999999998E-3</v>
      </c>
      <c r="K68" s="1064">
        <f t="shared" si="15"/>
        <v>3.5999999999999999E-3</v>
      </c>
      <c r="L68" s="1064">
        <v>0</v>
      </c>
      <c r="M68" s="1064">
        <f t="shared" si="16"/>
        <v>-3.5999999999999999E-3</v>
      </c>
      <c r="N68" s="1064">
        <f t="shared" si="16"/>
        <v>-7.1999999999999998E-3</v>
      </c>
      <c r="AA68" s="1120"/>
      <c r="AB68" s="1120"/>
      <c r="AC68" s="1120"/>
      <c r="AD68" s="1120"/>
      <c r="AE68" s="1120"/>
      <c r="AF68" s="1120"/>
      <c r="AG68" s="1120"/>
      <c r="AH68" s="1120"/>
      <c r="AI68" s="1120"/>
      <c r="AJ68" s="1120"/>
      <c r="AK68" s="1120"/>
    </row>
    <row r="69" spans="1:37" s="1119" customFormat="1" ht="51.75" thickBot="1">
      <c r="A69" s="2134" t="s">
        <v>2061</v>
      </c>
      <c r="B69" s="2136" t="str">
        <f>估价对象房地状况!C20</f>
        <v>区域自然环境：知春公园、双榆树公园；人文环境；首体足球场、大运村网球场；
综合评价环境状况较好</v>
      </c>
      <c r="C69" s="2040" t="s">
        <v>3393</v>
      </c>
      <c r="D69" s="1065">
        <f t="shared" si="12"/>
        <v>2.8E-3</v>
      </c>
      <c r="E69" s="746"/>
      <c r="F69" s="1813"/>
      <c r="G69" s="1063">
        <v>2.8E-3</v>
      </c>
      <c r="H69" s="1066">
        <f t="shared" si="13"/>
        <v>2.8E-3</v>
      </c>
      <c r="I69" s="3363">
        <v>7.0000000000000007E-2</v>
      </c>
      <c r="J69" s="1064">
        <f t="shared" si="14"/>
        <v>5.5999999999999999E-3</v>
      </c>
      <c r="K69" s="1064">
        <f t="shared" si="15"/>
        <v>2.8E-3</v>
      </c>
      <c r="L69" s="1064">
        <v>0</v>
      </c>
      <c r="M69" s="1064">
        <f t="shared" si="16"/>
        <v>-2.8E-3</v>
      </c>
      <c r="N69" s="1064">
        <f t="shared" si="16"/>
        <v>-5.5999999999999999E-3</v>
      </c>
      <c r="AA69" s="1120"/>
      <c r="AB69" s="1120"/>
      <c r="AC69" s="1120"/>
      <c r="AD69" s="1120"/>
      <c r="AE69" s="1120"/>
      <c r="AF69" s="1120"/>
      <c r="AG69" s="1120"/>
      <c r="AH69" s="1120"/>
      <c r="AI69" s="1120"/>
      <c r="AJ69" s="1120"/>
      <c r="AK69" s="1120"/>
    </row>
    <row r="70" spans="1:37" s="1119" customFormat="1" ht="15">
      <c r="A70" s="2122" t="s">
        <v>2065</v>
      </c>
      <c r="B70" s="2123">
        <f>1+E72</f>
        <v>1.038</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2044</v>
      </c>
      <c r="B71" s="1350"/>
      <c r="C71" s="1350" t="s">
        <v>2046</v>
      </c>
      <c r="D71" s="1350" t="s">
        <v>2047</v>
      </c>
      <c r="E71" s="743" t="s">
        <v>2048</v>
      </c>
      <c r="F71" s="2127" t="s">
        <v>2063</v>
      </c>
      <c r="G71" s="1350" t="s">
        <v>310</v>
      </c>
      <c r="H71" s="2128"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6" t="s">
        <v>2066</v>
      </c>
      <c r="B72" s="2129" t="str">
        <f>估价对象房地状况!C15</f>
        <v>估价对象周边居住用地比例、居住小区规模和社区发展完善程度，综合评价居住社区成熟度一般</v>
      </c>
      <c r="C72" s="2040" t="s">
        <v>3393</v>
      </c>
      <c r="D72" s="1065">
        <f t="shared" ref="D72:D80" si="17">SUMIF($J$71:$N$71,C72,J72:N72)</f>
        <v>9.7999999999999997E-3</v>
      </c>
      <c r="E72" s="744">
        <f>ROUND(SUM(D72:D80),4)</f>
        <v>3.7999999999999999E-2</v>
      </c>
      <c r="F72" s="1813" t="str">
        <f>IF(E2="住宅",SUMIF(L1:L12,G2,N1:N12),"——")</f>
        <v>——</v>
      </c>
      <c r="G72" s="1063">
        <v>9.7999999999999997E-3</v>
      </c>
      <c r="H72" s="1066" t="str">
        <f t="shared" ref="H72:H80" si="18">IFERROR(ROUNDDOWN($F$72*I72/2,4),"——")</f>
        <v>——</v>
      </c>
      <c r="I72" s="3362">
        <v>0.2</v>
      </c>
      <c r="J72" s="1064">
        <f t="shared" ref="J72:J80" si="19">K72+$G72</f>
        <v>1.9599999999999999E-2</v>
      </c>
      <c r="K72" s="1064">
        <f t="shared" ref="K72:K80" si="20">$L72+$G72</f>
        <v>9.7999999999999997E-3</v>
      </c>
      <c r="L72" s="1064">
        <v>0</v>
      </c>
      <c r="M72" s="1064">
        <f t="shared" ref="M72:N80" si="21">L72-$G72</f>
        <v>-9.7999999999999997E-3</v>
      </c>
      <c r="N72" s="1064">
        <f t="shared" si="21"/>
        <v>-1.9599999999999999E-2</v>
      </c>
      <c r="AA72" s="1120"/>
      <c r="AB72" s="1120"/>
      <c r="AC72" s="1120"/>
      <c r="AD72" s="1120"/>
      <c r="AE72" s="1120"/>
      <c r="AF72" s="1120"/>
      <c r="AG72" s="1120"/>
      <c r="AH72" s="1120"/>
      <c r="AI72" s="1120"/>
      <c r="AJ72" s="1120"/>
      <c r="AK72" s="1120"/>
    </row>
    <row r="73" spans="1:37" s="1119" customFormat="1" ht="76.5">
      <c r="A73" s="2126" t="s">
        <v>2053</v>
      </c>
      <c r="B73" s="2130" t="str">
        <f>估价对象房地状况!C18</f>
        <v>估价对象临近知春路，距离地铁10、13号线知春路站约100米，周边有专168路、311路、319路、630路等公交车通达，停车便捷程度较好，综合评价交通便捷度好</v>
      </c>
      <c r="C73" s="2040" t="s">
        <v>3394</v>
      </c>
      <c r="D73" s="1065">
        <f t="shared" si="17"/>
        <v>0</v>
      </c>
      <c r="E73" s="747"/>
      <c r="F73" s="1813"/>
      <c r="G73" s="1063">
        <v>1.2699999999999999E-2</v>
      </c>
      <c r="H73" s="1066" t="str">
        <f t="shared" si="18"/>
        <v>——</v>
      </c>
      <c r="I73" s="3362">
        <v>0.26</v>
      </c>
      <c r="J73" s="1064">
        <f t="shared" si="19"/>
        <v>2.5399999999999999E-2</v>
      </c>
      <c r="K73" s="1064">
        <f t="shared" si="20"/>
        <v>1.2699999999999999E-2</v>
      </c>
      <c r="L73" s="1064">
        <v>0</v>
      </c>
      <c r="M73" s="1064">
        <f t="shared" si="21"/>
        <v>-1.2699999999999999E-2</v>
      </c>
      <c r="N73" s="1064">
        <f t="shared" si="21"/>
        <v>-2.5399999999999999E-2</v>
      </c>
      <c r="AA73" s="1120"/>
      <c r="AB73" s="1120"/>
      <c r="AC73" s="1120"/>
      <c r="AD73" s="1120"/>
      <c r="AE73" s="1120"/>
      <c r="AF73" s="1120"/>
      <c r="AG73" s="1120"/>
      <c r="AH73" s="1120"/>
      <c r="AI73" s="1120"/>
      <c r="AJ73" s="1120"/>
      <c r="AK73" s="1120"/>
    </row>
    <row r="74" spans="1:37" s="1993" customFormat="1" ht="36">
      <c r="A74" s="3364" t="s">
        <v>3274</v>
      </c>
      <c r="B74" s="2130">
        <f>估价对象房地状况!C19</f>
        <v>0</v>
      </c>
      <c r="C74" s="2040" t="s">
        <v>3393</v>
      </c>
      <c r="D74" s="1065">
        <f t="shared" si="17"/>
        <v>4.8999999999999998E-3</v>
      </c>
      <c r="E74" s="747"/>
      <c r="F74" s="1813"/>
      <c r="G74" s="1063">
        <v>4.8999999999999998E-3</v>
      </c>
      <c r="H74" s="1066" t="str">
        <f t="shared" si="18"/>
        <v>——</v>
      </c>
      <c r="I74" s="3362">
        <v>0.1</v>
      </c>
      <c r="J74" s="1064">
        <f t="shared" si="19"/>
        <v>9.7999999999999997E-3</v>
      </c>
      <c r="K74" s="1064">
        <f t="shared" si="20"/>
        <v>4.8999999999999998E-3</v>
      </c>
      <c r="L74" s="1064">
        <v>0</v>
      </c>
      <c r="M74" s="1064">
        <f t="shared" si="21"/>
        <v>-4.8999999999999998E-3</v>
      </c>
      <c r="N74" s="1064">
        <f t="shared" si="21"/>
        <v>-9.7999999999999997E-3</v>
      </c>
      <c r="O74" s="1119"/>
      <c r="P74" s="1119"/>
      <c r="Q74" s="1119"/>
      <c r="AA74" s="2137"/>
      <c r="AB74" s="1120"/>
      <c r="AC74" s="1120"/>
      <c r="AD74" s="1120"/>
      <c r="AE74" s="1120"/>
      <c r="AF74" s="1120"/>
      <c r="AG74" s="1120"/>
      <c r="AH74" s="2137"/>
      <c r="AI74" s="2137"/>
      <c r="AJ74" s="2137"/>
      <c r="AK74" s="2137"/>
    </row>
    <row r="75" spans="1:37" ht="14.25">
      <c r="A75" s="2126" t="s">
        <v>2067</v>
      </c>
      <c r="B75" s="2130" t="str">
        <f>估价对象房地状况!C24</f>
        <v>城市主干道-知春路</v>
      </c>
      <c r="C75" s="2040" t="s">
        <v>3394</v>
      </c>
      <c r="D75" s="1065">
        <f t="shared" si="17"/>
        <v>0</v>
      </c>
      <c r="E75" s="747"/>
      <c r="F75" s="1813"/>
      <c r="G75" s="1063">
        <v>2.3999999999999998E-3</v>
      </c>
      <c r="H75" s="1066" t="str">
        <f t="shared" si="18"/>
        <v>——</v>
      </c>
      <c r="I75" s="3362">
        <v>0.05</v>
      </c>
      <c r="J75" s="1064">
        <f t="shared" si="19"/>
        <v>4.7999999999999996E-3</v>
      </c>
      <c r="K75" s="1064">
        <f t="shared" si="20"/>
        <v>2.3999999999999998E-3</v>
      </c>
      <c r="L75" s="1064">
        <v>0</v>
      </c>
      <c r="M75" s="1064">
        <f t="shared" si="21"/>
        <v>-2.3999999999999998E-3</v>
      </c>
      <c r="N75" s="1064">
        <f t="shared" si="21"/>
        <v>-4.7999999999999996E-3</v>
      </c>
      <c r="O75" s="1119"/>
      <c r="P75" s="1119"/>
      <c r="Q75" s="1993"/>
      <c r="Z75" s="1994"/>
      <c r="AA75" s="2049"/>
      <c r="AG75" s="1121"/>
      <c r="AK75" s="2049"/>
    </row>
    <row r="76" spans="1:37" ht="178.5">
      <c r="A76" s="2126" t="s">
        <v>2059</v>
      </c>
      <c r="B7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76" s="2040" t="s">
        <v>3393</v>
      </c>
      <c r="D76" s="1065">
        <f t="shared" si="17"/>
        <v>3.8999999999999998E-3</v>
      </c>
      <c r="E76" s="747"/>
      <c r="F76" s="1813"/>
      <c r="G76" s="1063">
        <v>3.8999999999999998E-3</v>
      </c>
      <c r="H76" s="1066" t="str">
        <f t="shared" si="18"/>
        <v>——</v>
      </c>
      <c r="I76" s="3362">
        <v>0.08</v>
      </c>
      <c r="J76" s="1064">
        <f t="shared" si="19"/>
        <v>7.7999999999999996E-3</v>
      </c>
      <c r="K76" s="1064">
        <f t="shared" si="20"/>
        <v>3.8999999999999998E-3</v>
      </c>
      <c r="L76" s="1064">
        <v>0</v>
      </c>
      <c r="M76" s="1064">
        <f t="shared" si="21"/>
        <v>-3.8999999999999998E-3</v>
      </c>
      <c r="N76" s="1064">
        <f t="shared" si="21"/>
        <v>-7.7999999999999996E-3</v>
      </c>
      <c r="O76" s="1119"/>
      <c r="P76" s="1119"/>
      <c r="Z76" s="1994"/>
      <c r="AA76" s="2049"/>
      <c r="AG76" s="1121"/>
      <c r="AK76" s="2049"/>
    </row>
    <row r="77" spans="1:37" ht="25.5">
      <c r="A77" s="2126" t="s">
        <v>2060</v>
      </c>
      <c r="B77" s="1325" t="str">
        <f>估价对象房地状况!C22</f>
        <v>估价对象所在区域基础设施水平-七通</v>
      </c>
      <c r="C77" s="2040" t="s">
        <v>3395</v>
      </c>
      <c r="D77" s="1065">
        <f t="shared" si="17"/>
        <v>8.8000000000000005E-3</v>
      </c>
      <c r="E77" s="747"/>
      <c r="F77" s="1813"/>
      <c r="G77" s="1063">
        <v>4.4000000000000003E-3</v>
      </c>
      <c r="H77" s="1066" t="str">
        <f t="shared" si="18"/>
        <v>——</v>
      </c>
      <c r="I77" s="3362">
        <v>0.09</v>
      </c>
      <c r="J77" s="1064">
        <f t="shared" si="19"/>
        <v>8.8000000000000005E-3</v>
      </c>
      <c r="K77" s="1064">
        <f t="shared" si="20"/>
        <v>4.4000000000000003E-3</v>
      </c>
      <c r="L77" s="1064">
        <v>0</v>
      </c>
      <c r="M77" s="1064">
        <f t="shared" si="21"/>
        <v>-4.4000000000000003E-3</v>
      </c>
      <c r="N77" s="1064">
        <f t="shared" si="21"/>
        <v>-8.8000000000000005E-3</v>
      </c>
      <c r="O77" s="1119"/>
      <c r="P77" s="1119"/>
      <c r="Z77" s="1994"/>
      <c r="AA77" s="2049"/>
      <c r="AG77" s="1121"/>
      <c r="AK77" s="2049"/>
    </row>
    <row r="78" spans="1:37" ht="24">
      <c r="A78" s="2126" t="s">
        <v>2057</v>
      </c>
      <c r="B78" s="2132" t="s">
        <v>2058</v>
      </c>
      <c r="C78" s="2040" t="s">
        <v>3393</v>
      </c>
      <c r="D78" s="1065">
        <f t="shared" si="17"/>
        <v>2.3999999999999998E-3</v>
      </c>
      <c r="E78" s="747"/>
      <c r="F78" s="1813"/>
      <c r="G78" s="1063">
        <v>2.3999999999999998E-3</v>
      </c>
      <c r="H78" s="1066" t="str">
        <f t="shared" si="18"/>
        <v>——</v>
      </c>
      <c r="I78" s="3362">
        <v>0.05</v>
      </c>
      <c r="J78" s="1064">
        <f t="shared" si="19"/>
        <v>4.7999999999999996E-3</v>
      </c>
      <c r="K78" s="1064">
        <f t="shared" si="20"/>
        <v>2.3999999999999998E-3</v>
      </c>
      <c r="L78" s="1064">
        <v>0</v>
      </c>
      <c r="M78" s="1064">
        <f t="shared" si="21"/>
        <v>-2.3999999999999998E-3</v>
      </c>
      <c r="N78" s="1064">
        <f t="shared" si="21"/>
        <v>-4.7999999999999996E-3</v>
      </c>
      <c r="O78" s="1993"/>
      <c r="P78" s="1993"/>
      <c r="Z78" s="1994"/>
      <c r="AA78" s="2049"/>
      <c r="AG78" s="1121"/>
      <c r="AK78" s="2049"/>
    </row>
    <row r="79" spans="1:37" ht="51">
      <c r="A79" s="2126" t="s">
        <v>2061</v>
      </c>
      <c r="B79" s="2129" t="str">
        <f>估价对象房地状况!C20</f>
        <v>区域自然环境：知春公园、双榆树公园；人文环境；首体足球场、大运村网球场；
综合评价环境状况较好</v>
      </c>
      <c r="C79" s="2040" t="s">
        <v>3393</v>
      </c>
      <c r="D79" s="1065">
        <f t="shared" si="17"/>
        <v>5.7999999999999996E-3</v>
      </c>
      <c r="E79" s="747"/>
      <c r="F79" s="1813"/>
      <c r="G79" s="1063">
        <v>5.7999999999999996E-3</v>
      </c>
      <c r="H79" s="1066" t="str">
        <f t="shared" si="18"/>
        <v>——</v>
      </c>
      <c r="I79" s="3362">
        <v>0.12</v>
      </c>
      <c r="J79" s="1064">
        <f t="shared" si="19"/>
        <v>1.1599999999999999E-2</v>
      </c>
      <c r="K79" s="1064">
        <f t="shared" si="20"/>
        <v>5.7999999999999996E-3</v>
      </c>
      <c r="L79" s="1064">
        <v>0</v>
      </c>
      <c r="M79" s="1064">
        <f t="shared" si="21"/>
        <v>-5.7999999999999996E-3</v>
      </c>
      <c r="N79" s="1064">
        <f t="shared" si="21"/>
        <v>-1.1599999999999999E-2</v>
      </c>
      <c r="Z79" s="1994"/>
      <c r="AA79" s="2049"/>
      <c r="AG79" s="1121"/>
      <c r="AK79" s="2049"/>
    </row>
    <row r="80" spans="1:37" ht="24.75" thickBot="1">
      <c r="A80" s="2134" t="s">
        <v>2068</v>
      </c>
      <c r="B80" s="2138"/>
      <c r="C80" s="2040" t="s">
        <v>3393</v>
      </c>
      <c r="D80" s="1065">
        <f t="shared" si="17"/>
        <v>2.3999999999999998E-3</v>
      </c>
      <c r="E80" s="748"/>
      <c r="F80" s="1813"/>
      <c r="G80" s="1063">
        <v>2.3999999999999998E-3</v>
      </c>
      <c r="H80" s="1066" t="str">
        <f t="shared" si="18"/>
        <v>——</v>
      </c>
      <c r="I80" s="3363">
        <v>0.05</v>
      </c>
      <c r="J80" s="1064">
        <f t="shared" si="19"/>
        <v>4.7999999999999996E-3</v>
      </c>
      <c r="K80" s="1064">
        <f t="shared" si="20"/>
        <v>2.3999999999999998E-3</v>
      </c>
      <c r="L80" s="1064">
        <v>0</v>
      </c>
      <c r="M80" s="1064">
        <f t="shared" si="21"/>
        <v>-2.3999999999999998E-3</v>
      </c>
      <c r="N80" s="1064">
        <f t="shared" si="21"/>
        <v>-4.7999999999999996E-3</v>
      </c>
      <c r="Z80" s="1994"/>
      <c r="AA80" s="2049"/>
      <c r="AG80" s="1121"/>
      <c r="AK80" s="2049"/>
    </row>
    <row r="81" spans="1:37" ht="15">
      <c r="A81" s="2122" t="s">
        <v>2069</v>
      </c>
      <c r="B81" s="2123">
        <f>1+E83</f>
        <v>1</v>
      </c>
      <c r="C81" s="741"/>
      <c r="D81" s="741"/>
      <c r="E81" s="742"/>
      <c r="F81" s="2125"/>
      <c r="G81" s="3"/>
      <c r="H81" s="3"/>
      <c r="I81" s="3"/>
      <c r="J81" s="4"/>
      <c r="K81" s="4"/>
      <c r="L81" s="4"/>
      <c r="M81" s="4"/>
      <c r="N81" s="4"/>
      <c r="Z81" s="1994"/>
      <c r="AA81" s="2049"/>
      <c r="AG81" s="1121"/>
      <c r="AK81" s="2049"/>
    </row>
    <row r="82" spans="1:37" ht="24.75">
      <c r="A82" s="2126" t="s">
        <v>2044</v>
      </c>
      <c r="B82" s="1350"/>
      <c r="C82" s="1350" t="s">
        <v>2046</v>
      </c>
      <c r="D82" s="1350" t="s">
        <v>2047</v>
      </c>
      <c r="E82" s="743" t="s">
        <v>2048</v>
      </c>
      <c r="F82" s="2127" t="s">
        <v>2063</v>
      </c>
      <c r="G82" s="1350" t="s">
        <v>310</v>
      </c>
      <c r="H82" s="2128" t="s">
        <v>2050</v>
      </c>
      <c r="I82" s="1350" t="s">
        <v>2051</v>
      </c>
      <c r="J82" s="552" t="s">
        <v>1721</v>
      </c>
      <c r="K82" s="552" t="s">
        <v>1722</v>
      </c>
      <c r="L82" s="552" t="s">
        <v>1723</v>
      </c>
      <c r="M82" s="552" t="s">
        <v>1724</v>
      </c>
      <c r="N82" s="552" t="s">
        <v>1725</v>
      </c>
      <c r="Z82" s="1994"/>
      <c r="AA82" s="2049"/>
      <c r="AG82" s="1121"/>
      <c r="AK82" s="2049"/>
    </row>
    <row r="83" spans="1:37" ht="38.25">
      <c r="A83" s="2126" t="s">
        <v>2070</v>
      </c>
      <c r="B83" s="2130" t="str">
        <f>估价对象房地状况!G15</f>
        <v>估价对象位于XX开发区，园区建设成熟度XX，产业集聚程度XX</v>
      </c>
      <c r="C83" s="2040"/>
      <c r="D83" s="1065">
        <f t="shared" ref="D83:D90" si="22">SUMIF($J$82:$N$82,C83,J83:N83)</f>
        <v>0</v>
      </c>
      <c r="E83" s="744">
        <f>ROUND(SUM(D83:D90),4)</f>
        <v>0</v>
      </c>
      <c r="F83" s="1813"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4"/>
      <c r="AA83" s="2049"/>
      <c r="AG83" s="1121"/>
      <c r="AK83" s="2049"/>
    </row>
    <row r="84" spans="1:37" ht="38.25">
      <c r="A84" s="2126" t="s">
        <v>2053</v>
      </c>
      <c r="B84" s="2130" t="str">
        <f>估价对象房地状况!G16</f>
        <v>估价对象周边道路状况、公共交通通达情况、停车便捷程度，综合评价交通便捷度较好</v>
      </c>
      <c r="C84" s="2040"/>
      <c r="D84" s="1065">
        <f t="shared" si="22"/>
        <v>0</v>
      </c>
      <c r="E84" s="747"/>
      <c r="F84" s="1813"/>
      <c r="G84" s="1063"/>
      <c r="H84" s="1066" t="str">
        <f t="shared" si="23"/>
        <v>——</v>
      </c>
      <c r="I84" s="3362">
        <v>0.3</v>
      </c>
      <c r="J84" s="1064">
        <f t="shared" si="24"/>
        <v>0</v>
      </c>
      <c r="K84" s="1064">
        <f t="shared" si="25"/>
        <v>0</v>
      </c>
      <c r="L84" s="1064">
        <v>0</v>
      </c>
      <c r="M84" s="1064">
        <f t="shared" si="26"/>
        <v>0</v>
      </c>
      <c r="N84" s="1064">
        <f t="shared" si="26"/>
        <v>0</v>
      </c>
      <c r="Z84" s="1994"/>
      <c r="AA84" s="2049"/>
      <c r="AG84" s="1121"/>
      <c r="AK84" s="2049"/>
    </row>
    <row r="85" spans="1:37" ht="36">
      <c r="A85" s="3364" t="s">
        <v>3275</v>
      </c>
      <c r="B85" s="2130">
        <f>估价对象房地状况!G17</f>
        <v>0</v>
      </c>
      <c r="C85" s="2040"/>
      <c r="D85" s="1065">
        <f t="shared" si="22"/>
        <v>0</v>
      </c>
      <c r="E85" s="747"/>
      <c r="F85" s="1813"/>
      <c r="G85" s="1063"/>
      <c r="H85" s="1066" t="str">
        <f t="shared" si="23"/>
        <v>——</v>
      </c>
      <c r="I85" s="3362">
        <v>0.1</v>
      </c>
      <c r="J85" s="1064">
        <f t="shared" si="24"/>
        <v>0</v>
      </c>
      <c r="K85" s="1064">
        <f t="shared" si="25"/>
        <v>0</v>
      </c>
      <c r="L85" s="1064">
        <v>0</v>
      </c>
      <c r="M85" s="1064">
        <f t="shared" si="26"/>
        <v>0</v>
      </c>
      <c r="N85" s="1064">
        <f t="shared" si="26"/>
        <v>0</v>
      </c>
      <c r="Z85" s="1994"/>
      <c r="AA85" s="2049"/>
      <c r="AG85" s="1121"/>
      <c r="AK85" s="2049"/>
    </row>
    <row r="86" spans="1:37" ht="14.25">
      <c r="A86" s="2126" t="s">
        <v>2067</v>
      </c>
      <c r="B86" s="2130">
        <f>估价对象房地状况!G22</f>
        <v>0</v>
      </c>
      <c r="C86" s="2040"/>
      <c r="D86" s="1065">
        <f t="shared" si="22"/>
        <v>0</v>
      </c>
      <c r="E86" s="747"/>
      <c r="F86" s="1813"/>
      <c r="G86" s="1063"/>
      <c r="H86" s="1066" t="str">
        <f t="shared" si="23"/>
        <v>——</v>
      </c>
      <c r="I86" s="3362">
        <v>0.05</v>
      </c>
      <c r="J86" s="1064">
        <f t="shared" si="24"/>
        <v>0</v>
      </c>
      <c r="K86" s="1064">
        <f t="shared" si="25"/>
        <v>0</v>
      </c>
      <c r="L86" s="1064">
        <v>0</v>
      </c>
      <c r="M86" s="1064">
        <f t="shared" si="26"/>
        <v>0</v>
      </c>
      <c r="N86" s="1064">
        <f t="shared" si="26"/>
        <v>0</v>
      </c>
      <c r="Z86" s="1994"/>
      <c r="AA86" s="2049"/>
      <c r="AG86" s="1121"/>
      <c r="AK86" s="2049"/>
    </row>
    <row r="87" spans="1:37" ht="25.5">
      <c r="A87" s="2126" t="s">
        <v>2059</v>
      </c>
      <c r="B87" s="1325" t="str">
        <f>估价对象房地状况!G19</f>
        <v>估价对象所在区域公共配套设施齐备情况</v>
      </c>
      <c r="C87" s="2040"/>
      <c r="D87" s="1065">
        <f t="shared" si="22"/>
        <v>0</v>
      </c>
      <c r="E87" s="747"/>
      <c r="F87" s="1813"/>
      <c r="G87" s="1063"/>
      <c r="H87" s="1066" t="str">
        <f t="shared" si="23"/>
        <v>——</v>
      </c>
      <c r="I87" s="3362">
        <v>0.06</v>
      </c>
      <c r="J87" s="1064">
        <f t="shared" si="24"/>
        <v>0</v>
      </c>
      <c r="K87" s="1064">
        <f t="shared" si="25"/>
        <v>0</v>
      </c>
      <c r="L87" s="1064">
        <v>0</v>
      </c>
      <c r="M87" s="1064">
        <f t="shared" si="26"/>
        <v>0</v>
      </c>
      <c r="N87" s="1064">
        <f t="shared" si="26"/>
        <v>0</v>
      </c>
    </row>
    <row r="88" spans="1:37" ht="25.5">
      <c r="A88" s="2126" t="s">
        <v>2060</v>
      </c>
      <c r="B88" s="1325" t="str">
        <f>估价对象房地状况!G20</f>
        <v>估价对象所在区域基础设施水平</v>
      </c>
      <c r="C88" s="2040"/>
      <c r="D88" s="1065">
        <f t="shared" si="22"/>
        <v>0</v>
      </c>
      <c r="E88" s="747"/>
      <c r="F88" s="1813"/>
      <c r="G88" s="1063"/>
      <c r="H88" s="1066" t="str">
        <f t="shared" si="23"/>
        <v>——</v>
      </c>
      <c r="I88" s="3362">
        <v>0.12</v>
      </c>
      <c r="J88" s="1064">
        <f t="shared" si="24"/>
        <v>0</v>
      </c>
      <c r="K88" s="1064">
        <f t="shared" si="25"/>
        <v>0</v>
      </c>
      <c r="L88" s="1064">
        <v>0</v>
      </c>
      <c r="M88" s="1064">
        <f t="shared" si="26"/>
        <v>0</v>
      </c>
      <c r="N88" s="1064">
        <f t="shared" si="26"/>
        <v>0</v>
      </c>
    </row>
    <row r="89" spans="1:37" ht="24">
      <c r="A89" s="2126" t="s">
        <v>2057</v>
      </c>
      <c r="B89" s="2132" t="s">
        <v>2071</v>
      </c>
      <c r="C89" s="2040"/>
      <c r="D89" s="1065">
        <f t="shared" si="22"/>
        <v>0</v>
      </c>
      <c r="E89" s="747"/>
      <c r="F89" s="1813"/>
      <c r="G89" s="1063"/>
      <c r="H89" s="1066" t="str">
        <f t="shared" si="23"/>
        <v>——</v>
      </c>
      <c r="I89" s="3362">
        <v>0.06</v>
      </c>
      <c r="J89" s="1064">
        <f t="shared" si="24"/>
        <v>0</v>
      </c>
      <c r="K89" s="1064">
        <f t="shared" si="25"/>
        <v>0</v>
      </c>
      <c r="L89" s="1064">
        <v>0</v>
      </c>
      <c r="M89" s="1064">
        <f t="shared" si="26"/>
        <v>0</v>
      </c>
      <c r="N89" s="1064">
        <f t="shared" si="26"/>
        <v>0</v>
      </c>
    </row>
    <row r="90" spans="1:37" ht="39" thickBot="1">
      <c r="A90" s="2134" t="s">
        <v>2072</v>
      </c>
      <c r="B90" s="2139" t="str">
        <f>估价对象房地状况!G18</f>
        <v>该园区内是否有污染型企业，绿化情况，卫生条件，整体环境状况判断</v>
      </c>
      <c r="C90" s="2040"/>
      <c r="D90" s="1065">
        <f t="shared" si="22"/>
        <v>0</v>
      </c>
      <c r="E90" s="748"/>
      <c r="F90" s="1813"/>
      <c r="G90" s="1063"/>
      <c r="H90" s="1066" t="str">
        <f t="shared" si="23"/>
        <v>——</v>
      </c>
      <c r="I90" s="3363">
        <v>0.05</v>
      </c>
      <c r="J90" s="1064">
        <f t="shared" si="24"/>
        <v>0</v>
      </c>
      <c r="K90" s="1064">
        <f t="shared" si="25"/>
        <v>0</v>
      </c>
      <c r="L90" s="1064">
        <v>0</v>
      </c>
      <c r="M90" s="1064">
        <f t="shared" si="26"/>
        <v>0</v>
      </c>
      <c r="N90" s="1064">
        <f t="shared" si="26"/>
        <v>0</v>
      </c>
    </row>
    <row r="91" spans="1:37" ht="15">
      <c r="A91" s="3372" t="s">
        <v>2613</v>
      </c>
      <c r="B91" s="3373">
        <f>1+E93</f>
        <v>1</v>
      </c>
      <c r="C91" s="3366"/>
      <c r="D91" s="3367"/>
      <c r="E91" s="1813"/>
      <c r="F91" s="1813"/>
      <c r="G91" s="3368"/>
      <c r="H91" s="3369"/>
      <c r="I91" s="3370"/>
      <c r="J91" s="3371"/>
      <c r="K91" s="3371"/>
      <c r="L91" s="3371"/>
      <c r="M91" s="3371"/>
      <c r="N91" s="3371"/>
    </row>
    <row r="92" spans="1:37" ht="24.75">
      <c r="A92" s="3374" t="s">
        <v>3276</v>
      </c>
      <c r="B92" s="3361"/>
      <c r="C92" s="3361" t="s">
        <v>3285</v>
      </c>
      <c r="D92" s="3361" t="s">
        <v>3286</v>
      </c>
      <c r="E92" s="3343" t="s">
        <v>3287</v>
      </c>
      <c r="F92" s="3376" t="s">
        <v>3288</v>
      </c>
      <c r="G92" s="3361" t="s">
        <v>3289</v>
      </c>
      <c r="H92" s="3383" t="s">
        <v>3292</v>
      </c>
      <c r="I92" s="3361" t="s">
        <v>3293</v>
      </c>
      <c r="J92" s="3384" t="s">
        <v>3294</v>
      </c>
      <c r="K92" s="3384" t="s">
        <v>3295</v>
      </c>
      <c r="L92" s="3384" t="s">
        <v>3296</v>
      </c>
      <c r="M92" s="3384" t="s">
        <v>3297</v>
      </c>
      <c r="N92" s="3384" t="s">
        <v>3298</v>
      </c>
    </row>
    <row r="93" spans="1:37" ht="24">
      <c r="A93" s="3364" t="s">
        <v>3277</v>
      </c>
      <c r="B93" s="1305"/>
      <c r="C93" s="2040"/>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76.5">
      <c r="A94" s="3374" t="s">
        <v>3278</v>
      </c>
      <c r="B94" s="3365" t="str">
        <f>估价对象房地状况!C18</f>
        <v>估价对象临近知春路，距离地铁10、13号线知春路站约100米，周边有专168路、311路、319路、630路等公交车通达，停车便捷程度较好，综合评价交通便捷度好</v>
      </c>
      <c r="C94" s="2040"/>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3274</v>
      </c>
      <c r="B95" s="3365">
        <f>估价对象房地状况!C19</f>
        <v>0</v>
      </c>
      <c r="C95" s="2040"/>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3279</v>
      </c>
      <c r="B96" s="3380" t="s">
        <v>3290</v>
      </c>
      <c r="C96" s="2040"/>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3280</v>
      </c>
      <c r="B97" s="3365" t="str">
        <f>估价对象房地状况!C24</f>
        <v>城市主干道-知春路</v>
      </c>
      <c r="C97" s="2040"/>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3281</v>
      </c>
      <c r="B98" s="3381" t="s">
        <v>3291</v>
      </c>
      <c r="C98" s="2040"/>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178.5">
      <c r="A99" s="3374" t="s">
        <v>3282</v>
      </c>
      <c r="B99" s="336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99" s="2040"/>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5.5">
      <c r="A100" s="3374" t="s">
        <v>3283</v>
      </c>
      <c r="B100" s="3365" t="str">
        <f>估价对象房地状况!C22</f>
        <v>估价对象所在区域基础设施水平-七通</v>
      </c>
      <c r="C100" s="2040"/>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51.75" thickBot="1">
      <c r="A101" s="3375" t="s">
        <v>3284</v>
      </c>
      <c r="B101" s="3382" t="str">
        <f>估价对象房地状况!C20</f>
        <v>区域自然环境：知春公园、双榆树公园；人文环境；首体足球场、大运村网球场；
综合评价环境状况较好</v>
      </c>
      <c r="C101" s="2040"/>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77" t="s">
        <v>3299</v>
      </c>
      <c r="B103" s="3777"/>
      <c r="C103" s="3777"/>
      <c r="D103" s="3777"/>
      <c r="E103" s="3777"/>
      <c r="F103" s="3777"/>
      <c r="G103" s="3777"/>
      <c r="H103" s="3777"/>
      <c r="I103" s="3777"/>
      <c r="J103" s="3777"/>
      <c r="K103" s="3385"/>
      <c r="L103" s="3385"/>
      <c r="M103" s="3385"/>
      <c r="N103" s="3385"/>
    </row>
    <row r="104" spans="1:14">
      <c r="A104" s="3778" t="s">
        <v>3300</v>
      </c>
      <c r="B104" s="3778" t="s">
        <v>3301</v>
      </c>
      <c r="C104" s="3386" t="s">
        <v>3302</v>
      </c>
      <c r="D104" s="3387"/>
      <c r="E104" s="3387"/>
      <c r="F104" s="3387"/>
      <c r="G104" s="3387"/>
      <c r="H104" s="3387"/>
      <c r="I104" s="3387"/>
      <c r="J104" s="3388"/>
      <c r="K104" s="3389"/>
      <c r="L104" s="3389"/>
      <c r="M104" s="3389"/>
      <c r="N104" s="3389"/>
    </row>
    <row r="105" spans="1:14">
      <c r="A105" s="3778"/>
      <c r="B105" s="3778"/>
      <c r="C105" s="3390" t="s">
        <v>3303</v>
      </c>
      <c r="D105" s="3390" t="s">
        <v>3304</v>
      </c>
      <c r="E105" s="3390" t="s">
        <v>3305</v>
      </c>
      <c r="F105" s="3390" t="s">
        <v>3306</v>
      </c>
      <c r="G105" s="3390" t="s">
        <v>3307</v>
      </c>
      <c r="H105" s="3390" t="s">
        <v>3308</v>
      </c>
      <c r="I105" s="3390" t="s">
        <v>3309</v>
      </c>
      <c r="J105" s="3390" t="s">
        <v>3310</v>
      </c>
      <c r="K105" s="3390" t="s">
        <v>3311</v>
      </c>
      <c r="L105" s="3390" t="s">
        <v>3312</v>
      </c>
      <c r="M105" s="3390" t="s">
        <v>3313</v>
      </c>
      <c r="N105" s="3390" t="s">
        <v>3314</v>
      </c>
    </row>
    <row r="106" spans="1:14">
      <c r="A106" s="3764" t="s">
        <v>3315</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65"/>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65"/>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65"/>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65"/>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65"/>
      <c r="B111" s="3390" t="s">
        <v>3273</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66"/>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67" t="s">
        <v>3316</v>
      </c>
      <c r="B113" s="3767"/>
      <c r="C113" s="3767"/>
      <c r="D113" s="3767"/>
      <c r="E113" s="3767"/>
      <c r="F113" s="3767"/>
      <c r="G113" s="3767"/>
      <c r="H113" s="3767"/>
      <c r="I113" s="3767"/>
      <c r="J113" s="3767"/>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3317</v>
      </c>
      <c r="B116" s="3411">
        <f>G3</f>
        <v>4.6399999999999997</v>
      </c>
      <c r="C116" s="3395" t="s">
        <v>3318</v>
      </c>
      <c r="D116" s="3396">
        <f>SUMPRODUCT((A118:A122=F116)*(B117:M117=H116)*B118:M122)</f>
        <v>0.87560000000000004</v>
      </c>
      <c r="E116" s="1996" t="s">
        <v>3319</v>
      </c>
      <c r="F116" s="3397" t="str">
        <f>E2</f>
        <v>办公</v>
      </c>
      <c r="G116" s="1996" t="s">
        <v>3320</v>
      </c>
      <c r="H116" s="3397" t="str">
        <f>G2</f>
        <v>三级</v>
      </c>
      <c r="I116" s="1996"/>
      <c r="J116" s="3398"/>
      <c r="K116" s="3398"/>
      <c r="L116" s="3398"/>
      <c r="M116" s="3398"/>
      <c r="N116" s="3393"/>
    </row>
    <row r="117" spans="1:14">
      <c r="A117" s="3399"/>
      <c r="B117" s="3400" t="s">
        <v>3321</v>
      </c>
      <c r="C117" s="3400" t="s">
        <v>3322</v>
      </c>
      <c r="D117" s="3400" t="s">
        <v>3323</v>
      </c>
      <c r="E117" s="3401" t="s">
        <v>3324</v>
      </c>
      <c r="F117" s="3401" t="s">
        <v>3325</v>
      </c>
      <c r="G117" s="3401" t="s">
        <v>3326</v>
      </c>
      <c r="H117" s="3402" t="s">
        <v>3327</v>
      </c>
      <c r="I117" s="3402" t="s">
        <v>3328</v>
      </c>
      <c r="J117" s="3403" t="s">
        <v>3329</v>
      </c>
      <c r="K117" s="3403" t="s">
        <v>3330</v>
      </c>
      <c r="L117" s="3403" t="s">
        <v>3331</v>
      </c>
      <c r="M117" s="3404" t="s">
        <v>3332</v>
      </c>
      <c r="N117" s="3393"/>
    </row>
    <row r="118" spans="1:14">
      <c r="A118" s="3405" t="s">
        <v>3333</v>
      </c>
      <c r="B118" s="3383">
        <f>ROUND(0.9968-0.011*B116,4)</f>
        <v>0.94579999999999997</v>
      </c>
      <c r="C118" s="3383">
        <f>B118</f>
        <v>0.94579999999999997</v>
      </c>
      <c r="D118" s="3383">
        <f>ROUND(0.949-0.014*B116,4)</f>
        <v>0.88400000000000001</v>
      </c>
      <c r="E118" s="3383">
        <f>D118</f>
        <v>0.88400000000000001</v>
      </c>
      <c r="F118" s="3383">
        <f>E118</f>
        <v>0.88400000000000001</v>
      </c>
      <c r="G118" s="3383">
        <f>F118</f>
        <v>0.88400000000000001</v>
      </c>
      <c r="H118" s="3383">
        <f>G118</f>
        <v>0.88400000000000001</v>
      </c>
      <c r="I118" s="3383">
        <f>ROUND(0.8486-0.018*B116,4)</f>
        <v>0.7651</v>
      </c>
      <c r="J118" s="3383">
        <f t="shared" ref="J118:M122" si="35">I118</f>
        <v>0.7651</v>
      </c>
      <c r="K118" s="3383">
        <f t="shared" si="35"/>
        <v>0.7651</v>
      </c>
      <c r="L118" s="3383">
        <f t="shared" si="35"/>
        <v>0.7651</v>
      </c>
      <c r="M118" s="3406">
        <f t="shared" si="35"/>
        <v>0.7651</v>
      </c>
      <c r="N118" s="3393"/>
    </row>
    <row r="119" spans="1:14">
      <c r="A119" s="3405" t="s">
        <v>3334</v>
      </c>
      <c r="B119" s="3383">
        <f>ROUND(0.993-0.0112*B116,4)</f>
        <v>0.94099999999999995</v>
      </c>
      <c r="C119" s="3383">
        <f>B119</f>
        <v>0.94099999999999995</v>
      </c>
      <c r="D119" s="3383">
        <f>ROUND(0.9415-0.0142*B116,4)</f>
        <v>0.87560000000000004</v>
      </c>
      <c r="E119" s="3383">
        <f t="shared" ref="E119:H120" si="36">D119</f>
        <v>0.87560000000000004</v>
      </c>
      <c r="F119" s="3383">
        <f t="shared" si="36"/>
        <v>0.87560000000000004</v>
      </c>
      <c r="G119" s="3383">
        <f t="shared" si="36"/>
        <v>0.87560000000000004</v>
      </c>
      <c r="H119" s="3383">
        <f t="shared" si="36"/>
        <v>0.87560000000000004</v>
      </c>
      <c r="I119" s="3383">
        <f>ROUND(0.838-0.0182*B116,4)</f>
        <v>0.75360000000000005</v>
      </c>
      <c r="J119" s="3383">
        <f t="shared" si="35"/>
        <v>0.75360000000000005</v>
      </c>
      <c r="K119" s="3383">
        <f t="shared" si="35"/>
        <v>0.75360000000000005</v>
      </c>
      <c r="L119" s="3383">
        <f t="shared" si="35"/>
        <v>0.75360000000000005</v>
      </c>
      <c r="M119" s="3406">
        <f t="shared" si="35"/>
        <v>0.75360000000000005</v>
      </c>
      <c r="N119" s="3393"/>
    </row>
    <row r="120" spans="1:14">
      <c r="A120" s="3405" t="s">
        <v>3335</v>
      </c>
      <c r="B120" s="3383">
        <f>ROUND(0.9448-0.0115*B116,4)</f>
        <v>0.89139999999999997</v>
      </c>
      <c r="C120" s="3383">
        <f>B120</f>
        <v>0.89139999999999997</v>
      </c>
      <c r="D120" s="3383">
        <f>ROUND(0.937-0.0145*B116,4)</f>
        <v>0.86970000000000003</v>
      </c>
      <c r="E120" s="3383">
        <f t="shared" si="36"/>
        <v>0.86970000000000003</v>
      </c>
      <c r="F120" s="3383">
        <f t="shared" si="36"/>
        <v>0.86970000000000003</v>
      </c>
      <c r="G120" s="3383">
        <f t="shared" si="36"/>
        <v>0.86970000000000003</v>
      </c>
      <c r="H120" s="3383">
        <f t="shared" si="36"/>
        <v>0.86970000000000003</v>
      </c>
      <c r="I120" s="3383">
        <f>ROUND(0.7965-0.0185*B116,4)</f>
        <v>0.7107</v>
      </c>
      <c r="J120" s="3383">
        <f t="shared" si="35"/>
        <v>0.7107</v>
      </c>
      <c r="K120" s="3383">
        <f t="shared" si="35"/>
        <v>0.7107</v>
      </c>
      <c r="L120" s="3383">
        <f t="shared" si="35"/>
        <v>0.7107</v>
      </c>
      <c r="M120" s="3406">
        <f t="shared" si="35"/>
        <v>0.7107</v>
      </c>
      <c r="N120" s="3393"/>
    </row>
    <row r="121" spans="1:14" ht="13.5" thickBot="1">
      <c r="A121" s="3407" t="s">
        <v>3336</v>
      </c>
      <c r="B121" s="3408">
        <f>ROUND(0.7836-0.012*B116,4)</f>
        <v>0.72789999999999999</v>
      </c>
      <c r="C121" s="3408">
        <f>B121</f>
        <v>0.72789999999999999</v>
      </c>
      <c r="D121" s="3408">
        <f>ROUND(0.753-0.015*B116,4)</f>
        <v>0.68340000000000001</v>
      </c>
      <c r="E121" s="3408">
        <f>D121</f>
        <v>0.68340000000000001</v>
      </c>
      <c r="F121" s="3408">
        <f>E121</f>
        <v>0.68340000000000001</v>
      </c>
      <c r="G121" s="3408">
        <f>ROUND(0.6612-0.018*B116,4)</f>
        <v>0.57769999999999999</v>
      </c>
      <c r="H121" s="3408">
        <f>G121</f>
        <v>0.57769999999999999</v>
      </c>
      <c r="I121" s="3408">
        <f>ROUND(0.5905-0.019*B116,4)</f>
        <v>0.50229999999999997</v>
      </c>
      <c r="J121" s="3408">
        <f t="shared" si="35"/>
        <v>0.50229999999999997</v>
      </c>
      <c r="K121" s="3408">
        <f t="shared" si="35"/>
        <v>0.50229999999999997</v>
      </c>
      <c r="L121" s="3408">
        <f t="shared" si="35"/>
        <v>0.50229999999999997</v>
      </c>
      <c r="M121" s="3409">
        <f t="shared" si="35"/>
        <v>0.50229999999999997</v>
      </c>
      <c r="N121" s="3393"/>
    </row>
    <row r="122" spans="1:14">
      <c r="A122" s="3410" t="s">
        <v>2613</v>
      </c>
      <c r="B122" s="3383">
        <f>ROUND(0.9404-0.0106*B116,4)</f>
        <v>0.89119999999999999</v>
      </c>
      <c r="C122" s="3383">
        <f>B122</f>
        <v>0.89119999999999999</v>
      </c>
      <c r="D122" s="3383">
        <f>ROUND(0.8955-0.0135*B116,4)</f>
        <v>0.83289999999999997</v>
      </c>
      <c r="E122" s="3383">
        <f t="shared" ref="E122:H122" si="37">D122</f>
        <v>0.83289999999999997</v>
      </c>
      <c r="F122" s="3383">
        <f t="shared" si="37"/>
        <v>0.83289999999999997</v>
      </c>
      <c r="G122" s="3383">
        <f t="shared" si="37"/>
        <v>0.83289999999999997</v>
      </c>
      <c r="H122" s="3383">
        <f t="shared" si="37"/>
        <v>0.83289999999999997</v>
      </c>
      <c r="I122" s="3383">
        <f>ROUND(0.7632-0.0166*B116,4)</f>
        <v>0.68620000000000003</v>
      </c>
      <c r="J122" s="3383">
        <f t="shared" si="35"/>
        <v>0.68620000000000003</v>
      </c>
      <c r="K122" s="3383">
        <f t="shared" si="35"/>
        <v>0.68620000000000003</v>
      </c>
      <c r="L122" s="3383">
        <f t="shared" si="35"/>
        <v>0.68620000000000003</v>
      </c>
      <c r="M122" s="3406">
        <f t="shared" si="35"/>
        <v>0.68620000000000003</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2595</v>
      </c>
      <c r="B1" s="3067" t="s">
        <v>2596</v>
      </c>
      <c r="C1" s="3067" t="s">
        <v>2597</v>
      </c>
      <c r="D1" s="3067" t="s">
        <v>2598</v>
      </c>
      <c r="E1" s="3067" t="s">
        <v>2599</v>
      </c>
      <c r="F1" s="3067" t="s">
        <v>2600</v>
      </c>
      <c r="G1" s="3067" t="s">
        <v>2601</v>
      </c>
      <c r="H1" s="3067" t="s">
        <v>2602</v>
      </c>
      <c r="I1" s="3067" t="s">
        <v>2603</v>
      </c>
      <c r="J1" s="3067" t="s">
        <v>2604</v>
      </c>
      <c r="K1" s="3067" t="s">
        <v>2605</v>
      </c>
      <c r="L1" s="3067" t="s">
        <v>2606</v>
      </c>
      <c r="M1" s="3068" t="s">
        <v>2607</v>
      </c>
    </row>
    <row r="2" spans="1:13" ht="19.5" customHeight="1">
      <c r="A2" s="3070" t="s">
        <v>2608</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2609</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2610</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2611</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2612</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2613</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2614</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2615</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2616</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2617</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2618</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2619</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2620</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2621</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2622</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2623</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2624</v>
      </c>
      <c r="B18" s="3092"/>
      <c r="C18" s="3093"/>
      <c r="D18" s="3093"/>
      <c r="E18" s="3092"/>
      <c r="F18" s="3093"/>
      <c r="G18" s="3093"/>
    </row>
    <row r="19" spans="1:13" ht="19.5" customHeight="1" thickBot="1">
      <c r="A19" s="3090" t="s">
        <v>2625</v>
      </c>
      <c r="B19" s="3095" t="s">
        <v>2626</v>
      </c>
      <c r="C19" s="3095" t="s">
        <v>2627</v>
      </c>
      <c r="D19" s="3096"/>
      <c r="E19" s="3090" t="s">
        <v>2628</v>
      </c>
      <c r="F19" s="3097"/>
      <c r="G19" s="3097"/>
    </row>
    <row r="20" spans="1:13" ht="19.5" customHeight="1">
      <c r="A20" s="3790" t="s">
        <v>2608</v>
      </c>
      <c r="B20" s="3783" t="s">
        <v>2629</v>
      </c>
      <c r="C20" s="3098" t="s">
        <v>2440</v>
      </c>
      <c r="D20" s="3099"/>
      <c r="E20" s="3100">
        <v>1</v>
      </c>
      <c r="F20" s="3101" t="s">
        <v>2441</v>
      </c>
      <c r="G20" s="3101"/>
    </row>
    <row r="21" spans="1:13" ht="19.5" customHeight="1">
      <c r="A21" s="3791"/>
      <c r="B21" s="3784"/>
      <c r="C21" s="3102" t="s">
        <v>2442</v>
      </c>
      <c r="D21" s="3103"/>
      <c r="E21" s="3104">
        <v>1</v>
      </c>
      <c r="F21" s="3101" t="s">
        <v>2443</v>
      </c>
      <c r="G21" s="3101"/>
    </row>
    <row r="22" spans="1:13" ht="19.5" customHeight="1">
      <c r="A22" s="3791"/>
      <c r="B22" s="3784"/>
      <c r="C22" s="3102" t="s">
        <v>2444</v>
      </c>
      <c r="D22" s="3103"/>
      <c r="E22" s="3104">
        <v>0.9</v>
      </c>
      <c r="F22" s="3101" t="s">
        <v>2445</v>
      </c>
      <c r="G22" s="3101"/>
    </row>
    <row r="23" spans="1:13" ht="19.5" customHeight="1">
      <c r="A23" s="3791"/>
      <c r="B23" s="3784"/>
      <c r="C23" s="3102" t="s">
        <v>2446</v>
      </c>
      <c r="D23" s="3103"/>
      <c r="E23" s="3104">
        <v>0.9</v>
      </c>
      <c r="F23" s="3101" t="s">
        <v>2447</v>
      </c>
      <c r="G23" s="3101"/>
    </row>
    <row r="24" spans="1:13" ht="19.5" customHeight="1">
      <c r="A24" s="3791"/>
      <c r="B24" s="3784"/>
      <c r="C24" s="3102" t="s">
        <v>2448</v>
      </c>
      <c r="D24" s="3103"/>
      <c r="E24" s="3104">
        <v>0.8</v>
      </c>
      <c r="F24" s="3101" t="s">
        <v>2449</v>
      </c>
      <c r="G24" s="3101"/>
    </row>
    <row r="25" spans="1:13" ht="19.5" customHeight="1" thickBot="1">
      <c r="A25" s="3792"/>
      <c r="B25" s="3785"/>
      <c r="C25" s="3105" t="s">
        <v>2450</v>
      </c>
      <c r="D25" s="3106"/>
      <c r="E25" s="3107">
        <v>0.8</v>
      </c>
      <c r="F25" s="3101" t="s">
        <v>2451</v>
      </c>
      <c r="G25" s="3101"/>
    </row>
    <row r="26" spans="1:13" ht="19.5" customHeight="1" thickBot="1">
      <c r="A26" s="3108" t="s">
        <v>2630</v>
      </c>
      <c r="B26" s="3109" t="s">
        <v>2629</v>
      </c>
      <c r="C26" s="3110" t="s">
        <v>2631</v>
      </c>
      <c r="D26" s="3111"/>
      <c r="E26" s="3112">
        <v>1</v>
      </c>
      <c r="F26" s="3101" t="s">
        <v>2452</v>
      </c>
      <c r="G26" s="3101"/>
    </row>
    <row r="27" spans="1:13" ht="19.5" customHeight="1">
      <c r="A27" s="3786" t="s">
        <v>2632</v>
      </c>
      <c r="B27" s="3783" t="s">
        <v>2613</v>
      </c>
      <c r="C27" s="3098" t="s">
        <v>2453</v>
      </c>
      <c r="D27" s="3099"/>
      <c r="E27" s="3100">
        <v>1</v>
      </c>
      <c r="F27" s="3101" t="s">
        <v>2454</v>
      </c>
      <c r="G27" s="3101"/>
    </row>
    <row r="28" spans="1:13" ht="19.5" customHeight="1">
      <c r="A28" s="3787"/>
      <c r="B28" s="3784"/>
      <c r="C28" s="3102" t="s">
        <v>2455</v>
      </c>
      <c r="D28" s="3103"/>
      <c r="E28" s="3104">
        <v>1</v>
      </c>
      <c r="F28" s="3101" t="s">
        <v>2456</v>
      </c>
      <c r="G28" s="3101"/>
    </row>
    <row r="29" spans="1:13" ht="19.5" customHeight="1">
      <c r="A29" s="3787"/>
      <c r="B29" s="3784"/>
      <c r="C29" s="3102" t="s">
        <v>2457</v>
      </c>
      <c r="D29" s="3103"/>
      <c r="E29" s="3104">
        <v>0.8</v>
      </c>
      <c r="F29" s="3101" t="s">
        <v>2458</v>
      </c>
      <c r="G29" s="3101"/>
    </row>
    <row r="30" spans="1:13" ht="19.5" customHeight="1">
      <c r="A30" s="3787"/>
      <c r="B30" s="3784"/>
      <c r="C30" s="3102" t="s">
        <v>2459</v>
      </c>
      <c r="D30" s="3103"/>
      <c r="E30" s="3104">
        <v>0.8</v>
      </c>
      <c r="F30" s="3101" t="s">
        <v>2460</v>
      </c>
      <c r="G30" s="3101"/>
    </row>
    <row r="31" spans="1:13" ht="19.5" customHeight="1">
      <c r="A31" s="3787"/>
      <c r="B31" s="3784"/>
      <c r="C31" s="3102" t="s">
        <v>2461</v>
      </c>
      <c r="D31" s="3103"/>
      <c r="E31" s="3104">
        <v>0.8</v>
      </c>
      <c r="F31" s="3101" t="s">
        <v>2462</v>
      </c>
      <c r="G31" s="3101"/>
    </row>
    <row r="32" spans="1:13" ht="19.5" customHeight="1">
      <c r="A32" s="3787"/>
      <c r="B32" s="3784"/>
      <c r="C32" s="3102" t="s">
        <v>2463</v>
      </c>
      <c r="D32" s="3103"/>
      <c r="E32" s="3104">
        <v>0.7</v>
      </c>
      <c r="F32" s="3101" t="s">
        <v>2464</v>
      </c>
      <c r="G32" s="3101"/>
    </row>
    <row r="33" spans="1:7" ht="19.5" customHeight="1">
      <c r="A33" s="3787"/>
      <c r="B33" s="3784"/>
      <c r="C33" s="3102" t="s">
        <v>2465</v>
      </c>
      <c r="D33" s="3103"/>
      <c r="E33" s="3104">
        <v>0.8</v>
      </c>
      <c r="F33" s="3101" t="s">
        <v>2466</v>
      </c>
      <c r="G33" s="3101"/>
    </row>
    <row r="34" spans="1:7" ht="19.5" customHeight="1">
      <c r="A34" s="3787"/>
      <c r="B34" s="3784"/>
      <c r="C34" s="3102" t="s">
        <v>2467</v>
      </c>
      <c r="D34" s="3103"/>
      <c r="E34" s="3104">
        <v>0.6</v>
      </c>
      <c r="F34" s="3101" t="s">
        <v>2468</v>
      </c>
      <c r="G34" s="3101"/>
    </row>
    <row r="35" spans="1:7" ht="19.5" customHeight="1">
      <c r="A35" s="3787"/>
      <c r="B35" s="3784"/>
      <c r="C35" s="3102" t="s">
        <v>2469</v>
      </c>
      <c r="D35" s="3103"/>
      <c r="E35" s="3104">
        <v>0.2</v>
      </c>
      <c r="F35" s="3101" t="s">
        <v>2470</v>
      </c>
      <c r="G35" s="3101"/>
    </row>
    <row r="36" spans="1:7" ht="19.5" customHeight="1">
      <c r="A36" s="3787"/>
      <c r="B36" s="3784"/>
      <c r="C36" s="3102" t="s">
        <v>2471</v>
      </c>
      <c r="D36" s="3103"/>
      <c r="E36" s="3104">
        <v>0.2</v>
      </c>
      <c r="F36" s="3101" t="s">
        <v>2472</v>
      </c>
      <c r="G36" s="3101"/>
    </row>
    <row r="37" spans="1:7" ht="19.5" customHeight="1">
      <c r="A37" s="3787"/>
      <c r="B37" s="3789" t="s">
        <v>2633</v>
      </c>
      <c r="C37" s="3102" t="s">
        <v>2473</v>
      </c>
      <c r="D37" s="3103"/>
      <c r="E37" s="3104">
        <v>0.6</v>
      </c>
      <c r="F37" s="3101" t="s">
        <v>2474</v>
      </c>
      <c r="G37" s="3101"/>
    </row>
    <row r="38" spans="1:7" ht="19.5" customHeight="1">
      <c r="A38" s="3787"/>
      <c r="B38" s="3784"/>
      <c r="C38" s="3102" t="s">
        <v>2475</v>
      </c>
      <c r="D38" s="3103"/>
      <c r="E38" s="3104">
        <v>0.6</v>
      </c>
      <c r="F38" s="3101" t="s">
        <v>2476</v>
      </c>
      <c r="G38" s="3101"/>
    </row>
    <row r="39" spans="1:7" ht="19.5" customHeight="1" thickBot="1">
      <c r="A39" s="3788"/>
      <c r="B39" s="3785"/>
      <c r="C39" s="3105" t="s">
        <v>2477</v>
      </c>
      <c r="D39" s="3106"/>
      <c r="E39" s="3107">
        <v>0.6</v>
      </c>
      <c r="F39" s="3101" t="s">
        <v>2478</v>
      </c>
      <c r="G39" s="3101"/>
    </row>
    <row r="40" spans="1:7" ht="19.5" customHeight="1" thickBot="1">
      <c r="A40" s="3108" t="s">
        <v>2610</v>
      </c>
      <c r="B40" s="3109" t="s">
        <v>2610</v>
      </c>
      <c r="C40" s="3110" t="s">
        <v>2634</v>
      </c>
      <c r="D40" s="3111"/>
      <c r="E40" s="3112">
        <v>1</v>
      </c>
      <c r="F40" s="3101" t="s">
        <v>2479</v>
      </c>
      <c r="G40" s="3101"/>
    </row>
    <row r="41" spans="1:7" ht="19.5" customHeight="1">
      <c r="A41" s="3790" t="s">
        <v>2611</v>
      </c>
      <c r="B41" s="3783" t="s">
        <v>2635</v>
      </c>
      <c r="C41" s="3098" t="s">
        <v>2480</v>
      </c>
      <c r="D41" s="3099"/>
      <c r="E41" s="3100">
        <v>1</v>
      </c>
      <c r="F41" s="3101" t="s">
        <v>2481</v>
      </c>
      <c r="G41" s="3101"/>
    </row>
    <row r="42" spans="1:7" ht="19.5" customHeight="1">
      <c r="A42" s="3791"/>
      <c r="B42" s="3784"/>
      <c r="C42" s="3102" t="s">
        <v>2482</v>
      </c>
      <c r="D42" s="3103"/>
      <c r="E42" s="3104">
        <v>1</v>
      </c>
      <c r="F42" s="3101" t="s">
        <v>2483</v>
      </c>
      <c r="G42" s="3101"/>
    </row>
    <row r="43" spans="1:7" ht="19.5" customHeight="1">
      <c r="A43" s="3791"/>
      <c r="B43" s="3793"/>
      <c r="C43" s="3102" t="s">
        <v>2484</v>
      </c>
      <c r="D43" s="3103"/>
      <c r="E43" s="3104">
        <v>1.5</v>
      </c>
      <c r="F43" s="3101" t="s">
        <v>2485</v>
      </c>
      <c r="G43" s="3101"/>
    </row>
    <row r="44" spans="1:7" ht="19.5" customHeight="1">
      <c r="A44" s="3791"/>
      <c r="B44" s="3113" t="s">
        <v>2636</v>
      </c>
      <c r="C44" s="3102" t="s">
        <v>2637</v>
      </c>
      <c r="D44" s="3103"/>
      <c r="E44" s="3104">
        <v>2</v>
      </c>
      <c r="F44" s="3101" t="s">
        <v>2486</v>
      </c>
      <c r="G44" s="3101"/>
    </row>
    <row r="45" spans="1:7" ht="19.5" customHeight="1">
      <c r="A45" s="3791"/>
      <c r="B45" s="3789" t="s">
        <v>2638</v>
      </c>
      <c r="C45" s="3102" t="s">
        <v>2487</v>
      </c>
      <c r="D45" s="3103"/>
      <c r="E45" s="3104">
        <v>1</v>
      </c>
      <c r="F45" s="3101" t="s">
        <v>2488</v>
      </c>
      <c r="G45" s="3101"/>
    </row>
    <row r="46" spans="1:7" ht="19.5" customHeight="1">
      <c r="A46" s="3791"/>
      <c r="B46" s="3784"/>
      <c r="C46" s="3102" t="s">
        <v>2489</v>
      </c>
      <c r="D46" s="3103"/>
      <c r="E46" s="3104">
        <v>1</v>
      </c>
      <c r="F46" s="3101" t="s">
        <v>2490</v>
      </c>
      <c r="G46" s="3101"/>
    </row>
    <row r="47" spans="1:7" ht="19.5" customHeight="1">
      <c r="A47" s="3791"/>
      <c r="B47" s="3784"/>
      <c r="C47" s="3102" t="s">
        <v>2491</v>
      </c>
      <c r="D47" s="3103"/>
      <c r="E47" s="3104">
        <v>1</v>
      </c>
      <c r="F47" s="3101" t="s">
        <v>2492</v>
      </c>
      <c r="G47" s="3101"/>
    </row>
    <row r="48" spans="1:7" ht="19.5" customHeight="1">
      <c r="A48" s="3791"/>
      <c r="B48" s="3784"/>
      <c r="C48" s="3102" t="s">
        <v>2493</v>
      </c>
      <c r="D48" s="3103"/>
      <c r="E48" s="3104">
        <v>1</v>
      </c>
      <c r="F48" s="3101" t="s">
        <v>2494</v>
      </c>
      <c r="G48" s="3101"/>
    </row>
    <row r="49" spans="1:7" ht="19.5" customHeight="1">
      <c r="A49" s="3791"/>
      <c r="B49" s="3784"/>
      <c r="C49" s="3102" t="s">
        <v>2495</v>
      </c>
      <c r="D49" s="3103"/>
      <c r="E49" s="3104">
        <v>1</v>
      </c>
      <c r="F49" s="3101" t="s">
        <v>2496</v>
      </c>
      <c r="G49" s="3101"/>
    </row>
    <row r="50" spans="1:7" ht="19.5" customHeight="1">
      <c r="A50" s="3791"/>
      <c r="B50" s="3784"/>
      <c r="C50" s="3102" t="s">
        <v>2497</v>
      </c>
      <c r="D50" s="3103"/>
      <c r="E50" s="3104">
        <v>1</v>
      </c>
      <c r="F50" s="3101" t="s">
        <v>2498</v>
      </c>
      <c r="G50" s="3101"/>
    </row>
    <row r="51" spans="1:7" ht="19.5" customHeight="1" thickBot="1">
      <c r="A51" s="3792"/>
      <c r="B51" s="3785"/>
      <c r="C51" s="3105" t="s">
        <v>2499</v>
      </c>
      <c r="D51" s="3106"/>
      <c r="E51" s="3107">
        <v>1</v>
      </c>
      <c r="F51" s="3101" t="s">
        <v>2500</v>
      </c>
      <c r="G51" s="3101"/>
    </row>
    <row r="52" spans="1:7" ht="19.5" customHeight="1">
      <c r="A52" s="3114"/>
      <c r="B52" s="3114"/>
      <c r="C52" s="3114"/>
      <c r="D52" s="3114"/>
      <c r="E52" s="3114"/>
      <c r="F52" s="3114"/>
      <c r="G52" s="3114"/>
    </row>
    <row r="54" spans="1:7" ht="19.5" customHeight="1">
      <c r="A54" s="3115"/>
      <c r="B54" s="3087" t="s">
        <v>2639</v>
      </c>
      <c r="C54" s="3087" t="s">
        <v>2639</v>
      </c>
      <c r="D54" s="3087" t="s">
        <v>2639</v>
      </c>
      <c r="E54" s="3090" t="s">
        <v>2639</v>
      </c>
      <c r="F54" s="3090" t="s">
        <v>2640</v>
      </c>
      <c r="G54" s="3090" t="s">
        <v>2641</v>
      </c>
    </row>
    <row r="55" spans="1:7" ht="19.5" customHeight="1">
      <c r="A55" s="3116"/>
      <c r="B55" s="3090" t="s">
        <v>2608</v>
      </c>
      <c r="C55" s="3090" t="s">
        <v>2608</v>
      </c>
      <c r="D55" s="3090" t="s">
        <v>2608</v>
      </c>
      <c r="E55" s="3087" t="s">
        <v>2609</v>
      </c>
      <c r="F55" s="3087" t="s">
        <v>2611</v>
      </c>
      <c r="G55" s="3087" t="s">
        <v>2642</v>
      </c>
    </row>
    <row r="56" spans="1:7" ht="19.5" customHeight="1">
      <c r="A56" s="3117"/>
      <c r="B56" s="3087">
        <v>1</v>
      </c>
      <c r="C56" s="3087">
        <v>2</v>
      </c>
      <c r="D56" s="3087">
        <v>3</v>
      </c>
      <c r="E56" s="3118" t="s">
        <v>2643</v>
      </c>
      <c r="F56" s="3118" t="s">
        <v>2643</v>
      </c>
      <c r="G56" s="3118" t="s">
        <v>2643</v>
      </c>
    </row>
    <row r="57" spans="1:7" ht="19.5" customHeight="1">
      <c r="A57" s="3119" t="s">
        <v>2596</v>
      </c>
      <c r="B57" s="3087">
        <v>0.7</v>
      </c>
      <c r="C57" s="3087">
        <v>0.4</v>
      </c>
      <c r="D57" s="3087">
        <v>0.3</v>
      </c>
      <c r="E57" s="3118">
        <v>0.3</v>
      </c>
      <c r="F57" s="3087">
        <v>0.3</v>
      </c>
      <c r="G57" s="3087">
        <v>0.2</v>
      </c>
    </row>
    <row r="58" spans="1:7" ht="19.5" customHeight="1">
      <c r="A58" s="3119" t="s">
        <v>2597</v>
      </c>
      <c r="B58" s="3087">
        <v>0.7</v>
      </c>
      <c r="C58" s="3087">
        <v>0.4</v>
      </c>
      <c r="D58" s="3087">
        <v>0.3</v>
      </c>
      <c r="E58" s="3087">
        <v>0.3</v>
      </c>
      <c r="F58" s="3087">
        <v>0.3</v>
      </c>
      <c r="G58" s="3087">
        <v>0.2</v>
      </c>
    </row>
    <row r="59" spans="1:7" ht="19.5" customHeight="1">
      <c r="A59" s="3119" t="s">
        <v>2598</v>
      </c>
      <c r="B59" s="3087">
        <v>0.6</v>
      </c>
      <c r="C59" s="3087">
        <v>0.3</v>
      </c>
      <c r="D59" s="3087">
        <v>0.25</v>
      </c>
      <c r="E59" s="3087">
        <v>0.25</v>
      </c>
      <c r="F59" s="3087">
        <v>0.25</v>
      </c>
      <c r="G59" s="3087">
        <v>0.15</v>
      </c>
    </row>
    <row r="60" spans="1:7" ht="19.5" customHeight="1">
      <c r="A60" s="3119" t="s">
        <v>2599</v>
      </c>
      <c r="B60" s="3087">
        <v>0.6</v>
      </c>
      <c r="C60" s="3087">
        <v>0.3</v>
      </c>
      <c r="D60" s="3087">
        <v>0.25</v>
      </c>
      <c r="E60" s="3087">
        <v>0.25</v>
      </c>
      <c r="F60" s="3087">
        <v>0.25</v>
      </c>
      <c r="G60" s="3087">
        <v>0.15</v>
      </c>
    </row>
    <row r="61" spans="1:7" ht="19.5" customHeight="1">
      <c r="A61" s="3119" t="s">
        <v>2600</v>
      </c>
      <c r="B61" s="3087">
        <v>0.6</v>
      </c>
      <c r="C61" s="3087">
        <v>0.3</v>
      </c>
      <c r="D61" s="3087">
        <v>0.25</v>
      </c>
      <c r="E61" s="3087">
        <v>0.25</v>
      </c>
      <c r="F61" s="3087">
        <v>0.25</v>
      </c>
      <c r="G61" s="3087">
        <v>0.15</v>
      </c>
    </row>
    <row r="62" spans="1:7" ht="19.5" customHeight="1">
      <c r="A62" s="3119" t="s">
        <v>2601</v>
      </c>
      <c r="B62" s="3087">
        <v>0.6</v>
      </c>
      <c r="C62" s="3087">
        <v>0.3</v>
      </c>
      <c r="D62" s="3087">
        <v>0.25</v>
      </c>
      <c r="E62" s="3087">
        <v>0.25</v>
      </c>
      <c r="F62" s="3087">
        <v>0.25</v>
      </c>
      <c r="G62" s="3087">
        <v>0.15</v>
      </c>
    </row>
    <row r="63" spans="1:7" ht="19.5" customHeight="1">
      <c r="A63" s="3119" t="s">
        <v>2602</v>
      </c>
      <c r="B63" s="3087">
        <v>0.6</v>
      </c>
      <c r="C63" s="3087">
        <v>0.3</v>
      </c>
      <c r="D63" s="3087">
        <v>0.25</v>
      </c>
      <c r="E63" s="3087">
        <v>0.25</v>
      </c>
      <c r="F63" s="3087">
        <v>0.25</v>
      </c>
      <c r="G63" s="3087">
        <v>0.15</v>
      </c>
    </row>
    <row r="64" spans="1:7" ht="19.5" customHeight="1">
      <c r="A64" s="3119" t="s">
        <v>2603</v>
      </c>
      <c r="B64" s="3087">
        <v>0.5</v>
      </c>
      <c r="C64" s="3087">
        <v>0.2</v>
      </c>
      <c r="D64" s="3087">
        <v>0.2</v>
      </c>
      <c r="E64" s="3087">
        <v>0.2</v>
      </c>
      <c r="F64" s="3087">
        <v>0.2</v>
      </c>
      <c r="G64" s="3087">
        <v>0.1</v>
      </c>
    </row>
    <row r="65" spans="1:7" ht="19.5" customHeight="1">
      <c r="A65" s="3119" t="s">
        <v>2604</v>
      </c>
      <c r="B65" s="3087">
        <v>0.5</v>
      </c>
      <c r="C65" s="3087">
        <v>0.2</v>
      </c>
      <c r="D65" s="3087">
        <v>0.2</v>
      </c>
      <c r="E65" s="3087">
        <v>0.2</v>
      </c>
      <c r="F65" s="3087">
        <v>0.2</v>
      </c>
      <c r="G65" s="3087">
        <v>0.1</v>
      </c>
    </row>
    <row r="66" spans="1:7" ht="19.5" customHeight="1">
      <c r="A66" s="3119" t="s">
        <v>2605</v>
      </c>
      <c r="B66" s="3087">
        <v>0.5</v>
      </c>
      <c r="C66" s="3087">
        <v>0.2</v>
      </c>
      <c r="D66" s="3087">
        <v>0.2</v>
      </c>
      <c r="E66" s="3087">
        <v>0.2</v>
      </c>
      <c r="F66" s="3087">
        <v>0.2</v>
      </c>
      <c r="G66" s="3087">
        <v>0.1</v>
      </c>
    </row>
    <row r="67" spans="1:7" ht="19.5" customHeight="1">
      <c r="A67" s="3119" t="s">
        <v>2606</v>
      </c>
      <c r="B67" s="3087">
        <v>0.5</v>
      </c>
      <c r="C67" s="3087">
        <v>0.2</v>
      </c>
      <c r="D67" s="3087">
        <v>0.2</v>
      </c>
      <c r="E67" s="3087">
        <v>0.2</v>
      </c>
      <c r="F67" s="3087">
        <v>0.2</v>
      </c>
      <c r="G67" s="3087">
        <v>0.1</v>
      </c>
    </row>
    <row r="68" spans="1:7" ht="19.5" customHeight="1">
      <c r="A68" s="3119" t="s">
        <v>2607</v>
      </c>
      <c r="B68" s="3087">
        <v>0.5</v>
      </c>
      <c r="C68" s="3087">
        <v>0.2</v>
      </c>
      <c r="D68" s="3087">
        <v>0.2</v>
      </c>
      <c r="E68" s="3087">
        <v>0.2</v>
      </c>
      <c r="F68" s="3087">
        <v>0.2</v>
      </c>
      <c r="G68" s="3087">
        <v>0.1</v>
      </c>
    </row>
    <row r="70" spans="1:7" ht="19.5" customHeight="1">
      <c r="A70" s="3120"/>
      <c r="B70" s="3121"/>
      <c r="C70" s="3121"/>
      <c r="D70" s="3121" t="s">
        <v>2644</v>
      </c>
      <c r="E70" s="3121"/>
      <c r="F70" s="3121"/>
    </row>
    <row r="71" spans="1:7" ht="19.5" customHeight="1">
      <c r="A71" s="3113" t="s">
        <v>2645</v>
      </c>
      <c r="B71" s="3113" t="s">
        <v>2646</v>
      </c>
      <c r="C71" s="3113" t="s">
        <v>2647</v>
      </c>
      <c r="D71" s="3113" t="s">
        <v>2648</v>
      </c>
      <c r="E71" s="3113" t="s">
        <v>2649</v>
      </c>
      <c r="F71" s="3113" t="s">
        <v>2650</v>
      </c>
    </row>
    <row r="72" spans="1:7" ht="13.5">
      <c r="A72" s="3113"/>
      <c r="B72" s="3113"/>
      <c r="C72" s="3113" t="s">
        <v>2651</v>
      </c>
      <c r="D72" s="3113"/>
      <c r="E72" s="3113" t="s">
        <v>2622</v>
      </c>
      <c r="F72" s="3113" t="s">
        <v>2622</v>
      </c>
    </row>
    <row r="73" spans="1:7" ht="13.5">
      <c r="A73" s="3113">
        <v>1</v>
      </c>
      <c r="B73" s="3789" t="s">
        <v>2652</v>
      </c>
      <c r="C73" s="3087" t="s">
        <v>2653</v>
      </c>
      <c r="D73" s="3087" t="s">
        <v>2654</v>
      </c>
      <c r="E73" s="3113">
        <v>0.2</v>
      </c>
      <c r="F73" s="3113">
        <v>25</v>
      </c>
    </row>
    <row r="74" spans="1:7" ht="24">
      <c r="A74" s="3113">
        <v>2</v>
      </c>
      <c r="B74" s="3784"/>
      <c r="C74" s="3087" t="s">
        <v>2655</v>
      </c>
      <c r="D74" s="3087" t="s">
        <v>2656</v>
      </c>
      <c r="E74" s="3113">
        <v>0.2</v>
      </c>
      <c r="F74" s="3113">
        <v>25</v>
      </c>
    </row>
    <row r="75" spans="1:7" ht="24">
      <c r="A75" s="3113">
        <v>3</v>
      </c>
      <c r="B75" s="3784"/>
      <c r="C75" s="3087" t="s">
        <v>2657</v>
      </c>
      <c r="D75" s="3087" t="s">
        <v>2658</v>
      </c>
      <c r="E75" s="3113">
        <v>0.2</v>
      </c>
      <c r="F75" s="3113">
        <v>25</v>
      </c>
    </row>
    <row r="76" spans="1:7" ht="13.5">
      <c r="A76" s="3113">
        <v>4</v>
      </c>
      <c r="B76" s="3784"/>
      <c r="C76" s="3087" t="s">
        <v>2659</v>
      </c>
      <c r="D76" s="3087" t="s">
        <v>2660</v>
      </c>
      <c r="E76" s="3113">
        <v>0.15</v>
      </c>
      <c r="F76" s="3113">
        <v>20</v>
      </c>
    </row>
    <row r="77" spans="1:7" ht="24">
      <c r="A77" s="3113">
        <v>5</v>
      </c>
      <c r="B77" s="3784"/>
      <c r="C77" s="3087" t="s">
        <v>2661</v>
      </c>
      <c r="D77" s="3087" t="s">
        <v>2662</v>
      </c>
      <c r="E77" s="3113">
        <v>0.15</v>
      </c>
      <c r="F77" s="3113">
        <v>20</v>
      </c>
    </row>
    <row r="78" spans="1:7" ht="24">
      <c r="A78" s="3113">
        <v>6</v>
      </c>
      <c r="B78" s="3784"/>
      <c r="C78" s="3087" t="s">
        <v>2663</v>
      </c>
      <c r="D78" s="3087" t="s">
        <v>2664</v>
      </c>
      <c r="E78" s="3113">
        <v>0.15</v>
      </c>
      <c r="F78" s="3113">
        <v>20</v>
      </c>
    </row>
    <row r="79" spans="1:7" ht="24">
      <c r="A79" s="3113">
        <v>7</v>
      </c>
      <c r="B79" s="3784"/>
      <c r="C79" s="3087" t="s">
        <v>2665</v>
      </c>
      <c r="D79" s="3087" t="s">
        <v>2666</v>
      </c>
      <c r="E79" s="3113">
        <v>0.15</v>
      </c>
      <c r="F79" s="3113">
        <v>20</v>
      </c>
    </row>
    <row r="80" spans="1:7" ht="24">
      <c r="A80" s="3113">
        <v>8</v>
      </c>
      <c r="B80" s="3784"/>
      <c r="C80" s="3087" t="s">
        <v>2667</v>
      </c>
      <c r="D80" s="3087" t="s">
        <v>2668</v>
      </c>
      <c r="E80" s="3113">
        <v>0.1</v>
      </c>
      <c r="F80" s="3113">
        <v>15</v>
      </c>
    </row>
    <row r="81" spans="1:6" ht="24">
      <c r="A81" s="3113">
        <v>9</v>
      </c>
      <c r="B81" s="3784"/>
      <c r="C81" s="3087" t="s">
        <v>2669</v>
      </c>
      <c r="D81" s="3087" t="s">
        <v>2670</v>
      </c>
      <c r="E81" s="3113">
        <v>0.1</v>
      </c>
      <c r="F81" s="3113">
        <v>15</v>
      </c>
    </row>
    <row r="82" spans="1:6" ht="24">
      <c r="A82" s="3113">
        <v>10</v>
      </c>
      <c r="B82" s="3784"/>
      <c r="C82" s="3087" t="s">
        <v>2671</v>
      </c>
      <c r="D82" s="3087" t="s">
        <v>2672</v>
      </c>
      <c r="E82" s="3113">
        <v>0.1</v>
      </c>
      <c r="F82" s="3113">
        <v>15</v>
      </c>
    </row>
    <row r="83" spans="1:6" ht="24">
      <c r="A83" s="3113">
        <v>11</v>
      </c>
      <c r="B83" s="3784"/>
      <c r="C83" s="3087" t="s">
        <v>2673</v>
      </c>
      <c r="D83" s="3087" t="s">
        <v>2674</v>
      </c>
      <c r="E83" s="3113">
        <v>0.1</v>
      </c>
      <c r="F83" s="3113">
        <v>15</v>
      </c>
    </row>
    <row r="84" spans="1:6" ht="24">
      <c r="A84" s="3113">
        <v>12</v>
      </c>
      <c r="B84" s="3784"/>
      <c r="C84" s="3087" t="s">
        <v>2675</v>
      </c>
      <c r="D84" s="3087" t="s">
        <v>2676</v>
      </c>
      <c r="E84" s="3113">
        <v>0.1</v>
      </c>
      <c r="F84" s="3113">
        <v>15</v>
      </c>
    </row>
    <row r="85" spans="1:6" ht="13.5">
      <c r="A85" s="3113">
        <v>13</v>
      </c>
      <c r="B85" s="3784"/>
      <c r="C85" s="3087" t="s">
        <v>2677</v>
      </c>
      <c r="D85" s="3087" t="s">
        <v>2678</v>
      </c>
      <c r="E85" s="3113">
        <v>0.1</v>
      </c>
      <c r="F85" s="3113">
        <v>15</v>
      </c>
    </row>
    <row r="86" spans="1:6" ht="13.5">
      <c r="A86" s="3113">
        <v>14</v>
      </c>
      <c r="B86" s="3784"/>
      <c r="C86" s="3087" t="s">
        <v>2679</v>
      </c>
      <c r="D86" s="3087" t="s">
        <v>2680</v>
      </c>
      <c r="E86" s="3113">
        <v>0.1</v>
      </c>
      <c r="F86" s="3113">
        <v>15</v>
      </c>
    </row>
    <row r="87" spans="1:6" ht="13.5">
      <c r="A87" s="3113">
        <v>15</v>
      </c>
      <c r="B87" s="3784"/>
      <c r="C87" s="3087" t="s">
        <v>2681</v>
      </c>
      <c r="D87" s="3087" t="s">
        <v>2682</v>
      </c>
      <c r="E87" s="3113">
        <v>0.1</v>
      </c>
      <c r="F87" s="3113">
        <v>15</v>
      </c>
    </row>
    <row r="88" spans="1:6" ht="24">
      <c r="A88" s="3113">
        <v>16</v>
      </c>
      <c r="B88" s="3784"/>
      <c r="C88" s="3087" t="s">
        <v>2683</v>
      </c>
      <c r="D88" s="3087" t="s">
        <v>2684</v>
      </c>
      <c r="E88" s="3113">
        <v>0.1</v>
      </c>
      <c r="F88" s="3113">
        <v>15</v>
      </c>
    </row>
    <row r="89" spans="1:6" ht="24">
      <c r="A89" s="3113">
        <v>17</v>
      </c>
      <c r="B89" s="3793"/>
      <c r="C89" s="3087" t="s">
        <v>2685</v>
      </c>
      <c r="D89" s="3087" t="s">
        <v>2686</v>
      </c>
      <c r="E89" s="3113">
        <v>0.1</v>
      </c>
      <c r="F89" s="3113">
        <v>15</v>
      </c>
    </row>
    <row r="90" spans="1:6" ht="13.5">
      <c r="A90" s="3113">
        <v>18</v>
      </c>
      <c r="B90" s="3789" t="s">
        <v>2687</v>
      </c>
      <c r="C90" s="3087" t="s">
        <v>2688</v>
      </c>
      <c r="D90" s="3087" t="s">
        <v>2689</v>
      </c>
      <c r="E90" s="3113">
        <v>0.2</v>
      </c>
      <c r="F90" s="3113">
        <v>25</v>
      </c>
    </row>
    <row r="91" spans="1:6" ht="24">
      <c r="A91" s="3113">
        <v>19</v>
      </c>
      <c r="B91" s="3784"/>
      <c r="C91" s="3087" t="s">
        <v>2690</v>
      </c>
      <c r="D91" s="3087" t="s">
        <v>2691</v>
      </c>
      <c r="E91" s="3113">
        <v>0.2</v>
      </c>
      <c r="F91" s="3113">
        <v>25</v>
      </c>
    </row>
    <row r="92" spans="1:6" ht="13.5">
      <c r="A92" s="3113">
        <v>20</v>
      </c>
      <c r="B92" s="3784"/>
      <c r="C92" s="3087" t="s">
        <v>2692</v>
      </c>
      <c r="D92" s="3087" t="s">
        <v>2693</v>
      </c>
      <c r="E92" s="3113">
        <v>0.15</v>
      </c>
      <c r="F92" s="3113">
        <v>20</v>
      </c>
    </row>
    <row r="93" spans="1:6" ht="13.5">
      <c r="A93" s="3113">
        <v>21</v>
      </c>
      <c r="B93" s="3784"/>
      <c r="C93" s="3087" t="s">
        <v>2694</v>
      </c>
      <c r="D93" s="3087" t="s">
        <v>2695</v>
      </c>
      <c r="E93" s="3113">
        <v>0.15</v>
      </c>
      <c r="F93" s="3113">
        <v>20</v>
      </c>
    </row>
    <row r="94" spans="1:6" ht="13.5">
      <c r="A94" s="3113">
        <v>22</v>
      </c>
      <c r="B94" s="3784"/>
      <c r="C94" s="3087" t="s">
        <v>2696</v>
      </c>
      <c r="D94" s="3087" t="s">
        <v>2697</v>
      </c>
      <c r="E94" s="3113">
        <v>0.15</v>
      </c>
      <c r="F94" s="3113">
        <v>20</v>
      </c>
    </row>
    <row r="95" spans="1:6" ht="36">
      <c r="A95" s="3113">
        <v>23</v>
      </c>
      <c r="B95" s="3784"/>
      <c r="C95" s="3087" t="s">
        <v>2698</v>
      </c>
      <c r="D95" s="3087" t="s">
        <v>2699</v>
      </c>
      <c r="E95" s="3113">
        <v>0.15</v>
      </c>
      <c r="F95" s="3113">
        <v>20</v>
      </c>
    </row>
    <row r="96" spans="1:6" ht="13.5">
      <c r="A96" s="3113">
        <v>24</v>
      </c>
      <c r="B96" s="3784"/>
      <c r="C96" s="3087" t="s">
        <v>2700</v>
      </c>
      <c r="D96" s="3087" t="s">
        <v>2701</v>
      </c>
      <c r="E96" s="3113">
        <v>0.1</v>
      </c>
      <c r="F96" s="3113">
        <v>15</v>
      </c>
    </row>
    <row r="97" spans="1:6" ht="13.5">
      <c r="A97" s="3113">
        <v>25</v>
      </c>
      <c r="B97" s="3784"/>
      <c r="C97" s="3087" t="s">
        <v>2702</v>
      </c>
      <c r="D97" s="3087" t="s">
        <v>2703</v>
      </c>
      <c r="E97" s="3113">
        <v>0.1</v>
      </c>
      <c r="F97" s="3113">
        <v>15</v>
      </c>
    </row>
    <row r="98" spans="1:6" ht="24">
      <c r="A98" s="3113">
        <v>26</v>
      </c>
      <c r="B98" s="3784"/>
      <c r="C98" s="3087" t="s">
        <v>2704</v>
      </c>
      <c r="D98" s="3087" t="s">
        <v>2705</v>
      </c>
      <c r="E98" s="3113">
        <v>0.1</v>
      </c>
      <c r="F98" s="3113">
        <v>15</v>
      </c>
    </row>
    <row r="99" spans="1:6" ht="24">
      <c r="A99" s="3113">
        <v>27</v>
      </c>
      <c r="B99" s="3784"/>
      <c r="C99" s="3087" t="s">
        <v>2706</v>
      </c>
      <c r="D99" s="3087" t="s">
        <v>2707</v>
      </c>
      <c r="E99" s="3113">
        <v>0.1</v>
      </c>
      <c r="F99" s="3113">
        <v>15</v>
      </c>
    </row>
    <row r="100" spans="1:6" ht="13.5">
      <c r="A100" s="3113">
        <v>28</v>
      </c>
      <c r="B100" s="3784"/>
      <c r="C100" s="3087" t="s">
        <v>2708</v>
      </c>
      <c r="D100" s="3087" t="s">
        <v>2709</v>
      </c>
      <c r="E100" s="3113">
        <v>0.1</v>
      </c>
      <c r="F100" s="3113">
        <v>15</v>
      </c>
    </row>
    <row r="101" spans="1:6" ht="13.5">
      <c r="A101" s="3113">
        <v>29</v>
      </c>
      <c r="B101" s="3784"/>
      <c r="C101" s="3087" t="s">
        <v>2710</v>
      </c>
      <c r="D101" s="3087" t="s">
        <v>2711</v>
      </c>
      <c r="E101" s="3113">
        <v>0.1</v>
      </c>
      <c r="F101" s="3113">
        <v>15</v>
      </c>
    </row>
    <row r="102" spans="1:6" ht="13.5">
      <c r="A102" s="3113">
        <v>30</v>
      </c>
      <c r="B102" s="3784"/>
      <c r="C102" s="3087" t="s">
        <v>2712</v>
      </c>
      <c r="D102" s="3087" t="s">
        <v>2713</v>
      </c>
      <c r="E102" s="3113">
        <v>0.1</v>
      </c>
      <c r="F102" s="3113">
        <v>15</v>
      </c>
    </row>
    <row r="103" spans="1:6" ht="24">
      <c r="A103" s="3113">
        <v>31</v>
      </c>
      <c r="B103" s="3784"/>
      <c r="C103" s="3087" t="s">
        <v>2714</v>
      </c>
      <c r="D103" s="3087" t="s">
        <v>2715</v>
      </c>
      <c r="E103" s="3113">
        <v>0.1</v>
      </c>
      <c r="F103" s="3113">
        <v>15</v>
      </c>
    </row>
    <row r="104" spans="1:6" ht="24">
      <c r="A104" s="3113">
        <v>32</v>
      </c>
      <c r="B104" s="3784"/>
      <c r="C104" s="3087" t="s">
        <v>2716</v>
      </c>
      <c r="D104" s="3087" t="s">
        <v>2717</v>
      </c>
      <c r="E104" s="3113">
        <v>0.1</v>
      </c>
      <c r="F104" s="3113">
        <v>15</v>
      </c>
    </row>
    <row r="105" spans="1:6" ht="24">
      <c r="A105" s="3113">
        <v>33</v>
      </c>
      <c r="B105" s="3784"/>
      <c r="C105" s="3087" t="s">
        <v>2718</v>
      </c>
      <c r="D105" s="3087" t="s">
        <v>2719</v>
      </c>
      <c r="E105" s="3113">
        <v>0.1</v>
      </c>
      <c r="F105" s="3113">
        <v>15</v>
      </c>
    </row>
    <row r="106" spans="1:6" ht="24">
      <c r="A106" s="3113">
        <v>34</v>
      </c>
      <c r="B106" s="3793"/>
      <c r="C106" s="3087" t="s">
        <v>2720</v>
      </c>
      <c r="D106" s="3087" t="s">
        <v>2721</v>
      </c>
      <c r="E106" s="3113">
        <v>0.1</v>
      </c>
      <c r="F106" s="3113">
        <v>15</v>
      </c>
    </row>
    <row r="107" spans="1:6" ht="24">
      <c r="A107" s="3113">
        <v>35</v>
      </c>
      <c r="B107" s="3789" t="s">
        <v>2722</v>
      </c>
      <c r="C107" s="3113" t="s">
        <v>2723</v>
      </c>
      <c r="D107" s="3087" t="s">
        <v>2724</v>
      </c>
      <c r="E107" s="3113">
        <v>0.15</v>
      </c>
      <c r="F107" s="3113">
        <v>20</v>
      </c>
    </row>
    <row r="108" spans="1:6" ht="13.5">
      <c r="A108" s="3113">
        <v>36</v>
      </c>
      <c r="B108" s="3784"/>
      <c r="C108" s="3113" t="s">
        <v>2725</v>
      </c>
      <c r="D108" s="3087" t="s">
        <v>2726</v>
      </c>
      <c r="E108" s="3113">
        <v>0.15</v>
      </c>
      <c r="F108" s="3113">
        <v>20</v>
      </c>
    </row>
    <row r="109" spans="1:6" ht="13.5">
      <c r="A109" s="3113">
        <v>37</v>
      </c>
      <c r="B109" s="3784"/>
      <c r="C109" s="3113" t="s">
        <v>2727</v>
      </c>
      <c r="D109" s="3087" t="s">
        <v>2728</v>
      </c>
      <c r="E109" s="3113">
        <v>0.15</v>
      </c>
      <c r="F109" s="3113">
        <v>20</v>
      </c>
    </row>
    <row r="110" spans="1:6" ht="13.5">
      <c r="A110" s="3113">
        <v>38</v>
      </c>
      <c r="B110" s="3784"/>
      <c r="C110" s="3113" t="s">
        <v>2729</v>
      </c>
      <c r="D110" s="3087" t="s">
        <v>2730</v>
      </c>
      <c r="E110" s="3113">
        <v>0.1</v>
      </c>
      <c r="F110" s="3113">
        <v>15</v>
      </c>
    </row>
    <row r="111" spans="1:6" ht="24">
      <c r="A111" s="3113">
        <v>39</v>
      </c>
      <c r="B111" s="3784"/>
      <c r="C111" s="3113" t="s">
        <v>2731</v>
      </c>
      <c r="D111" s="3087" t="s">
        <v>2732</v>
      </c>
      <c r="E111" s="3113">
        <v>0.1</v>
      </c>
      <c r="F111" s="3113">
        <v>15</v>
      </c>
    </row>
    <row r="112" spans="1:6" ht="24">
      <c r="A112" s="3113">
        <v>40</v>
      </c>
      <c r="B112" s="3793"/>
      <c r="C112" s="3113" t="s">
        <v>2733</v>
      </c>
      <c r="D112" s="3087" t="s">
        <v>2734</v>
      </c>
      <c r="E112" s="3113">
        <v>0.1</v>
      </c>
      <c r="F112" s="3113">
        <v>15</v>
      </c>
    </row>
    <row r="113" spans="1:6" ht="13.5">
      <c r="A113" s="3113">
        <v>41</v>
      </c>
      <c r="B113" s="3794" t="s">
        <v>2735</v>
      </c>
      <c r="C113" s="3113" t="s">
        <v>2736</v>
      </c>
      <c r="D113" s="3087" t="s">
        <v>2737</v>
      </c>
      <c r="E113" s="3113">
        <v>0.1</v>
      </c>
      <c r="F113" s="3113">
        <v>15</v>
      </c>
    </row>
    <row r="114" spans="1:6" ht="13.5">
      <c r="A114" s="3113">
        <v>42</v>
      </c>
      <c r="B114" s="3794"/>
      <c r="C114" s="3113" t="s">
        <v>2738</v>
      </c>
      <c r="D114" s="3087" t="s">
        <v>2739</v>
      </c>
      <c r="E114" s="3113">
        <v>0.1</v>
      </c>
      <c r="F114" s="3113">
        <v>15</v>
      </c>
    </row>
    <row r="115" spans="1:6" ht="24">
      <c r="A115" s="3113">
        <v>43</v>
      </c>
      <c r="B115" s="3794"/>
      <c r="C115" s="3113" t="s">
        <v>2740</v>
      </c>
      <c r="D115" s="3087" t="s">
        <v>2741</v>
      </c>
      <c r="E115" s="3113">
        <v>0.1</v>
      </c>
      <c r="F115" s="3113">
        <v>15</v>
      </c>
    </row>
    <row r="116" spans="1:6" ht="13.5">
      <c r="A116" s="3113">
        <v>44</v>
      </c>
      <c r="B116" s="3789" t="s">
        <v>2742</v>
      </c>
      <c r="C116" s="3113" t="s">
        <v>2743</v>
      </c>
      <c r="D116" s="3087" t="s">
        <v>2744</v>
      </c>
      <c r="E116" s="3113">
        <v>0.1</v>
      </c>
      <c r="F116" s="3113">
        <v>15</v>
      </c>
    </row>
    <row r="117" spans="1:6" ht="24">
      <c r="A117" s="3113">
        <v>45</v>
      </c>
      <c r="B117" s="3793"/>
      <c r="C117" s="3087" t="s">
        <v>2745</v>
      </c>
      <c r="D117" s="3087" t="s">
        <v>2746</v>
      </c>
      <c r="E117" s="3113">
        <v>0.1</v>
      </c>
      <c r="F117" s="3113">
        <v>15</v>
      </c>
    </row>
    <row r="118" spans="1:6" ht="24">
      <c r="A118" s="3113">
        <v>46</v>
      </c>
      <c r="B118" s="3789" t="s">
        <v>2747</v>
      </c>
      <c r="C118" s="3113" t="s">
        <v>2748</v>
      </c>
      <c r="D118" s="3087" t="s">
        <v>2749</v>
      </c>
      <c r="E118" s="3113">
        <v>0.1</v>
      </c>
      <c r="F118" s="3113">
        <v>15</v>
      </c>
    </row>
    <row r="119" spans="1:6" ht="24">
      <c r="A119" s="3113">
        <v>47</v>
      </c>
      <c r="B119" s="3793"/>
      <c r="C119" s="3113" t="s">
        <v>2750</v>
      </c>
      <c r="D119" s="3087" t="s">
        <v>2751</v>
      </c>
      <c r="E119" s="3113">
        <v>0.1</v>
      </c>
      <c r="F119" s="3113">
        <v>15</v>
      </c>
    </row>
    <row r="120" spans="1:6" ht="13.5">
      <c r="A120" s="3113">
        <v>48</v>
      </c>
      <c r="B120" s="3789" t="s">
        <v>2752</v>
      </c>
      <c r="C120" s="3113" t="s">
        <v>2753</v>
      </c>
      <c r="D120" s="3087" t="s">
        <v>2754</v>
      </c>
      <c r="E120" s="3113">
        <v>0.1</v>
      </c>
      <c r="F120" s="3113">
        <v>15</v>
      </c>
    </row>
    <row r="121" spans="1:6" ht="13.5">
      <c r="A121" s="3113">
        <v>49</v>
      </c>
      <c r="B121" s="3793"/>
      <c r="C121" s="3113" t="s">
        <v>2755</v>
      </c>
      <c r="D121" s="3087" t="s">
        <v>2756</v>
      </c>
      <c r="E121" s="3113">
        <v>0.1</v>
      </c>
      <c r="F121" s="3113">
        <v>15</v>
      </c>
    </row>
    <row r="122" spans="1:6" ht="24">
      <c r="A122" s="3113">
        <v>50</v>
      </c>
      <c r="B122" s="3794" t="s">
        <v>2757</v>
      </c>
      <c r="C122" s="3113" t="s">
        <v>2758</v>
      </c>
      <c r="D122" s="3087" t="s">
        <v>2759</v>
      </c>
      <c r="E122" s="3113">
        <v>0.1</v>
      </c>
      <c r="F122" s="3113">
        <v>15</v>
      </c>
    </row>
    <row r="123" spans="1:6" ht="24">
      <c r="A123" s="3113">
        <v>51</v>
      </c>
      <c r="B123" s="3794"/>
      <c r="C123" s="3113" t="s">
        <v>2760</v>
      </c>
      <c r="D123" s="3087" t="s">
        <v>2761</v>
      </c>
      <c r="E123" s="3113">
        <v>0.1</v>
      </c>
      <c r="F123" s="3113">
        <v>15</v>
      </c>
    </row>
    <row r="124" spans="1:6" ht="24">
      <c r="A124" s="3113">
        <v>52</v>
      </c>
      <c r="B124" s="3794" t="s">
        <v>2762</v>
      </c>
      <c r="C124" s="3113" t="s">
        <v>2763</v>
      </c>
      <c r="D124" s="3087" t="s">
        <v>2764</v>
      </c>
      <c r="E124" s="3113">
        <v>0.1</v>
      </c>
      <c r="F124" s="3113">
        <v>15</v>
      </c>
    </row>
    <row r="125" spans="1:6" ht="24">
      <c r="A125" s="3113">
        <v>53</v>
      </c>
      <c r="B125" s="3794"/>
      <c r="C125" s="3113" t="s">
        <v>2765</v>
      </c>
      <c r="D125" s="3087" t="s">
        <v>2766</v>
      </c>
      <c r="E125" s="3113">
        <v>0.1</v>
      </c>
      <c r="F125" s="3113">
        <v>15</v>
      </c>
    </row>
    <row r="126" spans="1:6" ht="13.5">
      <c r="A126" s="3113">
        <v>54</v>
      </c>
      <c r="B126" s="3113" t="s">
        <v>2767</v>
      </c>
      <c r="C126" s="3113" t="s">
        <v>2768</v>
      </c>
      <c r="D126" s="3087" t="s">
        <v>2769</v>
      </c>
      <c r="E126" s="3113">
        <v>0.1</v>
      </c>
      <c r="F126" s="3113">
        <v>15</v>
      </c>
    </row>
    <row r="127" spans="1:6" ht="13.5">
      <c r="A127" s="3113">
        <v>55</v>
      </c>
      <c r="B127" s="3794" t="s">
        <v>2770</v>
      </c>
      <c r="C127" s="3113" t="s">
        <v>2771</v>
      </c>
      <c r="D127" s="3087" t="s">
        <v>2772</v>
      </c>
      <c r="E127" s="3113">
        <v>0.1</v>
      </c>
      <c r="F127" s="3113">
        <v>15</v>
      </c>
    </row>
    <row r="128" spans="1:6" ht="13.5">
      <c r="A128" s="3113">
        <v>56</v>
      </c>
      <c r="B128" s="3794"/>
      <c r="C128" s="3113" t="s">
        <v>2773</v>
      </c>
      <c r="D128" s="3087" t="s">
        <v>2774</v>
      </c>
      <c r="E128" s="3113">
        <v>0.1</v>
      </c>
      <c r="F128" s="3113">
        <v>15</v>
      </c>
    </row>
    <row r="129" spans="1:6" ht="24">
      <c r="A129" s="3113">
        <v>57</v>
      </c>
      <c r="B129" s="3794"/>
      <c r="C129" s="3113" t="s">
        <v>2775</v>
      </c>
      <c r="D129" s="3087" t="s">
        <v>2776</v>
      </c>
      <c r="E129" s="3113">
        <v>0.1</v>
      </c>
      <c r="F129" s="3113">
        <v>15</v>
      </c>
    </row>
    <row r="130" spans="1:6" ht="24">
      <c r="A130" s="3113">
        <v>58</v>
      </c>
      <c r="B130" s="3794" t="s">
        <v>2777</v>
      </c>
      <c r="C130" s="3113" t="s">
        <v>2778</v>
      </c>
      <c r="D130" s="3087" t="s">
        <v>2779</v>
      </c>
      <c r="E130" s="3113">
        <v>0.1</v>
      </c>
      <c r="F130" s="3113">
        <v>15</v>
      </c>
    </row>
    <row r="131" spans="1:6" ht="13.5">
      <c r="A131" s="3113">
        <v>59</v>
      </c>
      <c r="B131" s="3794"/>
      <c r="C131" s="3113" t="s">
        <v>2780</v>
      </c>
      <c r="D131" s="3087" t="s">
        <v>2781</v>
      </c>
      <c r="E131" s="3113">
        <v>0.1</v>
      </c>
      <c r="F131" s="3113">
        <v>15</v>
      </c>
    </row>
    <row r="132" spans="1:6" ht="13.5">
      <c r="A132" s="3113">
        <v>60</v>
      </c>
      <c r="B132" s="3789" t="s">
        <v>2782</v>
      </c>
      <c r="C132" s="3113" t="s">
        <v>2783</v>
      </c>
      <c r="D132" s="3087" t="s">
        <v>2784</v>
      </c>
      <c r="E132" s="3113">
        <v>0.1</v>
      </c>
      <c r="F132" s="3113">
        <v>15</v>
      </c>
    </row>
    <row r="133" spans="1:6" ht="13.5">
      <c r="A133" s="3113">
        <v>61</v>
      </c>
      <c r="B133" s="3793"/>
      <c r="C133" s="3113" t="s">
        <v>2785</v>
      </c>
      <c r="D133" s="3087" t="s">
        <v>2786</v>
      </c>
      <c r="E133" s="3113">
        <v>0.1</v>
      </c>
      <c r="F133" s="3113">
        <v>15</v>
      </c>
    </row>
    <row r="134" spans="1:6" ht="24">
      <c r="A134" s="3113">
        <v>62</v>
      </c>
      <c r="B134" s="3113" t="s">
        <v>2787</v>
      </c>
      <c r="C134" s="3113" t="s">
        <v>2788</v>
      </c>
      <c r="D134" s="3087" t="s">
        <v>2789</v>
      </c>
      <c r="E134" s="3113">
        <v>0.1</v>
      </c>
      <c r="F134" s="3113">
        <v>15</v>
      </c>
    </row>
    <row r="135" spans="1:6" ht="13.5">
      <c r="A135" s="3113">
        <v>63</v>
      </c>
      <c r="B135" s="3794" t="s">
        <v>2790</v>
      </c>
      <c r="C135" s="3113" t="s">
        <v>2791</v>
      </c>
      <c r="D135" s="3087" t="s">
        <v>2792</v>
      </c>
      <c r="E135" s="3113">
        <v>0.1</v>
      </c>
      <c r="F135" s="3113">
        <v>15</v>
      </c>
    </row>
    <row r="136" spans="1:6" ht="13.5">
      <c r="A136" s="3113">
        <v>64</v>
      </c>
      <c r="B136" s="3794"/>
      <c r="C136" s="3113" t="s">
        <v>2793</v>
      </c>
      <c r="D136" s="3087" t="s">
        <v>2794</v>
      </c>
      <c r="E136" s="3113">
        <v>0.1</v>
      </c>
      <c r="F136" s="3113">
        <v>15</v>
      </c>
    </row>
    <row r="137" spans="1:6" ht="13.5">
      <c r="A137" s="3113">
        <v>65</v>
      </c>
      <c r="B137" s="3113" t="s">
        <v>2795</v>
      </c>
      <c r="C137" s="3113" t="s">
        <v>2796</v>
      </c>
      <c r="D137" s="3087" t="s">
        <v>2797</v>
      </c>
      <c r="E137" s="3113">
        <v>0.1</v>
      </c>
      <c r="F137" s="3113">
        <v>15</v>
      </c>
    </row>
    <row r="138" spans="1:6" ht="13.5">
      <c r="A138" s="3113"/>
      <c r="B138" s="3113"/>
      <c r="C138" s="3113"/>
      <c r="D138" s="3113"/>
      <c r="E138" s="3113" t="s">
        <v>2798</v>
      </c>
      <c r="F138" s="3113"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U460"/>
  <sheetViews>
    <sheetView zoomScale="70" zoomScaleNormal="70" workbookViewId="0">
      <selection sqref="A1:XFD1048576"/>
    </sheetView>
  </sheetViews>
  <sheetFormatPr defaultColWidth="9" defaultRowHeight="13.5"/>
  <cols>
    <col min="1" max="13" width="9" style="3136"/>
    <col min="14" max="16384" width="9" style="750"/>
  </cols>
  <sheetData>
    <row r="1" spans="1:20" ht="15" thickBot="1">
      <c r="A1" s="3122" t="s">
        <v>2799</v>
      </c>
      <c r="B1" s="3122"/>
      <c r="C1" s="3122"/>
      <c r="D1" s="3122"/>
      <c r="E1" s="3122"/>
      <c r="F1" s="3122"/>
      <c r="G1" s="3122"/>
      <c r="H1" s="3122"/>
      <c r="I1" s="3122"/>
      <c r="J1" s="3122"/>
      <c r="K1" s="3122"/>
      <c r="L1" s="3122"/>
      <c r="M1" s="3122"/>
      <c r="N1" s="749"/>
    </row>
    <row r="2" spans="1:20">
      <c r="A2" s="3123" t="s">
        <v>2800</v>
      </c>
      <c r="B2" s="3124" t="s">
        <v>2596</v>
      </c>
      <c r="C2" s="3124" t="s">
        <v>2597</v>
      </c>
      <c r="D2" s="3124" t="s">
        <v>2598</v>
      </c>
      <c r="E2" s="3124" t="s">
        <v>2599</v>
      </c>
      <c r="F2" s="3124" t="s">
        <v>2600</v>
      </c>
      <c r="G2" s="3124" t="s">
        <v>2601</v>
      </c>
      <c r="H2" s="3125" t="s">
        <v>2602</v>
      </c>
      <c r="I2" s="3125" t="s">
        <v>2603</v>
      </c>
      <c r="J2" s="3126" t="s">
        <v>2604</v>
      </c>
      <c r="K2" s="3126" t="s">
        <v>2605</v>
      </c>
      <c r="L2" s="3126" t="s">
        <v>2606</v>
      </c>
      <c r="M2" s="3127" t="s">
        <v>2607</v>
      </c>
      <c r="Q2" s="3137" t="s">
        <v>2805</v>
      </c>
      <c r="R2" s="3137" t="s">
        <v>2806</v>
      </c>
      <c r="S2" s="3137" t="s">
        <v>2807</v>
      </c>
      <c r="T2" s="3137" t="s">
        <v>2808</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2801</v>
      </c>
      <c r="B93" s="3122"/>
      <c r="C93" s="3122"/>
      <c r="D93" s="3122"/>
      <c r="E93" s="3122"/>
      <c r="F93" s="3122"/>
      <c r="G93" s="3122"/>
      <c r="H93" s="3122"/>
      <c r="I93" s="3122"/>
      <c r="J93" s="3122"/>
      <c r="K93" s="3122"/>
      <c r="L93" s="3122"/>
      <c r="M93" s="3122"/>
    </row>
    <row r="94" spans="1:20">
      <c r="A94" s="3123" t="s">
        <v>2800</v>
      </c>
      <c r="B94" s="3124" t="s">
        <v>2596</v>
      </c>
      <c r="C94" s="3124" t="s">
        <v>2597</v>
      </c>
      <c r="D94" s="3124" t="s">
        <v>2598</v>
      </c>
      <c r="E94" s="3124" t="s">
        <v>2599</v>
      </c>
      <c r="F94" s="3124" t="s">
        <v>2600</v>
      </c>
      <c r="G94" s="3124" t="s">
        <v>2601</v>
      </c>
      <c r="H94" s="3125" t="s">
        <v>2602</v>
      </c>
      <c r="I94" s="3125" t="s">
        <v>2603</v>
      </c>
      <c r="J94" s="3126" t="s">
        <v>2604</v>
      </c>
      <c r="K94" s="3126" t="s">
        <v>2605</v>
      </c>
      <c r="L94" s="3126" t="s">
        <v>2606</v>
      </c>
      <c r="M94" s="3127" t="s">
        <v>2607</v>
      </c>
      <c r="N94" s="750">
        <f>SUMPRODUCT((A95:A184=ROUNDDOWN(基准地价修正!G3,1))*(B94:M94=基准地价修正!G2)*(B95:M184))</f>
        <v>0.90210000000000001</v>
      </c>
      <c r="Q94" s="3137" t="s">
        <v>2805</v>
      </c>
      <c r="R94" s="3137" t="s">
        <v>2806</v>
      </c>
      <c r="S94" s="3137" t="s">
        <v>2807</v>
      </c>
      <c r="T94" s="3137" t="s">
        <v>2808</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2802</v>
      </c>
      <c r="B185" s="3122"/>
      <c r="C185" s="3122"/>
      <c r="D185" s="3122"/>
      <c r="E185" s="3122"/>
      <c r="F185" s="3122"/>
      <c r="G185" s="3122"/>
      <c r="H185" s="3122"/>
      <c r="I185" s="3122"/>
      <c r="J185" s="3122"/>
      <c r="K185" s="3122"/>
      <c r="L185" s="3122"/>
      <c r="M185" s="3122"/>
    </row>
    <row r="186" spans="1:20">
      <c r="A186" s="3123" t="s">
        <v>2800</v>
      </c>
      <c r="B186" s="3124" t="s">
        <v>2596</v>
      </c>
      <c r="C186" s="3124" t="s">
        <v>2597</v>
      </c>
      <c r="D186" s="3124" t="s">
        <v>2598</v>
      </c>
      <c r="E186" s="3124" t="s">
        <v>2599</v>
      </c>
      <c r="F186" s="3124" t="s">
        <v>2600</v>
      </c>
      <c r="G186" s="3124" t="s">
        <v>2601</v>
      </c>
      <c r="H186" s="3125" t="s">
        <v>2602</v>
      </c>
      <c r="I186" s="3125" t="s">
        <v>2603</v>
      </c>
      <c r="J186" s="3126" t="s">
        <v>2604</v>
      </c>
      <c r="K186" s="3126" t="s">
        <v>2605</v>
      </c>
      <c r="L186" s="3126" t="s">
        <v>2606</v>
      </c>
      <c r="M186" s="3127" t="s">
        <v>2607</v>
      </c>
      <c r="Q186" s="3137" t="s">
        <v>2805</v>
      </c>
      <c r="R186" s="3137" t="s">
        <v>2806</v>
      </c>
      <c r="S186" s="3137" t="s">
        <v>2807</v>
      </c>
      <c r="T186" s="3137" t="s">
        <v>2808</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2803</v>
      </c>
      <c r="B277" s="3122"/>
      <c r="C277" s="3122"/>
      <c r="D277" s="3122"/>
      <c r="E277" s="3122"/>
      <c r="F277" s="3122"/>
      <c r="G277" s="3122"/>
      <c r="H277" s="3122"/>
      <c r="I277" s="3122"/>
      <c r="J277" s="3122"/>
      <c r="K277" s="3122"/>
      <c r="L277" s="3122"/>
      <c r="M277" s="3122"/>
    </row>
    <row r="278" spans="1:21">
      <c r="A278" s="3123" t="s">
        <v>2800</v>
      </c>
      <c r="B278" s="3124" t="s">
        <v>2596</v>
      </c>
      <c r="C278" s="3124" t="s">
        <v>2597</v>
      </c>
      <c r="D278" s="3124" t="s">
        <v>2598</v>
      </c>
      <c r="E278" s="3124" t="s">
        <v>2599</v>
      </c>
      <c r="F278" s="3124" t="s">
        <v>2600</v>
      </c>
      <c r="G278" s="3124" t="s">
        <v>2601</v>
      </c>
      <c r="H278" s="3125" t="s">
        <v>2602</v>
      </c>
      <c r="I278" s="3125" t="s">
        <v>2603</v>
      </c>
      <c r="J278" s="3126" t="s">
        <v>2604</v>
      </c>
      <c r="K278" s="3126" t="s">
        <v>2605</v>
      </c>
      <c r="L278" s="3126" t="s">
        <v>2606</v>
      </c>
      <c r="M278" s="3127" t="s">
        <v>2607</v>
      </c>
      <c r="Q278" s="3137" t="s">
        <v>2805</v>
      </c>
      <c r="R278" s="3137" t="s">
        <v>2806</v>
      </c>
      <c r="S278" s="3137" t="s">
        <v>2809</v>
      </c>
      <c r="T278" s="3137" t="s">
        <v>2810</v>
      </c>
      <c r="U278" s="3137" t="s">
        <v>2808</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2804</v>
      </c>
      <c r="B369" s="3135"/>
      <c r="C369" s="3135"/>
      <c r="D369" s="3135"/>
      <c r="E369" s="3135"/>
      <c r="F369" s="3135"/>
      <c r="G369" s="3135"/>
      <c r="H369" s="3135"/>
      <c r="I369" s="3135"/>
      <c r="J369" s="3135"/>
      <c r="K369" s="3135"/>
      <c r="L369" s="3135"/>
      <c r="M369" s="3135"/>
    </row>
    <row r="370" spans="1:20">
      <c r="A370" s="3123" t="s">
        <v>2800</v>
      </c>
      <c r="B370" s="3124" t="s">
        <v>2596</v>
      </c>
      <c r="C370" s="3124" t="s">
        <v>2597</v>
      </c>
      <c r="D370" s="3124" t="s">
        <v>2598</v>
      </c>
      <c r="E370" s="3124" t="s">
        <v>2599</v>
      </c>
      <c r="F370" s="3124" t="s">
        <v>2600</v>
      </c>
      <c r="G370" s="3124" t="s">
        <v>2601</v>
      </c>
      <c r="H370" s="3125" t="s">
        <v>2602</v>
      </c>
      <c r="I370" s="3125" t="s">
        <v>2603</v>
      </c>
      <c r="J370" s="3126" t="s">
        <v>2604</v>
      </c>
      <c r="K370" s="3126" t="s">
        <v>2605</v>
      </c>
      <c r="L370" s="3126" t="s">
        <v>2606</v>
      </c>
      <c r="M370" s="3127" t="s">
        <v>2607</v>
      </c>
      <c r="N370" s="750">
        <f>SUMPRODUCT((A371:A460=ROUNDDOWN(基准地价修正!G3,1))*(B370:M370=基准地价修正!G2)*(B371:M460))</f>
        <v>0.85809999999999997</v>
      </c>
      <c r="Q370" s="3137" t="s">
        <v>2805</v>
      </c>
      <c r="R370" s="3137" t="s">
        <v>2806</v>
      </c>
      <c r="S370" s="3137" t="s">
        <v>2807</v>
      </c>
      <c r="T370" s="3137" t="s">
        <v>2808</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30129</v>
      </c>
      <c r="C2" s="2" t="s">
        <v>106</v>
      </c>
      <c r="D2" s="199"/>
      <c r="E2" s="199"/>
      <c r="F2" s="199"/>
      <c r="G2" s="199"/>
    </row>
    <row r="3" spans="1:7" s="200" customFormat="1" ht="18" customHeight="1" thickBot="1">
      <c r="A3" s="203" t="s">
        <v>58</v>
      </c>
      <c r="B3" s="204">
        <f ca="1">ROUND(B2*10000/'数据-汇总表'!E3,0)</f>
        <v>655434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v>
      </c>
      <c r="D10" s="845">
        <f>'数据-汇总表'!E6</f>
        <v>459.68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459.68</v>
      </c>
      <c r="E19" s="211">
        <f>'数据-取费表'!B31</f>
        <v>150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0.05</v>
      </c>
      <c r="D21" s="236" t="s">
        <v>99</v>
      </c>
      <c r="E21" s="232"/>
      <c r="F21" s="233">
        <f>'数据-取费表'!B38</f>
        <v>0.05</v>
      </c>
      <c r="G21" s="234" t="s">
        <v>79</v>
      </c>
    </row>
    <row r="22" spans="1:7" s="214" customFormat="1" ht="13.5" customHeight="1">
      <c r="A22" s="777" t="s">
        <v>341</v>
      </c>
      <c r="B22" s="210" t="s">
        <v>80</v>
      </c>
      <c r="C22" s="1104">
        <f ca="1">ROUND(SUM(C23:C25),0)</f>
        <v>2034</v>
      </c>
      <c r="D22" s="235">
        <f ca="1">C26</f>
        <v>2.3999999999999998E-3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29</v>
      </c>
      <c r="D25" s="238"/>
      <c r="E25" s="241"/>
      <c r="F25" s="239"/>
      <c r="G25" s="242" t="s">
        <v>83</v>
      </c>
    </row>
    <row r="26" spans="1:7" s="214" customFormat="1">
      <c r="A26" s="780" t="s">
        <v>350</v>
      </c>
      <c r="B26" s="215" t="s">
        <v>422</v>
      </c>
      <c r="C26" s="238">
        <f ca="1">ROUND(IF('数据-取费表'!B22&lt;=1,F21*F22*'数据-取费表'!B23/2,F21*(POWER((1+F22),'数据-取费表'!B23/2)-1)),4)</f>
        <v>2.3999999999999998E-3</v>
      </c>
      <c r="D26" s="238"/>
      <c r="E26" s="241"/>
      <c r="F26" s="239"/>
      <c r="G26" s="243"/>
    </row>
    <row r="27" spans="1:7" s="214" customFormat="1" ht="24.75">
      <c r="A27" s="777" t="s">
        <v>342</v>
      </c>
      <c r="B27" s="244" t="s">
        <v>85</v>
      </c>
      <c r="C27" s="245">
        <f>C28</f>
        <v>3185</v>
      </c>
      <c r="D27" s="235">
        <f>C29</f>
        <v>7.4999999999999997E-3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3185</v>
      </c>
      <c r="D28" s="235"/>
      <c r="E28" s="236"/>
      <c r="F28" s="246"/>
      <c r="G28" s="247"/>
    </row>
    <row r="29" spans="1:7" s="214" customFormat="1" ht="13.5" customHeight="1">
      <c r="A29" s="780" t="s">
        <v>347</v>
      </c>
      <c r="B29" s="248" t="s">
        <v>425</v>
      </c>
      <c r="C29" s="238">
        <f>ROUND(C21*F27*'数据-取费表'!B21/'数据-取费表'!B20,4)</f>
        <v>7.4999999999999997E-3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29833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284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253</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14</v>
      </c>
      <c r="D37" s="217">
        <f>'数据-汇总表'!E3</f>
        <v>459.68</v>
      </c>
      <c r="E37" s="249">
        <f>'数据-取费表'!B35</f>
        <v>300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0.05</v>
      </c>
      <c r="D40" s="236" t="s">
        <v>102</v>
      </c>
      <c r="E40" s="232"/>
      <c r="F40" s="233"/>
      <c r="G40" s="234" t="s">
        <v>93</v>
      </c>
    </row>
    <row r="41" spans="1:7" s="214" customFormat="1" ht="13.5" customHeight="1">
      <c r="A41" s="777" t="s">
        <v>340</v>
      </c>
      <c r="B41" s="210" t="s">
        <v>80</v>
      </c>
      <c r="C41" s="232">
        <f ca="1">ROUND(SUM(C42:C43),0)</f>
        <v>13</v>
      </c>
      <c r="D41" s="235">
        <f ca="1">C44</f>
        <v>2.3999999999999998E-3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13</v>
      </c>
      <c r="D42" s="238"/>
      <c r="E42" s="238"/>
      <c r="F42" s="239"/>
      <c r="G42" s="3658" t="s">
        <v>94</v>
      </c>
    </row>
    <row r="43" spans="1:7" ht="13.5" customHeight="1">
      <c r="A43" s="780" t="s">
        <v>347</v>
      </c>
      <c r="B43" s="215" t="s">
        <v>426</v>
      </c>
      <c r="C43" s="238">
        <f ca="1">ROUND(IF('数据-取费表'!B22&lt;=1,C39*F22*'数据-取费表'!B21/2,C39*(POWER((1+F22),'数据-取费表'!B21/2)-1)),0)</f>
        <v>0</v>
      </c>
      <c r="D43" s="238"/>
      <c r="E43" s="238"/>
      <c r="F43" s="239"/>
      <c r="G43" s="3659"/>
    </row>
    <row r="44" spans="1:7" ht="13.5" customHeight="1">
      <c r="A44" s="780" t="s">
        <v>348</v>
      </c>
      <c r="B44" s="215" t="s">
        <v>428</v>
      </c>
      <c r="C44" s="238">
        <f ca="1">ROUND(IF('数据-取费表'!B22&lt;=1,C40*F22*'数据-取费表'!B21/2,C40*(POWER((1+F22),'数据-取费表'!B21/2)-1)),4)</f>
        <v>2.3999999999999998E-3</v>
      </c>
      <c r="D44" s="238"/>
      <c r="E44" s="238"/>
      <c r="F44" s="239"/>
      <c r="G44" s="3660"/>
    </row>
    <row r="45" spans="1:7" s="214" customFormat="1" ht="13.5" customHeight="1">
      <c r="A45" s="777" t="s">
        <v>341</v>
      </c>
      <c r="B45" s="244" t="s">
        <v>85</v>
      </c>
      <c r="C45" s="245">
        <f>C46</f>
        <v>44</v>
      </c>
      <c r="D45" s="235">
        <f>C47</f>
        <v>7.4999999999999997E-3</v>
      </c>
      <c r="E45" s="236" t="s">
        <v>102</v>
      </c>
      <c r="F45" s="246"/>
      <c r="G45" s="247" t="s">
        <v>434</v>
      </c>
    </row>
    <row r="46" spans="1:7" s="214" customFormat="1" ht="13.5" customHeight="1">
      <c r="A46" s="780" t="s">
        <v>349</v>
      </c>
      <c r="B46" s="248" t="s">
        <v>427</v>
      </c>
      <c r="C46" s="249">
        <f>ROUND((C33+C39)*F27,0)</f>
        <v>44</v>
      </c>
      <c r="D46" s="263"/>
      <c r="E46" s="236"/>
      <c r="F46" s="246"/>
      <c r="G46" s="247"/>
    </row>
    <row r="47" spans="1:7" s="214" customFormat="1" ht="13.5" customHeight="1">
      <c r="A47" s="780" t="s">
        <v>347</v>
      </c>
      <c r="B47" s="248" t="s">
        <v>429</v>
      </c>
      <c r="C47" s="238">
        <f>ROUND(C40*F27,4)</f>
        <v>7.4999999999999997E-3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395</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296</v>
      </c>
      <c r="D51" s="232"/>
      <c r="E51" s="232"/>
      <c r="F51" s="264"/>
      <c r="G51" s="234" t="s">
        <v>37</v>
      </c>
    </row>
    <row r="52" spans="1:7" s="208" customFormat="1" ht="16.5" thickBot="1">
      <c r="A52" s="265" t="s">
        <v>38</v>
      </c>
      <c r="B52" s="266"/>
      <c r="C52" s="267">
        <f ca="1">C31+C51</f>
        <v>30129</v>
      </c>
      <c r="D52" s="266"/>
      <c r="E52" s="266"/>
      <c r="F52" s="266"/>
      <c r="G52" s="268"/>
    </row>
    <row r="55" spans="1:7" ht="15">
      <c r="B55" s="270" t="s">
        <v>39</v>
      </c>
      <c r="C55" s="271"/>
    </row>
    <row r="56" spans="1:7">
      <c r="B56" s="273" t="s">
        <v>40</v>
      </c>
      <c r="C56" s="274">
        <f ca="1">ROUND(C51/C52,3)</f>
        <v>0.01</v>
      </c>
    </row>
    <row r="57" spans="1:7">
      <c r="B57" s="273" t="s">
        <v>41</v>
      </c>
      <c r="C57" s="275">
        <f ca="1">1-C56</f>
        <v>0.99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797" t="s">
        <v>2844</v>
      </c>
      <c r="B1" s="3797"/>
      <c r="C1" s="3797"/>
      <c r="D1" s="3797"/>
      <c r="E1" s="3797"/>
      <c r="F1" s="3797"/>
      <c r="G1" s="3798"/>
      <c r="I1" s="3218" t="s">
        <v>2845</v>
      </c>
      <c r="J1" s="3219" t="s">
        <v>2846</v>
      </c>
      <c r="K1" s="3219" t="s">
        <v>2847</v>
      </c>
      <c r="L1" s="3219" t="s">
        <v>2848</v>
      </c>
      <c r="M1" s="3219" t="s">
        <v>2849</v>
      </c>
      <c r="N1" s="3219" t="s">
        <v>2850</v>
      </c>
      <c r="O1" s="3219" t="s">
        <v>2851</v>
      </c>
      <c r="P1" s="3219" t="s">
        <v>2852</v>
      </c>
      <c r="Q1" s="3219" t="s">
        <v>2853</v>
      </c>
      <c r="R1" s="3219" t="s">
        <v>2854</v>
      </c>
      <c r="S1" s="3219" t="s">
        <v>2855</v>
      </c>
      <c r="T1" s="3220" t="s">
        <v>2856</v>
      </c>
    </row>
    <row r="2" spans="1:20" ht="12" thickBot="1">
      <c r="A2" s="3222" t="s">
        <v>2857</v>
      </c>
      <c r="B2" s="3222"/>
      <c r="C2" s="3222"/>
      <c r="D2" s="3222"/>
      <c r="E2" s="3222"/>
      <c r="F2" s="3222"/>
      <c r="G2" s="3223" t="s">
        <v>2858</v>
      </c>
      <c r="I2" s="3224" t="s">
        <v>2859</v>
      </c>
      <c r="J2" s="3224" t="s">
        <v>2860</v>
      </c>
      <c r="K2" s="3224" t="s">
        <v>2861</v>
      </c>
      <c r="L2" s="3224" t="s">
        <v>2862</v>
      </c>
      <c r="M2" s="3224" t="s">
        <v>2863</v>
      </c>
      <c r="N2" s="3224" t="s">
        <v>2864</v>
      </c>
      <c r="O2" s="3224" t="s">
        <v>2865</v>
      </c>
      <c r="P2" s="3224" t="s">
        <v>2866</v>
      </c>
      <c r="Q2" s="3224" t="s">
        <v>2867</v>
      </c>
      <c r="R2" s="3224" t="s">
        <v>2868</v>
      </c>
      <c r="S2" s="3224" t="s">
        <v>2869</v>
      </c>
      <c r="T2" s="3224" t="s">
        <v>2870</v>
      </c>
    </row>
    <row r="3" spans="1:20" s="3230" customFormat="1">
      <c r="A3" s="3795" t="s">
        <v>2871</v>
      </c>
      <c r="B3" s="3225"/>
      <c r="C3" s="3226" t="s">
        <v>2812</v>
      </c>
      <c r="D3" s="3226" t="s">
        <v>2872</v>
      </c>
      <c r="E3" s="3226" t="s">
        <v>2814</v>
      </c>
      <c r="F3" s="3226" t="s">
        <v>2873</v>
      </c>
      <c r="G3" s="3226" t="s">
        <v>2632</v>
      </c>
      <c r="H3" s="3227"/>
      <c r="I3" s="3228" t="s">
        <v>2874</v>
      </c>
      <c r="J3" s="3229" t="s">
        <v>128</v>
      </c>
      <c r="K3" s="3229" t="s">
        <v>129</v>
      </c>
      <c r="L3" s="3228" t="s">
        <v>130</v>
      </c>
      <c r="M3" s="3228" t="s">
        <v>131</v>
      </c>
      <c r="N3" s="3228" t="s">
        <v>132</v>
      </c>
      <c r="O3" s="3228" t="s">
        <v>133</v>
      </c>
      <c r="P3" s="3228" t="s">
        <v>134</v>
      </c>
      <c r="Q3" s="3228" t="s">
        <v>135</v>
      </c>
      <c r="R3" s="3228" t="s">
        <v>136</v>
      </c>
      <c r="S3" s="3228" t="s">
        <v>2875</v>
      </c>
      <c r="T3" s="3228" t="s">
        <v>2876</v>
      </c>
    </row>
    <row r="4" spans="1:20" s="3230" customFormat="1" ht="12" thickBot="1">
      <c r="A4" s="3796"/>
      <c r="B4" s="3231" t="s">
        <v>2877</v>
      </c>
      <c r="C4" s="3231" t="s">
        <v>2878</v>
      </c>
      <c r="D4" s="3231" t="s">
        <v>2878</v>
      </c>
      <c r="E4" s="3231" t="s">
        <v>2878</v>
      </c>
      <c r="F4" s="3232" t="s">
        <v>2878</v>
      </c>
      <c r="G4" s="3232" t="s">
        <v>2878</v>
      </c>
      <c r="H4" s="3227"/>
      <c r="I4" s="3229" t="s">
        <v>137</v>
      </c>
      <c r="J4" s="3229" t="s">
        <v>111</v>
      </c>
      <c r="K4" s="3229" t="s">
        <v>138</v>
      </c>
      <c r="L4" s="3228" t="s">
        <v>139</v>
      </c>
      <c r="M4" s="3228" t="s">
        <v>140</v>
      </c>
      <c r="N4" s="3228" t="s">
        <v>141</v>
      </c>
      <c r="O4" s="3228" t="s">
        <v>142</v>
      </c>
      <c r="P4" s="3228" t="s">
        <v>143</v>
      </c>
      <c r="Q4" s="3228" t="s">
        <v>2879</v>
      </c>
      <c r="R4" s="3228" t="s">
        <v>2880</v>
      </c>
      <c r="S4" s="3228" t="s">
        <v>2881</v>
      </c>
      <c r="T4" s="3228" t="s">
        <v>2882</v>
      </c>
    </row>
    <row r="5" spans="1:20">
      <c r="A5" s="3233" t="s">
        <v>2845</v>
      </c>
      <c r="B5" s="3224" t="s">
        <v>2859</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2883</v>
      </c>
      <c r="R5" s="3228" t="s">
        <v>2884</v>
      </c>
      <c r="S5" s="3228" t="s">
        <v>153</v>
      </c>
      <c r="T5" s="3228" t="s">
        <v>2885</v>
      </c>
    </row>
    <row r="6" spans="1:20" ht="12" thickBot="1">
      <c r="A6" s="3228" t="s">
        <v>144</v>
      </c>
      <c r="B6" s="3228" t="s">
        <v>2874</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2886</v>
      </c>
      <c r="Q6" s="3228" t="s">
        <v>2887</v>
      </c>
      <c r="R6" s="3228" t="s">
        <v>161</v>
      </c>
      <c r="S6" s="3228" t="s">
        <v>2888</v>
      </c>
      <c r="T6" s="3228" t="s">
        <v>2889</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2890</v>
      </c>
      <c r="Q7" s="3228" t="s">
        <v>2891</v>
      </c>
      <c r="R7" s="3228" t="s">
        <v>2892</v>
      </c>
      <c r="S7" s="3228" t="s">
        <v>2893</v>
      </c>
      <c r="T7" s="3228" t="s">
        <v>2894</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2895</v>
      </c>
      <c r="Q8" s="3228" t="s">
        <v>174</v>
      </c>
      <c r="R8" s="3228" t="s">
        <v>2896</v>
      </c>
      <c r="S8" s="3228" t="s">
        <v>2897</v>
      </c>
      <c r="T8" s="3235" t="s">
        <v>2898</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2899</v>
      </c>
      <c r="Q9" s="3228" t="s">
        <v>182</v>
      </c>
      <c r="R9" s="3228" t="s">
        <v>183</v>
      </c>
      <c r="S9" s="3228" t="s">
        <v>200</v>
      </c>
    </row>
    <row r="10" spans="1:20">
      <c r="A10" s="3233" t="s">
        <v>184</v>
      </c>
      <c r="B10" s="3224" t="s">
        <v>2860</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2900</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2901</v>
      </c>
      <c r="P11" s="3228" t="s">
        <v>191</v>
      </c>
      <c r="Q11" s="3228" t="s">
        <v>199</v>
      </c>
      <c r="R11" s="3228" t="s">
        <v>2902</v>
      </c>
      <c r="S11" s="3228" t="s">
        <v>2903</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2904</v>
      </c>
      <c r="P12" s="3228" t="s">
        <v>2905</v>
      </c>
      <c r="Q12" s="3228" t="s">
        <v>2906</v>
      </c>
      <c r="R12" s="3228" t="s">
        <v>2907</v>
      </c>
      <c r="S12" s="3228" t="s">
        <v>2908</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2909</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2910</v>
      </c>
      <c r="K14" s="3229" t="s">
        <v>215</v>
      </c>
      <c r="L14" s="3228" t="s">
        <v>216</v>
      </c>
      <c r="M14" s="3228" t="s">
        <v>217</v>
      </c>
      <c r="N14" s="3228" t="s">
        <v>218</v>
      </c>
      <c r="O14" s="3228" t="s">
        <v>240</v>
      </c>
      <c r="P14" s="3228" t="s">
        <v>213</v>
      </c>
      <c r="Q14" s="3228" t="s">
        <v>2911</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2912</v>
      </c>
      <c r="P15" s="3228" t="s">
        <v>2913</v>
      </c>
      <c r="Q15" s="3228" t="s">
        <v>242</v>
      </c>
      <c r="R15" s="3228" t="s">
        <v>2914</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2915</v>
      </c>
      <c r="P16" s="3228" t="s">
        <v>227</v>
      </c>
      <c r="Q16" s="3228" t="s">
        <v>250</v>
      </c>
      <c r="R16" s="3228" t="s">
        <v>207</v>
      </c>
      <c r="S16" s="3228" t="s">
        <v>2916</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2917</v>
      </c>
      <c r="P17" s="3228" t="s">
        <v>2918</v>
      </c>
      <c r="Q17" s="3228" t="s">
        <v>256</v>
      </c>
      <c r="R17" s="3228" t="s">
        <v>2919</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2920</v>
      </c>
      <c r="P18" s="3228" t="s">
        <v>241</v>
      </c>
      <c r="Q18" s="3228" t="s">
        <v>2921</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2922</v>
      </c>
      <c r="P19" s="3228" t="s">
        <v>249</v>
      </c>
      <c r="Q19" s="3228" t="s">
        <v>2923</v>
      </c>
      <c r="R19" s="3228" t="s">
        <v>265</v>
      </c>
      <c r="S19" s="3228" t="s">
        <v>2924</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2925</v>
      </c>
      <c r="P20" s="3228" t="s">
        <v>2926</v>
      </c>
      <c r="Q20" s="3228" t="s">
        <v>290</v>
      </c>
      <c r="R20" s="3228" t="s">
        <v>2927</v>
      </c>
      <c r="S20" s="3228" t="s">
        <v>277</v>
      </c>
    </row>
    <row r="21" spans="1:19" ht="14.25" customHeight="1" thickBot="1">
      <c r="A21" s="3228" t="s">
        <v>184</v>
      </c>
      <c r="B21" s="3229" t="s">
        <v>208</v>
      </c>
      <c r="C21" s="3228">
        <v>32370</v>
      </c>
      <c r="D21" s="3228">
        <v>26730</v>
      </c>
      <c r="E21" s="3228">
        <v>26640</v>
      </c>
      <c r="F21" s="3228"/>
      <c r="G21" s="3228">
        <v>19440</v>
      </c>
      <c r="J21" s="3235" t="s">
        <v>2928</v>
      </c>
      <c r="K21" s="3229" t="s">
        <v>267</v>
      </c>
      <c r="L21" s="3228" t="s">
        <v>268</v>
      </c>
      <c r="M21" s="3228" t="s">
        <v>269</v>
      </c>
      <c r="N21" s="3228" t="s">
        <v>270</v>
      </c>
      <c r="O21" s="3228" t="s">
        <v>264</v>
      </c>
      <c r="P21" s="3228" t="s">
        <v>283</v>
      </c>
      <c r="Q21" s="3228" t="s">
        <v>293</v>
      </c>
      <c r="R21" s="3228" t="s">
        <v>2929</v>
      </c>
      <c r="S21" s="3235" t="s">
        <v>2930</v>
      </c>
    </row>
    <row r="22" spans="1:19" ht="14.25" customHeight="1">
      <c r="A22" s="3228" t="s">
        <v>184</v>
      </c>
      <c r="B22" s="3229" t="s">
        <v>2910</v>
      </c>
      <c r="C22" s="3228">
        <v>29830</v>
      </c>
      <c r="D22" s="3228">
        <v>27600</v>
      </c>
      <c r="E22" s="3228">
        <v>28150</v>
      </c>
      <c r="F22" s="3228"/>
      <c r="G22" s="3228">
        <v>20080</v>
      </c>
      <c r="K22" s="3229" t="s">
        <v>2931</v>
      </c>
      <c r="L22" s="3228" t="s">
        <v>272</v>
      </c>
      <c r="M22" s="3228" t="s">
        <v>273</v>
      </c>
      <c r="N22" s="3228" t="s">
        <v>274</v>
      </c>
      <c r="O22" s="3228" t="s">
        <v>2932</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2933</v>
      </c>
      <c r="L23" s="3228" t="s">
        <v>278</v>
      </c>
      <c r="M23" s="3228" t="s">
        <v>279</v>
      </c>
      <c r="N23" s="3228" t="s">
        <v>2934</v>
      </c>
      <c r="O23" s="3228" t="s">
        <v>2935</v>
      </c>
      <c r="P23" s="3228" t="s">
        <v>289</v>
      </c>
      <c r="Q23" s="3228" t="s">
        <v>298</v>
      </c>
      <c r="R23" s="3228" t="s">
        <v>2936</v>
      </c>
    </row>
    <row r="24" spans="1:19" ht="14.25" customHeight="1">
      <c r="A24" s="3228" t="s">
        <v>184</v>
      </c>
      <c r="B24" s="3229" t="s">
        <v>230</v>
      </c>
      <c r="C24" s="3228">
        <v>27930</v>
      </c>
      <c r="D24" s="3228">
        <v>32260</v>
      </c>
      <c r="E24" s="3228">
        <v>32120</v>
      </c>
      <c r="F24" s="3228"/>
      <c r="G24" s="3228">
        <v>23470</v>
      </c>
      <c r="K24" s="3229" t="s">
        <v>2937</v>
      </c>
      <c r="L24" s="3228" t="s">
        <v>281</v>
      </c>
      <c r="M24" s="3228" t="s">
        <v>282</v>
      </c>
      <c r="N24" s="3228" t="s">
        <v>2938</v>
      </c>
      <c r="O24" s="3228" t="s">
        <v>285</v>
      </c>
      <c r="P24" s="3228" t="s">
        <v>2939</v>
      </c>
      <c r="Q24" s="3237" t="s">
        <v>2940</v>
      </c>
      <c r="R24" s="3228" t="s">
        <v>2941</v>
      </c>
    </row>
    <row r="25" spans="1:19" ht="14.25" customHeight="1">
      <c r="A25" s="3228" t="s">
        <v>184</v>
      </c>
      <c r="B25" s="3229" t="s">
        <v>235</v>
      </c>
      <c r="C25" s="3228">
        <v>32230</v>
      </c>
      <c r="D25" s="3228">
        <v>29640</v>
      </c>
      <c r="E25" s="3228">
        <v>29510</v>
      </c>
      <c r="F25" s="3228"/>
      <c r="G25" s="3228">
        <v>21560</v>
      </c>
      <c r="K25" s="3229" t="s">
        <v>2942</v>
      </c>
      <c r="L25" s="3228" t="s">
        <v>2943</v>
      </c>
      <c r="M25" s="3228" t="s">
        <v>284</v>
      </c>
      <c r="N25" s="3228" t="s">
        <v>292</v>
      </c>
      <c r="O25" s="3228" t="s">
        <v>288</v>
      </c>
      <c r="P25" s="3228" t="s">
        <v>275</v>
      </c>
      <c r="Q25" s="3237" t="s">
        <v>271</v>
      </c>
      <c r="R25" s="3228" t="s">
        <v>2944</v>
      </c>
    </row>
    <row r="26" spans="1:19" ht="14.25" customHeight="1" thickBot="1">
      <c r="A26" s="3228" t="s">
        <v>184</v>
      </c>
      <c r="B26" s="3229" t="s">
        <v>244</v>
      </c>
      <c r="C26" s="3228">
        <v>31690</v>
      </c>
      <c r="D26" s="3228">
        <v>27650</v>
      </c>
      <c r="E26" s="3228">
        <v>28200</v>
      </c>
      <c r="F26" s="3228"/>
      <c r="G26" s="3228">
        <v>20110</v>
      </c>
      <c r="K26" s="3234" t="s">
        <v>2945</v>
      </c>
      <c r="L26" s="3228" t="s">
        <v>2946</v>
      </c>
      <c r="M26" s="3228" t="s">
        <v>287</v>
      </c>
      <c r="N26" s="3228" t="s">
        <v>294</v>
      </c>
      <c r="O26" s="3228" t="s">
        <v>2947</v>
      </c>
      <c r="P26" s="3228" t="s">
        <v>2948</v>
      </c>
      <c r="Q26" s="3237" t="s">
        <v>276</v>
      </c>
      <c r="R26" s="3228" t="s">
        <v>2949</v>
      </c>
    </row>
    <row r="27" spans="1:19" ht="14.25" customHeight="1">
      <c r="A27" s="3228" t="s">
        <v>184</v>
      </c>
      <c r="B27" s="3229" t="s">
        <v>251</v>
      </c>
      <c r="C27" s="3228">
        <v>29610</v>
      </c>
      <c r="D27" s="3228">
        <v>27770</v>
      </c>
      <c r="E27" s="3228">
        <v>28300</v>
      </c>
      <c r="F27" s="3228"/>
      <c r="G27" s="3228">
        <v>20210</v>
      </c>
      <c r="L27" s="3228" t="s">
        <v>2950</v>
      </c>
      <c r="M27" s="3228" t="s">
        <v>291</v>
      </c>
      <c r="N27" s="3228" t="s">
        <v>297</v>
      </c>
      <c r="O27" s="3228" t="s">
        <v>2951</v>
      </c>
      <c r="P27" s="3228" t="s">
        <v>2952</v>
      </c>
      <c r="Q27" s="3228" t="s">
        <v>2953</v>
      </c>
      <c r="R27" s="3228" t="s">
        <v>2954</v>
      </c>
    </row>
    <row r="28" spans="1:19" ht="14.25" customHeight="1">
      <c r="A28" s="3228" t="s">
        <v>184</v>
      </c>
      <c r="B28" s="3229" t="s">
        <v>259</v>
      </c>
      <c r="C28" s="3228"/>
      <c r="D28" s="3228">
        <v>31520</v>
      </c>
      <c r="E28" s="3228">
        <v>31410</v>
      </c>
      <c r="F28" s="3228"/>
      <c r="G28" s="3228">
        <v>22940</v>
      </c>
      <c r="L28" s="3228" t="s">
        <v>2955</v>
      </c>
      <c r="M28" s="3228" t="s">
        <v>2956</v>
      </c>
      <c r="N28" s="3228" t="s">
        <v>2957</v>
      </c>
      <c r="O28" s="3228" t="s">
        <v>2958</v>
      </c>
      <c r="P28" s="3228" t="s">
        <v>2959</v>
      </c>
      <c r="Q28" s="3228" t="s">
        <v>2960</v>
      </c>
      <c r="R28" s="3228" t="s">
        <v>2961</v>
      </c>
    </row>
    <row r="29" spans="1:19" ht="14.25" customHeight="1" thickBot="1">
      <c r="A29" s="3236" t="s">
        <v>184</v>
      </c>
      <c r="B29" s="3238" t="s">
        <v>2928</v>
      </c>
      <c r="C29" s="3239"/>
      <c r="D29" s="3239">
        <v>29460</v>
      </c>
      <c r="E29" s="3239">
        <v>28640</v>
      </c>
      <c r="F29" s="3239"/>
      <c r="G29" s="3239">
        <v>21430</v>
      </c>
      <c r="L29" s="3228" t="s">
        <v>2962</v>
      </c>
      <c r="M29" s="3228" t="s">
        <v>2963</v>
      </c>
      <c r="N29" s="3228" t="s">
        <v>2964</v>
      </c>
      <c r="O29" s="3228" t="s">
        <v>2965</v>
      </c>
      <c r="P29" s="3228" t="s">
        <v>2966</v>
      </c>
      <c r="Q29" s="3228" t="s">
        <v>2967</v>
      </c>
      <c r="R29" s="3228" t="s">
        <v>280</v>
      </c>
    </row>
    <row r="30" spans="1:19" ht="14.25" customHeight="1">
      <c r="A30" s="3233" t="s">
        <v>296</v>
      </c>
      <c r="B30" s="3224" t="s">
        <v>2861</v>
      </c>
      <c r="C30" s="3224">
        <v>26890</v>
      </c>
      <c r="D30" s="3224">
        <v>26770</v>
      </c>
      <c r="E30" s="3224">
        <v>25700</v>
      </c>
      <c r="F30" s="3224">
        <v>8180</v>
      </c>
      <c r="G30" s="3240">
        <v>18740</v>
      </c>
      <c r="L30" s="3228" t="s">
        <v>2968</v>
      </c>
      <c r="M30" s="3228" t="s">
        <v>2969</v>
      </c>
      <c r="N30" s="3228" t="s">
        <v>2970</v>
      </c>
      <c r="O30" s="3228" t="s">
        <v>2971</v>
      </c>
      <c r="P30" s="3228" t="s">
        <v>2972</v>
      </c>
      <c r="Q30" s="3228" t="s">
        <v>2973</v>
      </c>
      <c r="R30" s="3228" t="s">
        <v>2974</v>
      </c>
    </row>
    <row r="31" spans="1:19" ht="14.25" customHeight="1">
      <c r="A31" s="3228" t="s">
        <v>296</v>
      </c>
      <c r="B31" s="3229" t="s">
        <v>129</v>
      </c>
      <c r="C31" s="3228">
        <v>24550</v>
      </c>
      <c r="D31" s="3228">
        <v>23990</v>
      </c>
      <c r="E31" s="3228">
        <v>22930</v>
      </c>
      <c r="F31" s="3228">
        <v>7470</v>
      </c>
      <c r="G31" s="3241">
        <v>16790</v>
      </c>
      <c r="L31" s="3228" t="s">
        <v>2975</v>
      </c>
      <c r="M31" s="3228" t="s">
        <v>2976</v>
      </c>
      <c r="N31" s="3228" t="s">
        <v>2977</v>
      </c>
      <c r="O31" s="3228" t="s">
        <v>2978</v>
      </c>
      <c r="P31" s="3228" t="s">
        <v>2979</v>
      </c>
      <c r="Q31" s="3228" t="s">
        <v>2980</v>
      </c>
      <c r="R31" s="3228" t="s">
        <v>2981</v>
      </c>
    </row>
    <row r="32" spans="1:19" ht="14.25" customHeight="1" thickBot="1">
      <c r="A32" s="3228" t="s">
        <v>296</v>
      </c>
      <c r="B32" s="3229" t="s">
        <v>138</v>
      </c>
      <c r="C32" s="3228">
        <v>27210</v>
      </c>
      <c r="D32" s="3228">
        <v>23240</v>
      </c>
      <c r="E32" s="3228">
        <v>23260</v>
      </c>
      <c r="F32" s="3228">
        <v>7130</v>
      </c>
      <c r="G32" s="3241">
        <v>16270</v>
      </c>
      <c r="L32" s="3228" t="s">
        <v>2982</v>
      </c>
      <c r="M32" s="3228" t="s">
        <v>2983</v>
      </c>
      <c r="N32" s="3228" t="s">
        <v>300</v>
      </c>
      <c r="O32" s="3228" t="s">
        <v>2984</v>
      </c>
      <c r="P32" s="3228" t="s">
        <v>299</v>
      </c>
      <c r="Q32" s="3228" t="s">
        <v>2985</v>
      </c>
      <c r="R32" s="3235" t="s">
        <v>2986</v>
      </c>
    </row>
    <row r="33" spans="1:17" ht="14.25" customHeight="1" thickBot="1">
      <c r="A33" s="3228" t="s">
        <v>296</v>
      </c>
      <c r="B33" s="3229" t="s">
        <v>147</v>
      </c>
      <c r="C33" s="3228">
        <v>27300</v>
      </c>
      <c r="D33" s="3228">
        <v>22980</v>
      </c>
      <c r="E33" s="3228">
        <v>24260</v>
      </c>
      <c r="F33" s="3228">
        <v>5860</v>
      </c>
      <c r="G33" s="3241">
        <v>16090</v>
      </c>
      <c r="L33" s="3235" t="s">
        <v>2987</v>
      </c>
      <c r="M33" s="3228" t="s">
        <v>2988</v>
      </c>
      <c r="N33" s="3228" t="s">
        <v>301</v>
      </c>
      <c r="O33" s="3228" t="s">
        <v>2989</v>
      </c>
      <c r="P33" s="3228" t="s">
        <v>2990</v>
      </c>
      <c r="Q33" s="3228" t="s">
        <v>2991</v>
      </c>
    </row>
    <row r="34" spans="1:17" ht="14.25" customHeight="1">
      <c r="A34" s="3228" t="s">
        <v>296</v>
      </c>
      <c r="B34" s="3229" t="s">
        <v>156</v>
      </c>
      <c r="C34" s="3228">
        <v>23090</v>
      </c>
      <c r="D34" s="3228">
        <v>23390</v>
      </c>
      <c r="E34" s="3228">
        <v>23510</v>
      </c>
      <c r="F34" s="3228">
        <v>6700</v>
      </c>
      <c r="G34" s="3241">
        <v>16370</v>
      </c>
      <c r="M34" s="3228" t="s">
        <v>2992</v>
      </c>
      <c r="N34" s="3228" t="s">
        <v>302</v>
      </c>
      <c r="O34" s="3228" t="s">
        <v>2993</v>
      </c>
      <c r="P34" s="3228" t="s">
        <v>2994</v>
      </c>
      <c r="Q34" s="3228" t="s">
        <v>2995</v>
      </c>
    </row>
    <row r="35" spans="1:17" ht="14.25" customHeight="1">
      <c r="A35" s="3228" t="s">
        <v>296</v>
      </c>
      <c r="B35" s="3229" t="s">
        <v>163</v>
      </c>
      <c r="C35" s="3228">
        <v>27270</v>
      </c>
      <c r="D35" s="3228">
        <v>24270</v>
      </c>
      <c r="E35" s="3228">
        <v>24950</v>
      </c>
      <c r="F35" s="3228">
        <v>6600</v>
      </c>
      <c r="G35" s="3241">
        <v>16990</v>
      </c>
      <c r="M35" s="3228" t="s">
        <v>2996</v>
      </c>
      <c r="N35" s="3228" t="s">
        <v>2997</v>
      </c>
      <c r="O35" s="3228" t="s">
        <v>2998</v>
      </c>
      <c r="P35" s="3228" t="s">
        <v>2999</v>
      </c>
      <c r="Q35" s="3228" t="s">
        <v>3000</v>
      </c>
    </row>
    <row r="36" spans="1:17" ht="14.25" customHeight="1">
      <c r="A36" s="3228" t="s">
        <v>296</v>
      </c>
      <c r="B36" s="3229" t="s">
        <v>169</v>
      </c>
      <c r="C36" s="3228">
        <v>23490</v>
      </c>
      <c r="D36" s="3228">
        <v>23020</v>
      </c>
      <c r="E36" s="3228">
        <v>25230</v>
      </c>
      <c r="F36" s="3228">
        <v>6780</v>
      </c>
      <c r="G36" s="3241">
        <v>16120</v>
      </c>
      <c r="M36" s="3228" t="s">
        <v>3001</v>
      </c>
      <c r="N36" s="3228" t="s">
        <v>3002</v>
      </c>
      <c r="O36" s="3228" t="s">
        <v>3003</v>
      </c>
      <c r="P36" s="3228" t="s">
        <v>3004</v>
      </c>
      <c r="Q36" s="3228" t="s">
        <v>3005</v>
      </c>
    </row>
    <row r="37" spans="1:17" ht="14.25" customHeight="1">
      <c r="A37" s="3228" t="s">
        <v>296</v>
      </c>
      <c r="B37" s="3229" t="s">
        <v>176</v>
      </c>
      <c r="C37" s="3228">
        <v>24380</v>
      </c>
      <c r="D37" s="3228">
        <v>22240</v>
      </c>
      <c r="E37" s="3228">
        <v>25980</v>
      </c>
      <c r="F37" s="3228">
        <v>8160</v>
      </c>
      <c r="G37" s="3241">
        <v>15570</v>
      </c>
      <c r="M37" s="3228" t="s">
        <v>3006</v>
      </c>
      <c r="N37" s="3228" t="s">
        <v>3007</v>
      </c>
      <c r="O37" s="3228" t="s">
        <v>3008</v>
      </c>
      <c r="P37" s="3228" t="s">
        <v>3009</v>
      </c>
      <c r="Q37" s="3228" t="s">
        <v>3010</v>
      </c>
    </row>
    <row r="38" spans="1:17" ht="14.25" customHeight="1">
      <c r="A38" s="3228" t="s">
        <v>296</v>
      </c>
      <c r="B38" s="3229" t="s">
        <v>186</v>
      </c>
      <c r="C38" s="3228">
        <v>23120</v>
      </c>
      <c r="D38" s="3228">
        <v>24630</v>
      </c>
      <c r="E38" s="3228">
        <v>25030</v>
      </c>
      <c r="F38" s="3228">
        <v>7710</v>
      </c>
      <c r="G38" s="3241">
        <v>17240</v>
      </c>
      <c r="M38" s="3228" t="s">
        <v>3011</v>
      </c>
      <c r="N38" s="3228" t="s">
        <v>3012</v>
      </c>
      <c r="O38" s="3228" t="s">
        <v>3013</v>
      </c>
      <c r="P38" s="3228" t="s">
        <v>3014</v>
      </c>
      <c r="Q38" s="3228" t="s">
        <v>3015</v>
      </c>
    </row>
    <row r="39" spans="1:17" ht="14.25" customHeight="1">
      <c r="A39" s="3228" t="s">
        <v>296</v>
      </c>
      <c r="B39" s="3229" t="s">
        <v>195</v>
      </c>
      <c r="C39" s="3228">
        <v>22330</v>
      </c>
      <c r="D39" s="3228">
        <v>21140</v>
      </c>
      <c r="E39" s="3228">
        <v>23970</v>
      </c>
      <c r="F39" s="3228">
        <v>7940</v>
      </c>
      <c r="G39" s="3241">
        <v>14790</v>
      </c>
      <c r="M39" s="3228" t="s">
        <v>3016</v>
      </c>
      <c r="N39" s="3228" t="s">
        <v>3017</v>
      </c>
      <c r="O39" s="3228" t="s">
        <v>3018</v>
      </c>
      <c r="P39" s="3228" t="s">
        <v>3019</v>
      </c>
      <c r="Q39" s="3228" t="s">
        <v>3020</v>
      </c>
    </row>
    <row r="40" spans="1:17" ht="14.25" customHeight="1">
      <c r="A40" s="3228" t="s">
        <v>296</v>
      </c>
      <c r="B40" s="3229" t="s">
        <v>202</v>
      </c>
      <c r="C40" s="3228">
        <v>24740</v>
      </c>
      <c r="D40" s="3228">
        <v>24690</v>
      </c>
      <c r="E40" s="3228">
        <v>22610</v>
      </c>
      <c r="F40" s="3228"/>
      <c r="G40" s="3241">
        <v>17280</v>
      </c>
      <c r="M40" s="3228" t="s">
        <v>3021</v>
      </c>
      <c r="N40" s="3228" t="s">
        <v>3022</v>
      </c>
      <c r="O40" s="3228" t="s">
        <v>3023</v>
      </c>
      <c r="P40" s="3228" t="s">
        <v>3024</v>
      </c>
      <c r="Q40" s="3228" t="s">
        <v>3025</v>
      </c>
    </row>
    <row r="41" spans="1:17" ht="14.25" customHeight="1" thickBot="1">
      <c r="A41" s="3228" t="s">
        <v>296</v>
      </c>
      <c r="B41" s="3229" t="s">
        <v>209</v>
      </c>
      <c r="C41" s="3228">
        <v>21220</v>
      </c>
      <c r="D41" s="3228">
        <v>21120</v>
      </c>
      <c r="E41" s="3228">
        <v>22590</v>
      </c>
      <c r="F41" s="3228"/>
      <c r="G41" s="3241">
        <v>14780</v>
      </c>
      <c r="M41" s="3235" t="s">
        <v>3026</v>
      </c>
      <c r="N41" s="3228" t="s">
        <v>3027</v>
      </c>
      <c r="O41" s="3228" t="s">
        <v>3028</v>
      </c>
      <c r="P41" s="3228" t="s">
        <v>3029</v>
      </c>
      <c r="Q41" s="3228" t="s">
        <v>3030</v>
      </c>
    </row>
    <row r="42" spans="1:17" ht="14.25" customHeight="1">
      <c r="A42" s="3228" t="s">
        <v>296</v>
      </c>
      <c r="B42" s="3229" t="s">
        <v>215</v>
      </c>
      <c r="C42" s="3228">
        <v>24800</v>
      </c>
      <c r="D42" s="3228">
        <v>22280</v>
      </c>
      <c r="E42" s="3228">
        <v>24350</v>
      </c>
      <c r="F42" s="3228"/>
      <c r="G42" s="3241">
        <v>15590</v>
      </c>
      <c r="N42" s="3228" t="s">
        <v>3031</v>
      </c>
      <c r="O42" s="3228" t="s">
        <v>3032</v>
      </c>
      <c r="P42" s="3228" t="s">
        <v>3033</v>
      </c>
      <c r="Q42" s="3228" t="s">
        <v>3034</v>
      </c>
    </row>
    <row r="43" spans="1:17" ht="14.25" customHeight="1">
      <c r="A43" s="3228" t="s">
        <v>3035</v>
      </c>
      <c r="B43" s="3229" t="s">
        <v>223</v>
      </c>
      <c r="C43" s="3228">
        <v>21210</v>
      </c>
      <c r="D43" s="3228">
        <v>21160</v>
      </c>
      <c r="E43" s="3228">
        <v>22650</v>
      </c>
      <c r="F43" s="3228"/>
      <c r="G43" s="3241">
        <v>14800</v>
      </c>
      <c r="N43" s="3228" t="s">
        <v>3036</v>
      </c>
      <c r="O43" s="3228" t="s">
        <v>3037</v>
      </c>
      <c r="P43" s="3228" t="s">
        <v>3038</v>
      </c>
      <c r="Q43" s="3228" t="s">
        <v>3039</v>
      </c>
    </row>
    <row r="44" spans="1:17" ht="14.25" customHeight="1" thickBot="1">
      <c r="A44" s="3228" t="s">
        <v>296</v>
      </c>
      <c r="B44" s="3229" t="s">
        <v>231</v>
      </c>
      <c r="C44" s="3228">
        <v>22370</v>
      </c>
      <c r="D44" s="3228">
        <v>23140</v>
      </c>
      <c r="E44" s="3228">
        <v>25090</v>
      </c>
      <c r="F44" s="3228"/>
      <c r="G44" s="3241">
        <v>16190</v>
      </c>
      <c r="N44" s="3228" t="s">
        <v>3040</v>
      </c>
      <c r="O44" s="3228" t="s">
        <v>3041</v>
      </c>
      <c r="P44" s="3235" t="s">
        <v>3042</v>
      </c>
      <c r="Q44" s="3228" t="s">
        <v>3043</v>
      </c>
    </row>
    <row r="45" spans="1:17" ht="14.25" customHeight="1" thickBot="1">
      <c r="A45" s="3228" t="s">
        <v>296</v>
      </c>
      <c r="B45" s="3229" t="s">
        <v>236</v>
      </c>
      <c r="C45" s="3228">
        <v>21240</v>
      </c>
      <c r="D45" s="3228">
        <v>27050</v>
      </c>
      <c r="E45" s="3228">
        <v>28000</v>
      </c>
      <c r="F45" s="3228"/>
      <c r="G45" s="3241">
        <v>18940</v>
      </c>
      <c r="N45" s="3228" t="s">
        <v>3044</v>
      </c>
      <c r="O45" s="3235" t="s">
        <v>3045</v>
      </c>
      <c r="Q45" s="3228" t="s">
        <v>3046</v>
      </c>
    </row>
    <row r="46" spans="1:17" ht="14.25" customHeight="1">
      <c r="A46" s="3228" t="s">
        <v>296</v>
      </c>
      <c r="B46" s="3229" t="s">
        <v>245</v>
      </c>
      <c r="C46" s="3228">
        <v>23240</v>
      </c>
      <c r="D46" s="3228">
        <v>23000</v>
      </c>
      <c r="E46" s="3228">
        <v>24980</v>
      </c>
      <c r="F46" s="3228"/>
      <c r="G46" s="3241">
        <v>16100</v>
      </c>
      <c r="N46" s="3228" t="s">
        <v>3047</v>
      </c>
      <c r="Q46" s="3228" t="s">
        <v>3048</v>
      </c>
    </row>
    <row r="47" spans="1:17" ht="14.25" customHeight="1">
      <c r="A47" s="3228" t="s">
        <v>296</v>
      </c>
      <c r="B47" s="3229" t="s">
        <v>252</v>
      </c>
      <c r="C47" s="3228">
        <v>27150</v>
      </c>
      <c r="D47" s="3228">
        <v>23310</v>
      </c>
      <c r="E47" s="3228">
        <v>25150</v>
      </c>
      <c r="F47" s="3228"/>
      <c r="G47" s="3241">
        <v>16310</v>
      </c>
      <c r="N47" s="3228" t="s">
        <v>3049</v>
      </c>
      <c r="Q47" s="3228" t="s">
        <v>3050</v>
      </c>
    </row>
    <row r="48" spans="1:17" ht="14.25" customHeight="1">
      <c r="A48" s="3228" t="s">
        <v>296</v>
      </c>
      <c r="B48" s="3229" t="s">
        <v>260</v>
      </c>
      <c r="C48" s="3228">
        <v>23100</v>
      </c>
      <c r="D48" s="3228">
        <v>21110</v>
      </c>
      <c r="E48" s="3228">
        <v>23080</v>
      </c>
      <c r="F48" s="3228"/>
      <c r="G48" s="3241">
        <v>14780</v>
      </c>
      <c r="N48" s="3228" t="s">
        <v>3051</v>
      </c>
      <c r="Q48" s="3228" t="s">
        <v>3052</v>
      </c>
    </row>
    <row r="49" spans="1:17" ht="14.25" customHeight="1">
      <c r="A49" s="3228" t="s">
        <v>296</v>
      </c>
      <c r="B49" s="3229" t="s">
        <v>267</v>
      </c>
      <c r="C49" s="3228">
        <v>23400</v>
      </c>
      <c r="D49" s="3228">
        <v>22920</v>
      </c>
      <c r="E49" s="3228">
        <v>24900</v>
      </c>
      <c r="F49" s="3228"/>
      <c r="G49" s="3241">
        <v>16040</v>
      </c>
      <c r="N49" s="3228" t="s">
        <v>3053</v>
      </c>
      <c r="Q49" s="3228" t="s">
        <v>3054</v>
      </c>
    </row>
    <row r="50" spans="1:17" ht="14.25" customHeight="1">
      <c r="A50" s="3228" t="s">
        <v>296</v>
      </c>
      <c r="B50" s="3229" t="s">
        <v>2931</v>
      </c>
      <c r="C50" s="3228">
        <v>21200</v>
      </c>
      <c r="D50" s="3228">
        <v>26540</v>
      </c>
      <c r="E50" s="3228">
        <v>23200</v>
      </c>
      <c r="F50" s="3228"/>
      <c r="G50" s="3241">
        <v>18580</v>
      </c>
      <c r="N50" s="3228" t="s">
        <v>3055</v>
      </c>
      <c r="Q50" s="3229" t="s">
        <v>3056</v>
      </c>
    </row>
    <row r="51" spans="1:17" ht="14.25" customHeight="1" thickBot="1">
      <c r="A51" s="3228" t="s">
        <v>296</v>
      </c>
      <c r="B51" s="3229" t="s">
        <v>2933</v>
      </c>
      <c r="C51" s="3228">
        <v>23000</v>
      </c>
      <c r="D51" s="3228">
        <v>23460</v>
      </c>
      <c r="E51" s="3228">
        <v>25290</v>
      </c>
      <c r="F51" s="3228"/>
      <c r="G51" s="3241">
        <v>16420</v>
      </c>
      <c r="N51" s="3228" t="s">
        <v>3057</v>
      </c>
      <c r="Q51" s="3235" t="s">
        <v>3058</v>
      </c>
    </row>
    <row r="52" spans="1:17" ht="14.25" customHeight="1">
      <c r="A52" s="3228" t="s">
        <v>296</v>
      </c>
      <c r="B52" s="3229" t="s">
        <v>2937</v>
      </c>
      <c r="C52" s="3228">
        <v>26660</v>
      </c>
      <c r="D52" s="3228">
        <v>22350</v>
      </c>
      <c r="E52" s="3228">
        <v>22920</v>
      </c>
      <c r="F52" s="3228"/>
      <c r="G52" s="3241">
        <v>15640</v>
      </c>
      <c r="N52" s="3228" t="s">
        <v>3059</v>
      </c>
    </row>
    <row r="53" spans="1:17" ht="14.25" customHeight="1">
      <c r="A53" s="3228" t="s">
        <v>296</v>
      </c>
      <c r="B53" s="3229" t="s">
        <v>2942</v>
      </c>
      <c r="C53" s="3228">
        <v>23580</v>
      </c>
      <c r="D53" s="3228"/>
      <c r="E53" s="3228">
        <v>24280</v>
      </c>
      <c r="F53" s="3228"/>
      <c r="G53" s="3241"/>
      <c r="N53" s="3228" t="s">
        <v>3060</v>
      </c>
    </row>
    <row r="54" spans="1:17" ht="14.25" customHeight="1" thickBot="1">
      <c r="A54" s="3242" t="s">
        <v>296</v>
      </c>
      <c r="B54" s="3234" t="s">
        <v>2945</v>
      </c>
      <c r="C54" s="3235">
        <v>22460</v>
      </c>
      <c r="D54" s="3235"/>
      <c r="E54" s="3235"/>
      <c r="F54" s="3235"/>
      <c r="G54" s="3243"/>
      <c r="N54" s="3228" t="s">
        <v>3061</v>
      </c>
    </row>
    <row r="55" spans="1:17" ht="14.25" customHeight="1">
      <c r="A55" s="3233" t="s">
        <v>110</v>
      </c>
      <c r="B55" s="3224" t="s">
        <v>3062</v>
      </c>
      <c r="C55" s="3228">
        <v>21970</v>
      </c>
      <c r="D55" s="3228">
        <v>20370</v>
      </c>
      <c r="E55" s="3228">
        <v>20180</v>
      </c>
      <c r="F55" s="3228">
        <v>5730</v>
      </c>
      <c r="G55" s="3228">
        <v>13820</v>
      </c>
      <c r="N55" s="3228" t="s">
        <v>3063</v>
      </c>
    </row>
    <row r="56" spans="1:17" ht="14.25" customHeight="1">
      <c r="A56" s="3228" t="s">
        <v>110</v>
      </c>
      <c r="B56" s="3228" t="s">
        <v>130</v>
      </c>
      <c r="C56" s="3228">
        <v>20470</v>
      </c>
      <c r="D56" s="3228">
        <v>20700</v>
      </c>
      <c r="E56" s="3228">
        <v>20380</v>
      </c>
      <c r="F56" s="3228">
        <v>4760</v>
      </c>
      <c r="G56" s="3228">
        <v>14050</v>
      </c>
      <c r="N56" s="3228" t="s">
        <v>3064</v>
      </c>
    </row>
    <row r="57" spans="1:17" ht="14.25" customHeight="1">
      <c r="A57" s="3228" t="s">
        <v>110</v>
      </c>
      <c r="B57" s="3228" t="s">
        <v>139</v>
      </c>
      <c r="C57" s="3228">
        <v>20790</v>
      </c>
      <c r="D57" s="3228">
        <v>21370</v>
      </c>
      <c r="E57" s="3228">
        <v>20890</v>
      </c>
      <c r="F57" s="3228">
        <v>4910</v>
      </c>
      <c r="G57" s="3228">
        <v>14510</v>
      </c>
      <c r="N57" s="3228" t="s">
        <v>3065</v>
      </c>
    </row>
    <row r="58" spans="1:17" ht="14.25" customHeight="1">
      <c r="A58" s="3228" t="s">
        <v>110</v>
      </c>
      <c r="B58" s="3228" t="s">
        <v>148</v>
      </c>
      <c r="C58" s="3228">
        <v>21460</v>
      </c>
      <c r="D58" s="3228">
        <v>20920</v>
      </c>
      <c r="E58" s="3228">
        <v>23410</v>
      </c>
      <c r="F58" s="3228">
        <v>5100</v>
      </c>
      <c r="G58" s="3228">
        <v>14200</v>
      </c>
      <c r="N58" s="3228" t="s">
        <v>3066</v>
      </c>
    </row>
    <row r="59" spans="1:17" ht="14.25" customHeight="1">
      <c r="A59" s="3228" t="s">
        <v>110</v>
      </c>
      <c r="B59" s="3228" t="s">
        <v>157</v>
      </c>
      <c r="C59" s="3228">
        <v>21000</v>
      </c>
      <c r="D59" s="3228">
        <v>21550</v>
      </c>
      <c r="E59" s="3228">
        <v>21150</v>
      </c>
      <c r="F59" s="3228">
        <v>5250</v>
      </c>
      <c r="G59" s="3228">
        <v>14630</v>
      </c>
      <c r="N59" s="3228" t="s">
        <v>3067</v>
      </c>
    </row>
    <row r="60" spans="1:17" ht="14.25" customHeight="1">
      <c r="A60" s="3228" t="s">
        <v>110</v>
      </c>
      <c r="B60" s="3228" t="s">
        <v>164</v>
      </c>
      <c r="C60" s="3228">
        <v>21640</v>
      </c>
      <c r="D60" s="3228">
        <v>21260</v>
      </c>
      <c r="E60" s="3228">
        <v>24040</v>
      </c>
      <c r="F60" s="3228">
        <v>4470</v>
      </c>
      <c r="G60" s="3228">
        <v>14430</v>
      </c>
      <c r="N60" s="3228" t="s">
        <v>3068</v>
      </c>
    </row>
    <row r="61" spans="1:17" ht="14.25" customHeight="1">
      <c r="A61" s="3228" t="s">
        <v>110</v>
      </c>
      <c r="B61" s="3228" t="s">
        <v>170</v>
      </c>
      <c r="C61" s="3228">
        <v>21330</v>
      </c>
      <c r="D61" s="3228">
        <v>18640</v>
      </c>
      <c r="E61" s="3228">
        <v>21190</v>
      </c>
      <c r="F61" s="3228">
        <v>4180</v>
      </c>
      <c r="G61" s="3228">
        <v>12650</v>
      </c>
      <c r="N61" s="3228" t="s">
        <v>3069</v>
      </c>
    </row>
    <row r="62" spans="1:17" ht="14.25" customHeight="1">
      <c r="A62" s="3228" t="s">
        <v>110</v>
      </c>
      <c r="B62" s="3228" t="s">
        <v>177</v>
      </c>
      <c r="C62" s="3228">
        <v>18710</v>
      </c>
      <c r="D62" s="3228">
        <v>19400</v>
      </c>
      <c r="E62" s="3228">
        <v>23750</v>
      </c>
      <c r="F62" s="3228">
        <v>4860</v>
      </c>
      <c r="G62" s="3228">
        <v>13170</v>
      </c>
      <c r="N62" s="3228" t="s">
        <v>3070</v>
      </c>
    </row>
    <row r="63" spans="1:17" ht="14.25" customHeight="1">
      <c r="A63" s="3228" t="s">
        <v>110</v>
      </c>
      <c r="B63" s="3228" t="s">
        <v>187</v>
      </c>
      <c r="C63" s="3228">
        <v>19480</v>
      </c>
      <c r="D63" s="3228">
        <v>16830</v>
      </c>
      <c r="E63" s="3228">
        <v>21590</v>
      </c>
      <c r="F63" s="3228">
        <v>4560</v>
      </c>
      <c r="G63" s="3228">
        <v>11420</v>
      </c>
      <c r="N63" s="3228" t="s">
        <v>3071</v>
      </c>
    </row>
    <row r="64" spans="1:17" ht="14.25" customHeight="1" thickBot="1">
      <c r="A64" s="3228" t="s">
        <v>110</v>
      </c>
      <c r="B64" s="3228" t="s">
        <v>196</v>
      </c>
      <c r="C64" s="3228">
        <v>16920</v>
      </c>
      <c r="D64" s="3228">
        <v>19190</v>
      </c>
      <c r="E64" s="3228">
        <v>22200</v>
      </c>
      <c r="F64" s="3228">
        <v>4390</v>
      </c>
      <c r="G64" s="3228">
        <v>13030</v>
      </c>
      <c r="N64" s="3235" t="s">
        <v>3072</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2943</v>
      </c>
      <c r="C78" s="3228">
        <v>19820</v>
      </c>
      <c r="D78" s="3228">
        <v>19780</v>
      </c>
      <c r="E78" s="3228">
        <v>18560</v>
      </c>
      <c r="F78" s="3228"/>
      <c r="G78" s="3228">
        <v>13430</v>
      </c>
    </row>
    <row r="79" spans="1:7" s="3217" customFormat="1" ht="14.25" customHeight="1">
      <c r="A79" s="3228" t="s">
        <v>110</v>
      </c>
      <c r="B79" s="3228" t="s">
        <v>2946</v>
      </c>
      <c r="C79" s="3228">
        <v>21660</v>
      </c>
      <c r="D79" s="3228">
        <v>18000</v>
      </c>
      <c r="E79" s="3228">
        <v>22570</v>
      </c>
      <c r="F79" s="3228"/>
      <c r="G79" s="3228">
        <v>12220</v>
      </c>
    </row>
    <row r="80" spans="1:7" s="3217" customFormat="1" ht="14.25" customHeight="1">
      <c r="A80" s="3228" t="s">
        <v>110</v>
      </c>
      <c r="B80" s="3228" t="s">
        <v>2950</v>
      </c>
      <c r="C80" s="3228">
        <v>19850</v>
      </c>
      <c r="D80" s="3228"/>
      <c r="E80" s="3228">
        <v>21700</v>
      </c>
      <c r="F80" s="3228"/>
      <c r="G80" s="3228"/>
    </row>
    <row r="81" spans="1:7" s="3217" customFormat="1" ht="14.25" customHeight="1">
      <c r="A81" s="3228" t="s">
        <v>110</v>
      </c>
      <c r="B81" s="3228" t="s">
        <v>2955</v>
      </c>
      <c r="C81" s="3228">
        <v>18080</v>
      </c>
      <c r="D81" s="3228"/>
      <c r="E81" s="3228">
        <v>20900</v>
      </c>
      <c r="F81" s="3228"/>
      <c r="G81" s="3228"/>
    </row>
    <row r="82" spans="1:7" s="3217" customFormat="1" ht="14.25" customHeight="1">
      <c r="A82" s="3228" t="s">
        <v>110</v>
      </c>
      <c r="B82" s="3228" t="s">
        <v>2962</v>
      </c>
      <c r="C82" s="3228"/>
      <c r="D82" s="3228"/>
      <c r="E82" s="3228">
        <v>20840</v>
      </c>
      <c r="F82" s="3228"/>
      <c r="G82" s="3228"/>
    </row>
    <row r="83" spans="1:7" s="3217" customFormat="1" ht="14.25" customHeight="1">
      <c r="A83" s="3228" t="s">
        <v>110</v>
      </c>
      <c r="B83" s="3228" t="s">
        <v>3073</v>
      </c>
      <c r="C83" s="3228"/>
      <c r="D83" s="3228"/>
      <c r="E83" s="3228"/>
      <c r="F83" s="3228">
        <v>4770</v>
      </c>
      <c r="G83" s="3228"/>
    </row>
    <row r="84" spans="1:7" s="3217" customFormat="1" ht="14.25" customHeight="1">
      <c r="A84" s="3228" t="s">
        <v>110</v>
      </c>
      <c r="B84" s="3228" t="s">
        <v>3074</v>
      </c>
      <c r="C84" s="3228"/>
      <c r="D84" s="3228"/>
      <c r="E84" s="3228"/>
      <c r="F84" s="3228">
        <v>4600</v>
      </c>
      <c r="G84" s="3228"/>
    </row>
    <row r="85" spans="1:7" s="3217" customFormat="1" ht="14.25" customHeight="1">
      <c r="A85" s="3228" t="s">
        <v>110</v>
      </c>
      <c r="B85" s="3228" t="s">
        <v>3075</v>
      </c>
      <c r="C85" s="3228"/>
      <c r="D85" s="3228"/>
      <c r="E85" s="3228"/>
      <c r="F85" s="3228">
        <v>4680</v>
      </c>
      <c r="G85" s="3228"/>
    </row>
    <row r="86" spans="1:7" s="3217" customFormat="1" ht="14.25" customHeight="1" thickBot="1">
      <c r="A86" s="3236" t="s">
        <v>110</v>
      </c>
      <c r="B86" s="3238" t="s">
        <v>3076</v>
      </c>
      <c r="C86" s="3239">
        <v>16610</v>
      </c>
      <c r="D86" s="3239">
        <v>16540</v>
      </c>
      <c r="E86" s="3239">
        <v>18850</v>
      </c>
      <c r="F86" s="3239"/>
      <c r="G86" s="3239">
        <v>11220</v>
      </c>
    </row>
    <row r="87" spans="1:7" s="3217" customFormat="1" ht="14.25" customHeight="1">
      <c r="A87" s="3233" t="s">
        <v>303</v>
      </c>
      <c r="B87" s="3224" t="s">
        <v>3077</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2956</v>
      </c>
      <c r="C113" s="3228">
        <v>15520</v>
      </c>
      <c r="D113" s="3228">
        <v>15450</v>
      </c>
      <c r="E113" s="3228"/>
      <c r="F113" s="3228"/>
      <c r="G113" s="3241">
        <v>10210</v>
      </c>
    </row>
    <row r="114" spans="1:7" s="3217" customFormat="1" ht="14.25" customHeight="1">
      <c r="A114" s="3228" t="s">
        <v>303</v>
      </c>
      <c r="B114" s="3228" t="s">
        <v>2963</v>
      </c>
      <c r="C114" s="3228">
        <v>13110</v>
      </c>
      <c r="D114" s="3228">
        <v>13050</v>
      </c>
      <c r="E114" s="3228"/>
      <c r="F114" s="3228"/>
      <c r="G114" s="3241">
        <v>8620</v>
      </c>
    </row>
    <row r="115" spans="1:7" s="3217" customFormat="1" ht="14.25" customHeight="1">
      <c r="A115" s="3228" t="s">
        <v>303</v>
      </c>
      <c r="B115" s="3228" t="s">
        <v>2969</v>
      </c>
      <c r="C115" s="3228">
        <v>12460</v>
      </c>
      <c r="D115" s="3228">
        <v>12390</v>
      </c>
      <c r="E115" s="3228"/>
      <c r="F115" s="3228"/>
      <c r="G115" s="3241">
        <v>8190</v>
      </c>
    </row>
    <row r="116" spans="1:7" s="3217" customFormat="1" ht="14.25" customHeight="1">
      <c r="A116" s="3228" t="s">
        <v>303</v>
      </c>
      <c r="B116" s="3228" t="s">
        <v>2976</v>
      </c>
      <c r="C116" s="3228">
        <v>13580</v>
      </c>
      <c r="D116" s="3228">
        <v>13520</v>
      </c>
      <c r="E116" s="3228"/>
      <c r="F116" s="3228"/>
      <c r="G116" s="3241">
        <v>8930</v>
      </c>
    </row>
    <row r="117" spans="1:7" s="3217" customFormat="1" ht="14.25" customHeight="1">
      <c r="A117" s="3228" t="s">
        <v>303</v>
      </c>
      <c r="B117" s="3228" t="s">
        <v>2983</v>
      </c>
      <c r="C117" s="3228">
        <v>17120</v>
      </c>
      <c r="D117" s="3228">
        <v>17040</v>
      </c>
      <c r="E117" s="3228"/>
      <c r="F117" s="3228"/>
      <c r="G117" s="3241">
        <v>11260</v>
      </c>
    </row>
    <row r="118" spans="1:7" s="3217" customFormat="1" ht="14.25" customHeight="1">
      <c r="A118" s="3228" t="s">
        <v>303</v>
      </c>
      <c r="B118" s="3228" t="s">
        <v>2988</v>
      </c>
      <c r="C118" s="3228">
        <v>14860</v>
      </c>
      <c r="D118" s="3228">
        <v>14790</v>
      </c>
      <c r="E118" s="3228"/>
      <c r="F118" s="3228"/>
      <c r="G118" s="3241">
        <v>9780</v>
      </c>
    </row>
    <row r="119" spans="1:7" s="3217" customFormat="1" ht="14.25" customHeight="1">
      <c r="A119" s="3228" t="s">
        <v>303</v>
      </c>
      <c r="B119" s="3228" t="s">
        <v>2992</v>
      </c>
      <c r="C119" s="3228">
        <v>16470</v>
      </c>
      <c r="D119" s="3228">
        <v>16400</v>
      </c>
      <c r="E119" s="3228"/>
      <c r="F119" s="3228"/>
      <c r="G119" s="3241">
        <v>10840</v>
      </c>
    </row>
    <row r="120" spans="1:7" s="3217" customFormat="1" ht="14.25" customHeight="1">
      <c r="A120" s="3228" t="s">
        <v>303</v>
      </c>
      <c r="B120" s="3228" t="s">
        <v>3078</v>
      </c>
      <c r="C120" s="3228"/>
      <c r="D120" s="3228"/>
      <c r="E120" s="3228"/>
      <c r="F120" s="3228">
        <v>4160</v>
      </c>
      <c r="G120" s="3241"/>
    </row>
    <row r="121" spans="1:7" s="3217" customFormat="1" ht="14.25" customHeight="1">
      <c r="A121" s="3228" t="s">
        <v>303</v>
      </c>
      <c r="B121" s="3228" t="s">
        <v>3079</v>
      </c>
      <c r="C121" s="3228"/>
      <c r="D121" s="3228"/>
      <c r="E121" s="3228"/>
      <c r="F121" s="3228">
        <v>3880</v>
      </c>
      <c r="G121" s="3241"/>
    </row>
    <row r="122" spans="1:7" s="3217" customFormat="1" ht="14.25" customHeight="1">
      <c r="A122" s="3228" t="s">
        <v>303</v>
      </c>
      <c r="B122" s="3228" t="s">
        <v>3080</v>
      </c>
      <c r="C122" s="3228">
        <v>13750</v>
      </c>
      <c r="D122" s="3228">
        <v>13680</v>
      </c>
      <c r="E122" s="3228">
        <v>16460</v>
      </c>
      <c r="F122" s="3228">
        <v>2880</v>
      </c>
      <c r="G122" s="3241">
        <v>9040</v>
      </c>
    </row>
    <row r="123" spans="1:7" s="3217" customFormat="1" ht="14.25" customHeight="1">
      <c r="A123" s="3228" t="s">
        <v>303</v>
      </c>
      <c r="B123" s="3228" t="s">
        <v>3011</v>
      </c>
      <c r="C123" s="3228">
        <v>13590</v>
      </c>
      <c r="D123" s="3228">
        <v>13520</v>
      </c>
      <c r="E123" s="3228">
        <v>16290</v>
      </c>
      <c r="F123" s="3228">
        <v>2790</v>
      </c>
      <c r="G123" s="3241">
        <v>8930</v>
      </c>
    </row>
    <row r="124" spans="1:7" s="3217" customFormat="1" ht="14.25" customHeight="1">
      <c r="A124" s="3228" t="s">
        <v>303</v>
      </c>
      <c r="B124" s="3228" t="s">
        <v>3016</v>
      </c>
      <c r="C124" s="3228">
        <v>13400</v>
      </c>
      <c r="D124" s="3228">
        <v>13320</v>
      </c>
      <c r="E124" s="3228">
        <v>16100</v>
      </c>
      <c r="F124" s="3228">
        <v>2320</v>
      </c>
      <c r="G124" s="3241">
        <v>8800</v>
      </c>
    </row>
    <row r="125" spans="1:7" s="3217" customFormat="1" ht="14.25" customHeight="1">
      <c r="A125" s="3228" t="s">
        <v>303</v>
      </c>
      <c r="B125" s="3228" t="s">
        <v>3021</v>
      </c>
      <c r="C125" s="3228">
        <v>12860</v>
      </c>
      <c r="D125" s="3228">
        <v>12790</v>
      </c>
      <c r="E125" s="3228">
        <v>15370</v>
      </c>
      <c r="F125" s="3228">
        <v>2280</v>
      </c>
      <c r="G125" s="3241">
        <v>8450</v>
      </c>
    </row>
    <row r="126" spans="1:7" s="3217" customFormat="1" ht="14.25" customHeight="1" thickBot="1">
      <c r="A126" s="3242" t="s">
        <v>303</v>
      </c>
      <c r="B126" s="3235" t="s">
        <v>3026</v>
      </c>
      <c r="C126" s="3235">
        <v>12960</v>
      </c>
      <c r="D126" s="3235">
        <v>12890</v>
      </c>
      <c r="E126" s="3235">
        <v>15530</v>
      </c>
      <c r="F126" s="3235">
        <v>2910</v>
      </c>
      <c r="G126" s="3243">
        <v>8520</v>
      </c>
    </row>
    <row r="127" spans="1:7" s="3217" customFormat="1" ht="14.25" customHeight="1">
      <c r="A127" s="3233" t="s">
        <v>29</v>
      </c>
      <c r="B127" s="3224" t="s">
        <v>3081</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3082</v>
      </c>
      <c r="C148" s="3228">
        <v>10370</v>
      </c>
      <c r="D148" s="3228">
        <v>10310</v>
      </c>
      <c r="E148" s="3228">
        <v>12970</v>
      </c>
      <c r="F148" s="3228"/>
      <c r="G148" s="3228">
        <v>6630</v>
      </c>
    </row>
    <row r="149" spans="1:7" s="3217" customFormat="1" ht="14.25" customHeight="1">
      <c r="A149" s="3228" t="s">
        <v>29</v>
      </c>
      <c r="B149" s="3228" t="s">
        <v>3083</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2957</v>
      </c>
      <c r="C153" s="3228">
        <v>10880</v>
      </c>
      <c r="D153" s="3228">
        <v>10820</v>
      </c>
      <c r="E153" s="3228">
        <v>13660</v>
      </c>
      <c r="F153" s="3228">
        <v>2260</v>
      </c>
      <c r="G153" s="3228">
        <v>6970</v>
      </c>
    </row>
    <row r="154" spans="1:7" s="3217" customFormat="1" ht="14.25" customHeight="1">
      <c r="A154" s="3228" t="s">
        <v>29</v>
      </c>
      <c r="B154" s="3228" t="s">
        <v>3084</v>
      </c>
      <c r="C154" s="3228">
        <v>11220</v>
      </c>
      <c r="D154" s="3228">
        <v>11160</v>
      </c>
      <c r="E154" s="3228">
        <v>14130</v>
      </c>
      <c r="F154" s="3228">
        <v>2230</v>
      </c>
      <c r="G154" s="3228">
        <v>7180</v>
      </c>
    </row>
    <row r="155" spans="1:7" s="3217" customFormat="1" ht="14.25" customHeight="1">
      <c r="A155" s="3228" t="s">
        <v>29</v>
      </c>
      <c r="B155" s="3228" t="s">
        <v>2970</v>
      </c>
      <c r="C155" s="3228">
        <v>10430</v>
      </c>
      <c r="D155" s="3228">
        <v>10380</v>
      </c>
      <c r="E155" s="3228">
        <v>13140</v>
      </c>
      <c r="F155" s="3228">
        <v>2080</v>
      </c>
      <c r="G155" s="3228">
        <v>6650</v>
      </c>
    </row>
    <row r="156" spans="1:7" s="3217" customFormat="1" ht="14.25" customHeight="1">
      <c r="A156" s="3228" t="s">
        <v>29</v>
      </c>
      <c r="B156" s="3228" t="s">
        <v>3085</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3086</v>
      </c>
      <c r="C160" s="3228">
        <v>11180</v>
      </c>
      <c r="D160" s="3228">
        <v>11140</v>
      </c>
      <c r="E160" s="3228">
        <v>14050</v>
      </c>
      <c r="F160" s="3228">
        <v>2270</v>
      </c>
      <c r="G160" s="3228">
        <v>7170</v>
      </c>
    </row>
    <row r="161" spans="1:7" s="3217" customFormat="1" ht="14.25" customHeight="1">
      <c r="A161" s="3228" t="s">
        <v>29</v>
      </c>
      <c r="B161" s="3228" t="s">
        <v>3002</v>
      </c>
      <c r="C161" s="3228">
        <v>11160</v>
      </c>
      <c r="D161" s="3228">
        <v>11120</v>
      </c>
      <c r="E161" s="3228">
        <v>14020</v>
      </c>
      <c r="F161" s="3228">
        <v>2150</v>
      </c>
      <c r="G161" s="3228">
        <v>7160</v>
      </c>
    </row>
    <row r="162" spans="1:7" s="3217" customFormat="1" ht="14.25" customHeight="1">
      <c r="A162" s="3228" t="s">
        <v>29</v>
      </c>
      <c r="B162" s="3228" t="s">
        <v>3007</v>
      </c>
      <c r="C162" s="3228">
        <v>9620</v>
      </c>
      <c r="D162" s="3228">
        <v>9570</v>
      </c>
      <c r="E162" s="3228">
        <v>12320</v>
      </c>
      <c r="F162" s="3228">
        <v>2010</v>
      </c>
      <c r="G162" s="3228">
        <v>6160</v>
      </c>
    </row>
    <row r="163" spans="1:7" s="3217" customFormat="1" ht="14.25" customHeight="1">
      <c r="A163" s="3228" t="s">
        <v>29</v>
      </c>
      <c r="B163" s="3228" t="s">
        <v>3012</v>
      </c>
      <c r="C163" s="3228">
        <v>9320</v>
      </c>
      <c r="D163" s="3228">
        <v>9270</v>
      </c>
      <c r="E163" s="3228">
        <v>11790</v>
      </c>
      <c r="F163" s="3228">
        <v>1920</v>
      </c>
      <c r="G163" s="3228">
        <v>5960</v>
      </c>
    </row>
    <row r="164" spans="1:7" s="3217" customFormat="1" ht="14.25" customHeight="1">
      <c r="A164" s="3228" t="s">
        <v>29</v>
      </c>
      <c r="B164" s="3228" t="s">
        <v>3017</v>
      </c>
      <c r="C164" s="3228"/>
      <c r="D164" s="3228"/>
      <c r="E164" s="3228"/>
      <c r="F164" s="3228">
        <v>1980</v>
      </c>
      <c r="G164" s="3228"/>
    </row>
    <row r="165" spans="1:7" s="3217" customFormat="1" ht="14.25" customHeight="1">
      <c r="A165" s="3228" t="s">
        <v>29</v>
      </c>
      <c r="B165" s="3228" t="s">
        <v>3087</v>
      </c>
      <c r="C165" s="3228">
        <v>11060</v>
      </c>
      <c r="D165" s="3228">
        <v>11030</v>
      </c>
      <c r="E165" s="3228">
        <v>13850</v>
      </c>
      <c r="F165" s="3228">
        <v>2170</v>
      </c>
      <c r="G165" s="3228">
        <v>7090</v>
      </c>
    </row>
    <row r="166" spans="1:7" s="3217" customFormat="1" ht="14.25" customHeight="1">
      <c r="A166" s="3228" t="s">
        <v>29</v>
      </c>
      <c r="B166" s="3228" t="s">
        <v>3027</v>
      </c>
      <c r="C166" s="3228">
        <v>11050</v>
      </c>
      <c r="D166" s="3228">
        <v>11010</v>
      </c>
      <c r="E166" s="3228">
        <v>13920</v>
      </c>
      <c r="F166" s="3228">
        <v>2140</v>
      </c>
      <c r="G166" s="3228">
        <v>7080</v>
      </c>
    </row>
    <row r="167" spans="1:7" s="3217" customFormat="1" ht="14.25" customHeight="1">
      <c r="A167" s="3228" t="s">
        <v>29</v>
      </c>
      <c r="B167" s="3228" t="s">
        <v>3031</v>
      </c>
      <c r="C167" s="3228">
        <v>10930</v>
      </c>
      <c r="D167" s="3228">
        <v>10890</v>
      </c>
      <c r="E167" s="3228">
        <v>13790</v>
      </c>
      <c r="F167" s="3228">
        <v>2010</v>
      </c>
      <c r="G167" s="3228">
        <v>7000</v>
      </c>
    </row>
    <row r="168" spans="1:7" s="3217" customFormat="1" ht="14.25" customHeight="1">
      <c r="A168" s="3228" t="s">
        <v>29</v>
      </c>
      <c r="B168" s="3228" t="s">
        <v>3036</v>
      </c>
      <c r="C168" s="3228">
        <v>9420</v>
      </c>
      <c r="D168" s="3228">
        <v>9380</v>
      </c>
      <c r="E168" s="3228">
        <v>11970</v>
      </c>
      <c r="F168" s="3228"/>
      <c r="G168" s="3228">
        <v>6040</v>
      </c>
    </row>
    <row r="169" spans="1:7" s="3217" customFormat="1" ht="14.25" customHeight="1">
      <c r="A169" s="3228" t="s">
        <v>29</v>
      </c>
      <c r="B169" s="3228" t="s">
        <v>3088</v>
      </c>
      <c r="C169" s="3228"/>
      <c r="D169" s="3228"/>
      <c r="E169" s="3228"/>
      <c r="F169" s="3228">
        <v>2880</v>
      </c>
      <c r="G169" s="3228"/>
    </row>
    <row r="170" spans="1:7" s="3217" customFormat="1" ht="14.25" customHeight="1">
      <c r="A170" s="3228" t="s">
        <v>29</v>
      </c>
      <c r="B170" s="3228" t="s">
        <v>3044</v>
      </c>
      <c r="C170" s="3228"/>
      <c r="D170" s="3228"/>
      <c r="E170" s="3228"/>
      <c r="F170" s="3228">
        <v>2880</v>
      </c>
      <c r="G170" s="3228"/>
    </row>
    <row r="171" spans="1:7" s="3217" customFormat="1" ht="14.25" customHeight="1">
      <c r="A171" s="3228" t="s">
        <v>29</v>
      </c>
      <c r="B171" s="3228" t="s">
        <v>3047</v>
      </c>
      <c r="C171" s="3228"/>
      <c r="D171" s="3228"/>
      <c r="E171" s="3228"/>
      <c r="F171" s="3228">
        <v>2880</v>
      </c>
      <c r="G171" s="3228"/>
    </row>
    <row r="172" spans="1:7" s="3217" customFormat="1" ht="14.25" customHeight="1">
      <c r="A172" s="3228" t="s">
        <v>29</v>
      </c>
      <c r="B172" s="3228" t="s">
        <v>3049</v>
      </c>
      <c r="C172" s="3228"/>
      <c r="D172" s="3228"/>
      <c r="E172" s="3228"/>
      <c r="F172" s="3228">
        <v>2880</v>
      </c>
      <c r="G172" s="3228"/>
    </row>
    <row r="173" spans="1:7" s="3217" customFormat="1" ht="14.25" customHeight="1">
      <c r="A173" s="3228" t="s">
        <v>29</v>
      </c>
      <c r="B173" s="3228" t="s">
        <v>3051</v>
      </c>
      <c r="C173" s="3228"/>
      <c r="D173" s="3228"/>
      <c r="E173" s="3228"/>
      <c r="F173" s="3228">
        <v>2150</v>
      </c>
      <c r="G173" s="3228"/>
    </row>
    <row r="174" spans="1:7" s="3217" customFormat="1" ht="14.25" customHeight="1">
      <c r="A174" s="3228" t="s">
        <v>29</v>
      </c>
      <c r="B174" s="3228" t="s">
        <v>3053</v>
      </c>
      <c r="C174" s="3228"/>
      <c r="D174" s="3228"/>
      <c r="E174" s="3228"/>
      <c r="F174" s="3228">
        <v>2030</v>
      </c>
      <c r="G174" s="3228"/>
    </row>
    <row r="175" spans="1:7" s="3217" customFormat="1" ht="14.25" customHeight="1">
      <c r="A175" s="3228" t="s">
        <v>29</v>
      </c>
      <c r="B175" s="3228" t="s">
        <v>3055</v>
      </c>
      <c r="C175" s="3228"/>
      <c r="D175" s="3228"/>
      <c r="E175" s="3228"/>
      <c r="F175" s="3228">
        <v>2780</v>
      </c>
      <c r="G175" s="3228"/>
    </row>
    <row r="176" spans="1:7" s="3217" customFormat="1" ht="14.25" customHeight="1">
      <c r="A176" s="3228" t="s">
        <v>29</v>
      </c>
      <c r="B176" s="3228" t="s">
        <v>3057</v>
      </c>
      <c r="C176" s="3228"/>
      <c r="D176" s="3228"/>
      <c r="E176" s="3228"/>
      <c r="F176" s="3228">
        <v>2780</v>
      </c>
      <c r="G176" s="3228"/>
    </row>
    <row r="177" spans="1:7" s="3217" customFormat="1" ht="14.25" customHeight="1">
      <c r="A177" s="3228" t="s">
        <v>29</v>
      </c>
      <c r="B177" s="3228" t="s">
        <v>3089</v>
      </c>
      <c r="C177" s="3228"/>
      <c r="D177" s="3228"/>
      <c r="E177" s="3228"/>
      <c r="F177" s="3228">
        <v>2780</v>
      </c>
      <c r="G177" s="3228"/>
    </row>
    <row r="178" spans="1:7" s="3217" customFormat="1" ht="14.25" customHeight="1">
      <c r="A178" s="3228" t="s">
        <v>29</v>
      </c>
      <c r="B178" s="3228" t="s">
        <v>3090</v>
      </c>
      <c r="C178" s="3228"/>
      <c r="D178" s="3228"/>
      <c r="E178" s="3228"/>
      <c r="F178" s="3228">
        <v>2060</v>
      </c>
      <c r="G178" s="3228"/>
    </row>
    <row r="179" spans="1:7" s="3217" customFormat="1" ht="14.25" customHeight="1">
      <c r="A179" s="3228" t="s">
        <v>29</v>
      </c>
      <c r="B179" s="3228" t="s">
        <v>3091</v>
      </c>
      <c r="C179" s="3228"/>
      <c r="D179" s="3228"/>
      <c r="E179" s="3228"/>
      <c r="F179" s="3228">
        <v>2120</v>
      </c>
      <c r="G179" s="3228"/>
    </row>
    <row r="180" spans="1:7" s="3217" customFormat="1" ht="14.25" customHeight="1">
      <c r="A180" s="3228" t="s">
        <v>29</v>
      </c>
      <c r="B180" s="3228" t="s">
        <v>3063</v>
      </c>
      <c r="C180" s="3228"/>
      <c r="D180" s="3228"/>
      <c r="E180" s="3228"/>
      <c r="F180" s="3228">
        <v>2340</v>
      </c>
      <c r="G180" s="3228"/>
    </row>
    <row r="181" spans="1:7" s="3217" customFormat="1" ht="14.25" customHeight="1">
      <c r="A181" s="3228" t="s">
        <v>29</v>
      </c>
      <c r="B181" s="3228" t="s">
        <v>3064</v>
      </c>
      <c r="C181" s="3228"/>
      <c r="D181" s="3228"/>
      <c r="E181" s="3228"/>
      <c r="F181" s="3228">
        <v>2340</v>
      </c>
      <c r="G181" s="3228"/>
    </row>
    <row r="182" spans="1:7" s="3217" customFormat="1" ht="14.25" customHeight="1">
      <c r="A182" s="3228" t="s">
        <v>29</v>
      </c>
      <c r="B182" s="3228" t="s">
        <v>3065</v>
      </c>
      <c r="C182" s="3228"/>
      <c r="D182" s="3228"/>
      <c r="E182" s="3228"/>
      <c r="F182" s="3228">
        <v>2340</v>
      </c>
      <c r="G182" s="3228"/>
    </row>
    <row r="183" spans="1:7" s="3217" customFormat="1" ht="14.25" customHeight="1">
      <c r="A183" s="3228" t="s">
        <v>29</v>
      </c>
      <c r="B183" s="3228" t="s">
        <v>3066</v>
      </c>
      <c r="C183" s="3228"/>
      <c r="D183" s="3228"/>
      <c r="E183" s="3228"/>
      <c r="F183" s="3228">
        <v>2340</v>
      </c>
      <c r="G183" s="3228"/>
    </row>
    <row r="184" spans="1:7" s="3217" customFormat="1" ht="14.25" customHeight="1">
      <c r="A184" s="3228" t="s">
        <v>29</v>
      </c>
      <c r="B184" s="3228" t="s">
        <v>3067</v>
      </c>
      <c r="C184" s="3228"/>
      <c r="D184" s="3228"/>
      <c r="E184" s="3228"/>
      <c r="F184" s="3228">
        <v>2340</v>
      </c>
      <c r="G184" s="3228"/>
    </row>
    <row r="185" spans="1:7" s="3217" customFormat="1" ht="14.25" customHeight="1">
      <c r="A185" s="3228" t="s">
        <v>29</v>
      </c>
      <c r="B185" s="3228" t="s">
        <v>3068</v>
      </c>
      <c r="C185" s="3228"/>
      <c r="D185" s="3228"/>
      <c r="E185" s="3228"/>
      <c r="F185" s="3228">
        <v>2530</v>
      </c>
      <c r="G185" s="3228"/>
    </row>
    <row r="186" spans="1:7" s="3217" customFormat="1" ht="14.25" customHeight="1">
      <c r="A186" s="3228" t="s">
        <v>29</v>
      </c>
      <c r="B186" s="3228" t="s">
        <v>3069</v>
      </c>
      <c r="C186" s="3228"/>
      <c r="D186" s="3228"/>
      <c r="E186" s="3228"/>
      <c r="F186" s="3228">
        <v>2550</v>
      </c>
      <c r="G186" s="3228"/>
    </row>
    <row r="187" spans="1:7" s="3217" customFormat="1" ht="14.25" customHeight="1">
      <c r="A187" s="3228" t="s">
        <v>29</v>
      </c>
      <c r="B187" s="3228" t="s">
        <v>3070</v>
      </c>
      <c r="C187" s="3228"/>
      <c r="D187" s="3228"/>
      <c r="E187" s="3228"/>
      <c r="F187" s="3228">
        <v>2070</v>
      </c>
      <c r="G187" s="3228"/>
    </row>
    <row r="188" spans="1:7" s="3217" customFormat="1" ht="14.25" customHeight="1">
      <c r="A188" s="3228" t="s">
        <v>29</v>
      </c>
      <c r="B188" s="3228" t="s">
        <v>3071</v>
      </c>
      <c r="C188" s="3228"/>
      <c r="D188" s="3228"/>
      <c r="E188" s="3228"/>
      <c r="F188" s="3228">
        <v>2340</v>
      </c>
      <c r="G188" s="3228"/>
    </row>
    <row r="189" spans="1:7" s="3217" customFormat="1" ht="14.25" customHeight="1" thickBot="1">
      <c r="A189" s="3236" t="s">
        <v>29</v>
      </c>
      <c r="B189" s="3239" t="s">
        <v>3072</v>
      </c>
      <c r="C189" s="3239"/>
      <c r="D189" s="3239"/>
      <c r="E189" s="3239"/>
      <c r="F189" s="3239">
        <v>2050</v>
      </c>
      <c r="G189" s="3239"/>
    </row>
    <row r="190" spans="1:7" s="3217" customFormat="1" ht="14.25" customHeight="1">
      <c r="A190" s="3233" t="s">
        <v>304</v>
      </c>
      <c r="B190" s="3224" t="s">
        <v>3092</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3093</v>
      </c>
      <c r="C199" s="3228">
        <v>8690</v>
      </c>
      <c r="D199" s="3228">
        <v>8630</v>
      </c>
      <c r="E199" s="3228">
        <v>11350</v>
      </c>
      <c r="F199" s="3228">
        <v>1600</v>
      </c>
      <c r="G199" s="3241">
        <v>5450</v>
      </c>
    </row>
    <row r="200" spans="1:7" s="3217" customFormat="1" ht="14.25" customHeight="1">
      <c r="A200" s="3228" t="s">
        <v>304</v>
      </c>
      <c r="B200" s="3228" t="s">
        <v>2904</v>
      </c>
      <c r="C200" s="3228"/>
      <c r="D200" s="3228"/>
      <c r="E200" s="3228"/>
      <c r="F200" s="3228">
        <v>1510</v>
      </c>
      <c r="G200" s="3241"/>
    </row>
    <row r="201" spans="1:7" s="3217" customFormat="1" ht="14.25" customHeight="1">
      <c r="A201" s="3228" t="s">
        <v>304</v>
      </c>
      <c r="B201" s="3228" t="s">
        <v>3094</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3095</v>
      </c>
      <c r="C203" s="3228">
        <v>8130</v>
      </c>
      <c r="D203" s="3228">
        <v>8070</v>
      </c>
      <c r="E203" s="3228">
        <v>10820</v>
      </c>
      <c r="F203" s="3228">
        <v>1690</v>
      </c>
      <c r="G203" s="3241">
        <v>5100</v>
      </c>
    </row>
    <row r="204" spans="1:7" s="3217" customFormat="1" ht="14.25" customHeight="1">
      <c r="A204" s="3228" t="s">
        <v>304</v>
      </c>
      <c r="B204" s="3228" t="s">
        <v>2915</v>
      </c>
      <c r="C204" s="3228">
        <v>8350</v>
      </c>
      <c r="D204" s="3228">
        <v>8290</v>
      </c>
      <c r="E204" s="3228">
        <v>11080</v>
      </c>
      <c r="F204" s="3228">
        <v>1450</v>
      </c>
      <c r="G204" s="3241">
        <v>5240</v>
      </c>
    </row>
    <row r="205" spans="1:7" s="3217" customFormat="1" ht="14.25" customHeight="1">
      <c r="A205" s="3228" t="s">
        <v>304</v>
      </c>
      <c r="B205" s="3228" t="s">
        <v>2917</v>
      </c>
      <c r="C205" s="3228">
        <v>7190</v>
      </c>
      <c r="D205" s="3228">
        <v>7130</v>
      </c>
      <c r="E205" s="3228">
        <v>9490</v>
      </c>
      <c r="F205" s="3228">
        <v>1470</v>
      </c>
      <c r="G205" s="3241">
        <v>4510</v>
      </c>
    </row>
    <row r="206" spans="1:7" s="3217" customFormat="1" ht="14.25" customHeight="1">
      <c r="A206" s="3228" t="s">
        <v>304</v>
      </c>
      <c r="B206" s="3228" t="s">
        <v>2920</v>
      </c>
      <c r="C206" s="3228">
        <v>7000</v>
      </c>
      <c r="D206" s="3228">
        <v>6950</v>
      </c>
      <c r="E206" s="3228">
        <v>9170</v>
      </c>
      <c r="F206" s="3228">
        <v>1400</v>
      </c>
      <c r="G206" s="3241">
        <v>4380</v>
      </c>
    </row>
    <row r="207" spans="1:7" s="3217" customFormat="1" ht="14.25" customHeight="1">
      <c r="A207" s="3228" t="s">
        <v>304</v>
      </c>
      <c r="B207" s="3228" t="s">
        <v>2922</v>
      </c>
      <c r="C207" s="3228">
        <v>6950</v>
      </c>
      <c r="D207" s="3228">
        <v>6900</v>
      </c>
      <c r="E207" s="3228">
        <v>9110</v>
      </c>
      <c r="F207" s="3228">
        <v>1790</v>
      </c>
      <c r="G207" s="3241">
        <v>4360</v>
      </c>
    </row>
    <row r="208" spans="1:7" s="3217" customFormat="1" ht="14.25" customHeight="1">
      <c r="A208" s="3228" t="s">
        <v>304</v>
      </c>
      <c r="B208" s="3228" t="s">
        <v>3096</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2932</v>
      </c>
      <c r="C210" s="3228">
        <v>8710</v>
      </c>
      <c r="D210" s="3228">
        <v>8660</v>
      </c>
      <c r="E210" s="3228">
        <v>11440</v>
      </c>
      <c r="F210" s="3228">
        <v>1740</v>
      </c>
      <c r="G210" s="3241">
        <v>5470</v>
      </c>
    </row>
    <row r="211" spans="1:7" s="3217" customFormat="1" ht="14.25" customHeight="1">
      <c r="A211" s="3228" t="s">
        <v>304</v>
      </c>
      <c r="B211" s="3228" t="s">
        <v>3097</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3098</v>
      </c>
      <c r="C214" s="3228">
        <v>8090</v>
      </c>
      <c r="D214" s="3228">
        <v>8030</v>
      </c>
      <c r="E214" s="3228">
        <v>10780</v>
      </c>
      <c r="F214" s="3228">
        <v>1570</v>
      </c>
      <c r="G214" s="3241">
        <v>5070</v>
      </c>
    </row>
    <row r="215" spans="1:7" s="3217" customFormat="1" ht="14.25" customHeight="1">
      <c r="A215" s="3228" t="s">
        <v>304</v>
      </c>
      <c r="B215" s="3228" t="s">
        <v>3099</v>
      </c>
      <c r="C215" s="3228">
        <v>7950</v>
      </c>
      <c r="D215" s="3228">
        <v>7900</v>
      </c>
      <c r="E215" s="3228">
        <v>10560</v>
      </c>
      <c r="F215" s="3228">
        <v>1630</v>
      </c>
      <c r="G215" s="3241">
        <v>4990</v>
      </c>
    </row>
    <row r="216" spans="1:7" s="3217" customFormat="1" ht="14.25" customHeight="1">
      <c r="A216" s="3228" t="s">
        <v>304</v>
      </c>
      <c r="B216" s="3228" t="s">
        <v>3100</v>
      </c>
      <c r="C216" s="3228">
        <v>8490</v>
      </c>
      <c r="D216" s="3228">
        <v>8440</v>
      </c>
      <c r="E216" s="3228">
        <v>11260</v>
      </c>
      <c r="F216" s="3228">
        <v>1690</v>
      </c>
      <c r="G216" s="3241">
        <v>5330</v>
      </c>
    </row>
    <row r="217" spans="1:7" s="3217" customFormat="1" ht="14.25" customHeight="1">
      <c r="A217" s="3228" t="s">
        <v>304</v>
      </c>
      <c r="B217" s="3228" t="s">
        <v>2965</v>
      </c>
      <c r="C217" s="3228">
        <v>8200</v>
      </c>
      <c r="D217" s="3228">
        <v>8150</v>
      </c>
      <c r="E217" s="3228">
        <v>10910</v>
      </c>
      <c r="F217" s="3228">
        <v>1670</v>
      </c>
      <c r="G217" s="3241">
        <v>5150</v>
      </c>
    </row>
    <row r="218" spans="1:7" s="3217" customFormat="1" ht="14.25" customHeight="1">
      <c r="A218" s="3228" t="s">
        <v>304</v>
      </c>
      <c r="B218" s="3228" t="s">
        <v>3101</v>
      </c>
      <c r="C218" s="3228"/>
      <c r="D218" s="3228"/>
      <c r="E218" s="3228"/>
      <c r="F218" s="3228">
        <v>2040</v>
      </c>
      <c r="G218" s="3241"/>
    </row>
    <row r="219" spans="1:7" s="3217" customFormat="1" ht="14.25" customHeight="1">
      <c r="A219" s="3228" t="s">
        <v>304</v>
      </c>
      <c r="B219" s="3228" t="s">
        <v>3102</v>
      </c>
      <c r="C219" s="3228"/>
      <c r="D219" s="3228"/>
      <c r="E219" s="3228"/>
      <c r="F219" s="3228">
        <v>2040</v>
      </c>
      <c r="G219" s="3241"/>
    </row>
    <row r="220" spans="1:7" s="3217" customFormat="1" ht="14.25" customHeight="1">
      <c r="A220" s="3228" t="s">
        <v>304</v>
      </c>
      <c r="B220" s="3228" t="s">
        <v>3103</v>
      </c>
      <c r="C220" s="3228"/>
      <c r="D220" s="3228"/>
      <c r="E220" s="3228"/>
      <c r="F220" s="3228">
        <v>2040</v>
      </c>
      <c r="G220" s="3241"/>
    </row>
    <row r="221" spans="1:7" s="3217" customFormat="1" ht="14.25" customHeight="1">
      <c r="A221" s="3228" t="s">
        <v>304</v>
      </c>
      <c r="B221" s="3228" t="s">
        <v>3104</v>
      </c>
      <c r="C221" s="3228"/>
      <c r="D221" s="3228"/>
      <c r="E221" s="3228"/>
      <c r="F221" s="3228">
        <v>2040</v>
      </c>
      <c r="G221" s="3241"/>
    </row>
    <row r="222" spans="1:7" s="3217" customFormat="1" ht="14.25" customHeight="1">
      <c r="A222" s="3228" t="s">
        <v>304</v>
      </c>
      <c r="B222" s="3228" t="s">
        <v>3105</v>
      </c>
      <c r="C222" s="3228"/>
      <c r="D222" s="3228"/>
      <c r="E222" s="3228"/>
      <c r="F222" s="3228">
        <v>2040</v>
      </c>
      <c r="G222" s="3241"/>
    </row>
    <row r="223" spans="1:7" s="3217" customFormat="1" ht="14.25" customHeight="1">
      <c r="A223" s="3228" t="s">
        <v>304</v>
      </c>
      <c r="B223" s="3228" t="s">
        <v>3106</v>
      </c>
      <c r="C223" s="3228"/>
      <c r="D223" s="3228"/>
      <c r="E223" s="3228"/>
      <c r="F223" s="3228">
        <v>1930</v>
      </c>
      <c r="G223" s="3241"/>
    </row>
    <row r="224" spans="1:7" s="3217" customFormat="1" ht="14.25" customHeight="1">
      <c r="A224" s="3228" t="s">
        <v>304</v>
      </c>
      <c r="B224" s="3228" t="s">
        <v>3107</v>
      </c>
      <c r="C224" s="3228"/>
      <c r="D224" s="3228"/>
      <c r="E224" s="3228"/>
      <c r="F224" s="3228">
        <v>1930</v>
      </c>
      <c r="G224" s="3241"/>
    </row>
    <row r="225" spans="1:7" s="3217" customFormat="1" ht="14.25" customHeight="1">
      <c r="A225" s="3228" t="s">
        <v>304</v>
      </c>
      <c r="B225" s="3228" t="s">
        <v>3108</v>
      </c>
      <c r="C225" s="3228"/>
      <c r="D225" s="3228"/>
      <c r="E225" s="3228"/>
      <c r="F225" s="3228">
        <v>1930</v>
      </c>
      <c r="G225" s="3241"/>
    </row>
    <row r="226" spans="1:7" s="3217" customFormat="1" ht="14.25" customHeight="1">
      <c r="A226" s="3228" t="s">
        <v>304</v>
      </c>
      <c r="B226" s="3228" t="s">
        <v>3109</v>
      </c>
      <c r="C226" s="3228"/>
      <c r="D226" s="3228"/>
      <c r="E226" s="3228"/>
      <c r="F226" s="3228">
        <v>1700</v>
      </c>
      <c r="G226" s="3241"/>
    </row>
    <row r="227" spans="1:7" s="3217" customFormat="1" ht="14.25" customHeight="1">
      <c r="A227" s="3228" t="s">
        <v>304</v>
      </c>
      <c r="B227" s="3228" t="s">
        <v>3110</v>
      </c>
      <c r="C227" s="3228"/>
      <c r="D227" s="3228"/>
      <c r="E227" s="3228"/>
      <c r="F227" s="3228">
        <v>1520</v>
      </c>
      <c r="G227" s="3241"/>
    </row>
    <row r="228" spans="1:7" s="3217" customFormat="1" ht="14.25" customHeight="1">
      <c r="A228" s="3228" t="s">
        <v>304</v>
      </c>
      <c r="B228" s="3228" t="s">
        <v>3111</v>
      </c>
      <c r="C228" s="3228"/>
      <c r="D228" s="3228"/>
      <c r="E228" s="3228"/>
      <c r="F228" s="3228">
        <v>1520</v>
      </c>
      <c r="G228" s="3241"/>
    </row>
    <row r="229" spans="1:7" s="3217" customFormat="1" ht="14.25" customHeight="1">
      <c r="A229" s="3228" t="s">
        <v>304</v>
      </c>
      <c r="B229" s="3228" t="s">
        <v>3028</v>
      </c>
      <c r="C229" s="3228"/>
      <c r="D229" s="3228"/>
      <c r="E229" s="3228"/>
      <c r="F229" s="3228">
        <v>1520</v>
      </c>
      <c r="G229" s="3241"/>
    </row>
    <row r="230" spans="1:7" s="3217" customFormat="1" ht="14.25" customHeight="1">
      <c r="A230" s="3228" t="s">
        <v>304</v>
      </c>
      <c r="B230" s="3228" t="s">
        <v>3112</v>
      </c>
      <c r="C230" s="3228"/>
      <c r="D230" s="3228"/>
      <c r="E230" s="3228"/>
      <c r="F230" s="3228">
        <v>1820</v>
      </c>
      <c r="G230" s="3241"/>
    </row>
    <row r="231" spans="1:7" s="3217" customFormat="1" ht="14.25" customHeight="1">
      <c r="A231" s="3228" t="s">
        <v>304</v>
      </c>
      <c r="B231" s="3228" t="s">
        <v>3113</v>
      </c>
      <c r="C231" s="3228"/>
      <c r="D231" s="3228"/>
      <c r="E231" s="3228"/>
      <c r="F231" s="3228">
        <v>1760</v>
      </c>
      <c r="G231" s="3241"/>
    </row>
    <row r="232" spans="1:7" s="3217" customFormat="1" ht="14.25" customHeight="1">
      <c r="A232" s="3228" t="s">
        <v>304</v>
      </c>
      <c r="B232" s="3228" t="s">
        <v>3114</v>
      </c>
      <c r="C232" s="3228"/>
      <c r="D232" s="3228"/>
      <c r="E232" s="3228"/>
      <c r="F232" s="3228">
        <v>1840</v>
      </c>
      <c r="G232" s="3241"/>
    </row>
    <row r="233" spans="1:7" s="3217" customFormat="1" ht="14.25" customHeight="1" thickBot="1">
      <c r="A233" s="3242" t="s">
        <v>304</v>
      </c>
      <c r="B233" s="3235" t="s">
        <v>3045</v>
      </c>
      <c r="C233" s="3235"/>
      <c r="D233" s="3235"/>
      <c r="E233" s="3235"/>
      <c r="F233" s="3235">
        <v>1770</v>
      </c>
      <c r="G233" s="3243"/>
    </row>
    <row r="234" spans="1:7" s="3217" customFormat="1" ht="14.25" customHeight="1">
      <c r="A234" s="3233" t="s">
        <v>305</v>
      </c>
      <c r="B234" s="3224" t="s">
        <v>3115</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2886</v>
      </c>
      <c r="C238" s="3228">
        <v>6920</v>
      </c>
      <c r="D238" s="3228">
        <v>6890</v>
      </c>
      <c r="E238" s="3228">
        <v>8640</v>
      </c>
      <c r="F238" s="3228">
        <v>1310</v>
      </c>
      <c r="G238" s="3228">
        <v>4230</v>
      </c>
    </row>
    <row r="239" spans="1:7" s="3217" customFormat="1" ht="14.25" customHeight="1">
      <c r="A239" s="3228" t="s">
        <v>305</v>
      </c>
      <c r="B239" s="3228" t="s">
        <v>3116</v>
      </c>
      <c r="C239" s="3228">
        <v>6780</v>
      </c>
      <c r="D239" s="3228">
        <v>6750</v>
      </c>
      <c r="E239" s="3228">
        <v>8440</v>
      </c>
      <c r="F239" s="3228">
        <v>1160</v>
      </c>
      <c r="G239" s="3228">
        <v>4140</v>
      </c>
    </row>
    <row r="240" spans="1:7" s="3217" customFormat="1" ht="14.25" customHeight="1">
      <c r="A240" s="3228" t="s">
        <v>305</v>
      </c>
      <c r="B240" s="3228" t="s">
        <v>3117</v>
      </c>
      <c r="C240" s="3228">
        <v>5420</v>
      </c>
      <c r="D240" s="3228">
        <v>5380</v>
      </c>
      <c r="E240" s="3228">
        <v>6640</v>
      </c>
      <c r="F240" s="3228">
        <v>1020</v>
      </c>
      <c r="G240" s="3228">
        <v>3300</v>
      </c>
    </row>
    <row r="241" spans="1:7" s="3217" customFormat="1" ht="14.25" customHeight="1">
      <c r="A241" s="3228" t="s">
        <v>305</v>
      </c>
      <c r="B241" s="3228" t="s">
        <v>3118</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3119</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3120</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3121</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3122</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3123</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2948</v>
      </c>
      <c r="C258" s="3228">
        <v>6190</v>
      </c>
      <c r="D258" s="3228">
        <v>6160</v>
      </c>
      <c r="E258" s="3228">
        <v>7680</v>
      </c>
      <c r="F258" s="3228">
        <v>1170</v>
      </c>
      <c r="G258" s="3228">
        <v>3780</v>
      </c>
    </row>
    <row r="259" spans="1:7" s="3217" customFormat="1" ht="14.25" customHeight="1">
      <c r="A259" s="3228" t="s">
        <v>305</v>
      </c>
      <c r="B259" s="3228" t="s">
        <v>3124</v>
      </c>
      <c r="C259" s="3228">
        <v>7610</v>
      </c>
      <c r="D259" s="3228">
        <v>7570</v>
      </c>
      <c r="E259" s="3228">
        <v>9350</v>
      </c>
      <c r="F259" s="3228">
        <v>1350</v>
      </c>
      <c r="G259" s="3228">
        <v>4650</v>
      </c>
    </row>
    <row r="260" spans="1:7" s="3217" customFormat="1" ht="14.25" customHeight="1">
      <c r="A260" s="3228" t="s">
        <v>305</v>
      </c>
      <c r="B260" s="3228" t="s">
        <v>3125</v>
      </c>
      <c r="C260" s="3228">
        <v>6920</v>
      </c>
      <c r="D260" s="3228">
        <v>6880</v>
      </c>
      <c r="E260" s="3228">
        <v>8380</v>
      </c>
      <c r="F260" s="3228">
        <v>1160</v>
      </c>
      <c r="G260" s="3228">
        <v>4220</v>
      </c>
    </row>
    <row r="261" spans="1:7" s="3217" customFormat="1" ht="14.25" customHeight="1">
      <c r="A261" s="3228" t="s">
        <v>305</v>
      </c>
      <c r="B261" s="3228" t="s">
        <v>3126</v>
      </c>
      <c r="C261" s="3228">
        <v>6850</v>
      </c>
      <c r="D261" s="3228">
        <v>6810</v>
      </c>
      <c r="E261" s="3228">
        <v>8290</v>
      </c>
      <c r="F261" s="3228">
        <v>1130</v>
      </c>
      <c r="G261" s="3228">
        <v>4180</v>
      </c>
    </row>
    <row r="262" spans="1:7" s="3217" customFormat="1" ht="14.25" customHeight="1">
      <c r="A262" s="3228" t="s">
        <v>305</v>
      </c>
      <c r="B262" s="3228" t="s">
        <v>3127</v>
      </c>
      <c r="C262" s="3228">
        <v>5860</v>
      </c>
      <c r="D262" s="3228">
        <v>5820</v>
      </c>
      <c r="E262" s="3228">
        <v>7640</v>
      </c>
      <c r="F262" s="3228">
        <v>1070</v>
      </c>
      <c r="G262" s="3228">
        <v>3570</v>
      </c>
    </row>
    <row r="263" spans="1:7" s="3217" customFormat="1" ht="14.25" customHeight="1">
      <c r="A263" s="3228" t="s">
        <v>305</v>
      </c>
      <c r="B263" s="3228" t="s">
        <v>3128</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3129</v>
      </c>
      <c r="C265" s="3228"/>
      <c r="D265" s="3228"/>
      <c r="E265" s="3228"/>
      <c r="F265" s="3228">
        <v>1500</v>
      </c>
      <c r="G265" s="3228"/>
    </row>
    <row r="266" spans="1:7" s="3217" customFormat="1" ht="14.25" customHeight="1">
      <c r="A266" s="3228" t="s">
        <v>305</v>
      </c>
      <c r="B266" s="3228" t="s">
        <v>3130</v>
      </c>
      <c r="C266" s="3228"/>
      <c r="D266" s="3228"/>
      <c r="E266" s="3228"/>
      <c r="F266" s="3228">
        <v>1500</v>
      </c>
      <c r="G266" s="3228"/>
    </row>
    <row r="267" spans="1:7" s="3217" customFormat="1" ht="14.25" customHeight="1">
      <c r="A267" s="3228" t="s">
        <v>305</v>
      </c>
      <c r="B267" s="3228" t="s">
        <v>3131</v>
      </c>
      <c r="C267" s="3228"/>
      <c r="D267" s="3228"/>
      <c r="E267" s="3228"/>
      <c r="F267" s="3228">
        <v>1500</v>
      </c>
      <c r="G267" s="3228"/>
    </row>
    <row r="268" spans="1:7" s="3217" customFormat="1" ht="14.25" customHeight="1">
      <c r="A268" s="3228" t="s">
        <v>305</v>
      </c>
      <c r="B268" s="3228" t="s">
        <v>3132</v>
      </c>
      <c r="C268" s="3228"/>
      <c r="D268" s="3228"/>
      <c r="E268" s="3228"/>
      <c r="F268" s="3228">
        <v>1290</v>
      </c>
      <c r="G268" s="3228"/>
    </row>
    <row r="269" spans="1:7" s="3217" customFormat="1" ht="14.25" customHeight="1">
      <c r="A269" s="3228" t="s">
        <v>305</v>
      </c>
      <c r="B269" s="3228" t="s">
        <v>3133</v>
      </c>
      <c r="C269" s="3228"/>
      <c r="D269" s="3228"/>
      <c r="E269" s="3228"/>
      <c r="F269" s="3228">
        <v>1150</v>
      </c>
      <c r="G269" s="3228"/>
    </row>
    <row r="270" spans="1:7" s="3217" customFormat="1" ht="14.25" customHeight="1">
      <c r="A270" s="3228" t="s">
        <v>305</v>
      </c>
      <c r="B270" s="3228" t="s">
        <v>3134</v>
      </c>
      <c r="C270" s="3228"/>
      <c r="D270" s="3228"/>
      <c r="E270" s="3228"/>
      <c r="F270" s="3228">
        <v>1380</v>
      </c>
      <c r="G270" s="3228"/>
    </row>
    <row r="271" spans="1:7" s="3217" customFormat="1" ht="14.25" customHeight="1">
      <c r="A271" s="3228" t="s">
        <v>305</v>
      </c>
      <c r="B271" s="3228" t="s">
        <v>3135</v>
      </c>
      <c r="C271" s="3228"/>
      <c r="D271" s="3228"/>
      <c r="E271" s="3228"/>
      <c r="F271" s="3228">
        <v>1460</v>
      </c>
      <c r="G271" s="3228"/>
    </row>
    <row r="272" spans="1:7" s="3217" customFormat="1" ht="14.25" customHeight="1">
      <c r="A272" s="3228" t="s">
        <v>305</v>
      </c>
      <c r="B272" s="3228" t="s">
        <v>3136</v>
      </c>
      <c r="C272" s="3228"/>
      <c r="D272" s="3228"/>
      <c r="E272" s="3228"/>
      <c r="F272" s="3228">
        <v>1460</v>
      </c>
      <c r="G272" s="3228"/>
    </row>
    <row r="273" spans="1:7" s="3217" customFormat="1" ht="14.25" customHeight="1">
      <c r="A273" s="3228" t="s">
        <v>305</v>
      </c>
      <c r="B273" s="3228" t="s">
        <v>3029</v>
      </c>
      <c r="C273" s="3228"/>
      <c r="D273" s="3228"/>
      <c r="E273" s="3228"/>
      <c r="F273" s="3228">
        <v>1490</v>
      </c>
      <c r="G273" s="3228"/>
    </row>
    <row r="274" spans="1:7" s="3217" customFormat="1" ht="14.25" customHeight="1">
      <c r="A274" s="3228" t="s">
        <v>305</v>
      </c>
      <c r="B274" s="3228" t="s">
        <v>3137</v>
      </c>
      <c r="C274" s="3228"/>
      <c r="D274" s="3228"/>
      <c r="E274" s="3228"/>
      <c r="F274" s="3228">
        <v>1490</v>
      </c>
      <c r="G274" s="3228"/>
    </row>
    <row r="275" spans="1:7" s="3217" customFormat="1" ht="14.25" customHeight="1">
      <c r="A275" s="3228" t="s">
        <v>305</v>
      </c>
      <c r="B275" s="3228" t="s">
        <v>3138</v>
      </c>
      <c r="C275" s="3228"/>
      <c r="D275" s="3228"/>
      <c r="E275" s="3228"/>
      <c r="F275" s="3228">
        <v>1220</v>
      </c>
      <c r="G275" s="3228"/>
    </row>
    <row r="276" spans="1:7" s="3217" customFormat="1" ht="14.25" customHeight="1" thickBot="1">
      <c r="A276" s="3236" t="s">
        <v>305</v>
      </c>
      <c r="B276" s="3238" t="s">
        <v>3139</v>
      </c>
      <c r="C276" s="3239"/>
      <c r="D276" s="3239"/>
      <c r="E276" s="3239"/>
      <c r="F276" s="3239">
        <v>1380</v>
      </c>
      <c r="G276" s="3239"/>
    </row>
    <row r="277" spans="1:7" s="3217" customFormat="1" ht="14.25" customHeight="1">
      <c r="A277" s="3233" t="s">
        <v>306</v>
      </c>
      <c r="B277" s="3224" t="s">
        <v>3140</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3141</v>
      </c>
      <c r="C279" s="3228">
        <v>4760</v>
      </c>
      <c r="D279" s="3228">
        <v>4720</v>
      </c>
      <c r="E279" s="3228">
        <v>5540</v>
      </c>
      <c r="F279" s="3228">
        <v>810</v>
      </c>
      <c r="G279" s="3241">
        <v>2850</v>
      </c>
    </row>
    <row r="280" spans="1:7" s="3217" customFormat="1" ht="14.25" customHeight="1">
      <c r="A280" s="3228" t="s">
        <v>306</v>
      </c>
      <c r="B280" s="3228" t="s">
        <v>3142</v>
      </c>
      <c r="C280" s="3228">
        <v>4010</v>
      </c>
      <c r="D280" s="3228">
        <v>3950</v>
      </c>
      <c r="E280" s="3228">
        <v>4710</v>
      </c>
      <c r="F280" s="3228">
        <v>800</v>
      </c>
      <c r="G280" s="3241">
        <v>2390</v>
      </c>
    </row>
    <row r="281" spans="1:7" s="3217" customFormat="1" ht="14.25" customHeight="1">
      <c r="A281" s="3228" t="s">
        <v>306</v>
      </c>
      <c r="B281" s="3228" t="s">
        <v>3143</v>
      </c>
      <c r="C281" s="3228">
        <v>4480</v>
      </c>
      <c r="D281" s="3228">
        <v>4420</v>
      </c>
      <c r="E281" s="3228">
        <v>5230</v>
      </c>
      <c r="F281" s="3228">
        <v>870</v>
      </c>
      <c r="G281" s="3241">
        <v>2660</v>
      </c>
    </row>
    <row r="282" spans="1:7" s="3217" customFormat="1" ht="14.25" customHeight="1">
      <c r="A282" s="3228" t="s">
        <v>306</v>
      </c>
      <c r="B282" s="3228" t="s">
        <v>3144</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3145</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3146</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2921</v>
      </c>
      <c r="C293" s="3228">
        <v>5320</v>
      </c>
      <c r="D293" s="3228">
        <v>5270</v>
      </c>
      <c r="E293" s="3228">
        <v>6160</v>
      </c>
      <c r="F293" s="3228">
        <v>990</v>
      </c>
      <c r="G293" s="3241">
        <v>3170</v>
      </c>
    </row>
    <row r="294" spans="1:7" s="3217" customFormat="1" ht="14.25" customHeight="1">
      <c r="A294" s="3228" t="s">
        <v>306</v>
      </c>
      <c r="B294" s="3228" t="s">
        <v>3147</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2940</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3148</v>
      </c>
      <c r="C302" s="3228">
        <v>5520</v>
      </c>
      <c r="D302" s="3228">
        <v>5470</v>
      </c>
      <c r="E302" s="3228">
        <v>6410</v>
      </c>
      <c r="F302" s="3228">
        <v>950</v>
      </c>
      <c r="G302" s="3241">
        <v>3300</v>
      </c>
    </row>
    <row r="303" spans="1:7" s="3217" customFormat="1" ht="14.25" customHeight="1">
      <c r="A303" s="3228" t="s">
        <v>306</v>
      </c>
      <c r="B303" s="3228" t="s">
        <v>2960</v>
      </c>
      <c r="C303" s="3228">
        <v>5630</v>
      </c>
      <c r="D303" s="3228">
        <v>5590</v>
      </c>
      <c r="E303" s="3228">
        <v>6550</v>
      </c>
      <c r="F303" s="3228">
        <v>1010</v>
      </c>
      <c r="G303" s="3241">
        <v>3370</v>
      </c>
    </row>
    <row r="304" spans="1:7" s="3217" customFormat="1" ht="14.25" customHeight="1">
      <c r="A304" s="3228" t="s">
        <v>306</v>
      </c>
      <c r="B304" s="3228" t="s">
        <v>2967</v>
      </c>
      <c r="C304" s="3228">
        <v>5680</v>
      </c>
      <c r="D304" s="3228">
        <v>5620</v>
      </c>
      <c r="E304" s="3228">
        <v>6620</v>
      </c>
      <c r="F304" s="3228">
        <v>1050</v>
      </c>
      <c r="G304" s="3241">
        <v>3390</v>
      </c>
    </row>
    <row r="305" spans="1:7" s="3217" customFormat="1" ht="14.25" customHeight="1">
      <c r="A305" s="3228" t="s">
        <v>306</v>
      </c>
      <c r="B305" s="3228" t="s">
        <v>2973</v>
      </c>
      <c r="C305" s="3228">
        <v>5590</v>
      </c>
      <c r="D305" s="3228">
        <v>5530</v>
      </c>
      <c r="E305" s="3228">
        <v>6460</v>
      </c>
      <c r="F305" s="3228">
        <v>900</v>
      </c>
      <c r="G305" s="3241">
        <v>3340</v>
      </c>
    </row>
    <row r="306" spans="1:7" s="3217" customFormat="1" ht="14.25" customHeight="1">
      <c r="A306" s="3228" t="s">
        <v>306</v>
      </c>
      <c r="B306" s="3228" t="s">
        <v>3149</v>
      </c>
      <c r="C306" s="3228">
        <v>5560</v>
      </c>
      <c r="D306" s="3228">
        <v>5510</v>
      </c>
      <c r="E306" s="3228">
        <v>6440</v>
      </c>
      <c r="F306" s="3228">
        <v>900</v>
      </c>
      <c r="G306" s="3241">
        <v>3320</v>
      </c>
    </row>
    <row r="307" spans="1:7" s="3217" customFormat="1" ht="14.25" customHeight="1">
      <c r="A307" s="3228" t="s">
        <v>306</v>
      </c>
      <c r="B307" s="3228" t="s">
        <v>2985</v>
      </c>
      <c r="C307" s="3228">
        <v>5650</v>
      </c>
      <c r="D307" s="3228">
        <v>5600</v>
      </c>
      <c r="E307" s="3228">
        <v>6590</v>
      </c>
      <c r="F307" s="3228">
        <v>930</v>
      </c>
      <c r="G307" s="3241">
        <v>3380</v>
      </c>
    </row>
    <row r="308" spans="1:7" s="3217" customFormat="1" ht="14.25" customHeight="1">
      <c r="A308" s="3228" t="s">
        <v>306</v>
      </c>
      <c r="B308" s="3228" t="s">
        <v>3150</v>
      </c>
      <c r="C308" s="3228">
        <v>5620</v>
      </c>
      <c r="D308" s="3228">
        <v>5580</v>
      </c>
      <c r="E308" s="3228">
        <v>6540</v>
      </c>
      <c r="F308" s="3228">
        <v>910</v>
      </c>
      <c r="G308" s="3241">
        <v>3370</v>
      </c>
    </row>
    <row r="309" spans="1:7" s="3217" customFormat="1" ht="14.25" customHeight="1">
      <c r="A309" s="3228" t="s">
        <v>306</v>
      </c>
      <c r="B309" s="3228" t="s">
        <v>3151</v>
      </c>
      <c r="C309" s="3228">
        <v>5060</v>
      </c>
      <c r="D309" s="3228">
        <v>5020</v>
      </c>
      <c r="E309" s="3228">
        <v>6370</v>
      </c>
      <c r="F309" s="3228">
        <v>800</v>
      </c>
      <c r="G309" s="3241">
        <v>3020</v>
      </c>
    </row>
    <row r="310" spans="1:7" s="3217" customFormat="1" ht="14.25" customHeight="1">
      <c r="A310" s="3228" t="s">
        <v>306</v>
      </c>
      <c r="B310" s="3228" t="s">
        <v>3000</v>
      </c>
      <c r="C310" s="3228">
        <v>5150</v>
      </c>
      <c r="D310" s="3228">
        <v>5110</v>
      </c>
      <c r="E310" s="3228">
        <v>6500</v>
      </c>
      <c r="F310" s="3228">
        <v>880</v>
      </c>
      <c r="G310" s="3241">
        <v>3080</v>
      </c>
    </row>
    <row r="311" spans="1:7" s="3217" customFormat="1" ht="14.25" customHeight="1">
      <c r="A311" s="3228" t="s">
        <v>306</v>
      </c>
      <c r="B311" s="3228" t="s">
        <v>3152</v>
      </c>
      <c r="C311" s="3228">
        <v>4750</v>
      </c>
      <c r="D311" s="3228">
        <v>4710</v>
      </c>
      <c r="E311" s="3228">
        <v>5510</v>
      </c>
      <c r="F311" s="3228">
        <v>880</v>
      </c>
      <c r="G311" s="3241">
        <v>2840</v>
      </c>
    </row>
    <row r="312" spans="1:7" s="3217" customFormat="1" ht="14.25" customHeight="1">
      <c r="A312" s="3228" t="s">
        <v>306</v>
      </c>
      <c r="B312" s="3228" t="s">
        <v>3010</v>
      </c>
      <c r="C312" s="3228">
        <v>4690</v>
      </c>
      <c r="D312" s="3228">
        <v>4640</v>
      </c>
      <c r="E312" s="3228">
        <v>5420</v>
      </c>
      <c r="F312" s="3228">
        <v>800</v>
      </c>
      <c r="G312" s="3241">
        <v>2800</v>
      </c>
    </row>
    <row r="313" spans="1:7" s="3217" customFormat="1" ht="14.25" customHeight="1">
      <c r="A313" s="3228" t="s">
        <v>306</v>
      </c>
      <c r="B313" s="3228" t="s">
        <v>3015</v>
      </c>
      <c r="C313" s="3228">
        <v>4810</v>
      </c>
      <c r="D313" s="3228">
        <v>4760</v>
      </c>
      <c r="E313" s="3228">
        <v>5550</v>
      </c>
      <c r="F313" s="3228">
        <v>920</v>
      </c>
      <c r="G313" s="3241">
        <v>2870</v>
      </c>
    </row>
    <row r="314" spans="1:7" s="3217" customFormat="1" ht="14.25" customHeight="1">
      <c r="A314" s="3228" t="s">
        <v>306</v>
      </c>
      <c r="B314" s="3228" t="s">
        <v>3153</v>
      </c>
      <c r="C314" s="3228"/>
      <c r="D314" s="3228"/>
      <c r="E314" s="3228"/>
      <c r="F314" s="3228">
        <v>1020</v>
      </c>
      <c r="G314" s="3241"/>
    </row>
    <row r="315" spans="1:7" s="3217" customFormat="1" ht="14.25" customHeight="1">
      <c r="A315" s="3228" t="s">
        <v>306</v>
      </c>
      <c r="B315" s="3228" t="s">
        <v>3154</v>
      </c>
      <c r="C315" s="3228"/>
      <c r="D315" s="3228"/>
      <c r="E315" s="3228"/>
      <c r="F315" s="3228">
        <v>1050</v>
      </c>
      <c r="G315" s="3241"/>
    </row>
    <row r="316" spans="1:7" s="3217" customFormat="1" ht="14.25" customHeight="1">
      <c r="A316" s="3228" t="s">
        <v>306</v>
      </c>
      <c r="B316" s="3228" t="s">
        <v>3030</v>
      </c>
      <c r="C316" s="3228"/>
      <c r="D316" s="3228"/>
      <c r="E316" s="3228"/>
      <c r="F316" s="3228">
        <v>900</v>
      </c>
      <c r="G316" s="3241"/>
    </row>
    <row r="317" spans="1:7" s="3217" customFormat="1" ht="14.25" customHeight="1">
      <c r="A317" s="3228" t="s">
        <v>306</v>
      </c>
      <c r="B317" s="3228" t="s">
        <v>3155</v>
      </c>
      <c r="C317" s="3228"/>
      <c r="D317" s="3228"/>
      <c r="E317" s="3228"/>
      <c r="F317" s="3228">
        <v>920</v>
      </c>
      <c r="G317" s="3241"/>
    </row>
    <row r="318" spans="1:7" s="3217" customFormat="1" ht="14.25" customHeight="1">
      <c r="A318" s="3228" t="s">
        <v>306</v>
      </c>
      <c r="B318" s="3228" t="s">
        <v>3156</v>
      </c>
      <c r="C318" s="3228"/>
      <c r="D318" s="3228"/>
      <c r="E318" s="3228"/>
      <c r="F318" s="3228">
        <v>1080</v>
      </c>
      <c r="G318" s="3241"/>
    </row>
    <row r="319" spans="1:7" s="3217" customFormat="1" ht="14.25" customHeight="1">
      <c r="A319" s="3228" t="s">
        <v>306</v>
      </c>
      <c r="B319" s="3228" t="s">
        <v>3043</v>
      </c>
      <c r="C319" s="3228"/>
      <c r="D319" s="3228"/>
      <c r="E319" s="3228"/>
      <c r="F319" s="3228">
        <v>1020</v>
      </c>
      <c r="G319" s="3241"/>
    </row>
    <row r="320" spans="1:7" s="3217" customFormat="1" ht="14.25" customHeight="1">
      <c r="A320" s="3228" t="s">
        <v>306</v>
      </c>
      <c r="B320" s="3228" t="s">
        <v>3046</v>
      </c>
      <c r="C320" s="3228"/>
      <c r="D320" s="3228"/>
      <c r="E320" s="3228"/>
      <c r="F320" s="3228">
        <v>1050</v>
      </c>
      <c r="G320" s="3241"/>
    </row>
    <row r="321" spans="1:7" s="3217" customFormat="1" ht="14.25" customHeight="1">
      <c r="A321" s="3228" t="s">
        <v>306</v>
      </c>
      <c r="B321" s="3228" t="s">
        <v>3048</v>
      </c>
      <c r="C321" s="3228"/>
      <c r="D321" s="3228"/>
      <c r="E321" s="3228"/>
      <c r="F321" s="3228">
        <v>960</v>
      </c>
      <c r="G321" s="3241"/>
    </row>
    <row r="322" spans="1:7" s="3217" customFormat="1" ht="14.25" customHeight="1">
      <c r="A322" s="3228" t="s">
        <v>306</v>
      </c>
      <c r="B322" s="3228" t="s">
        <v>3050</v>
      </c>
      <c r="C322" s="3228"/>
      <c r="D322" s="3228"/>
      <c r="E322" s="3228"/>
      <c r="F322" s="3228">
        <v>960</v>
      </c>
      <c r="G322" s="3241"/>
    </row>
    <row r="323" spans="1:7" s="3217" customFormat="1" ht="14.25" customHeight="1">
      <c r="A323" s="3228" t="s">
        <v>306</v>
      </c>
      <c r="B323" s="3228" t="s">
        <v>3052</v>
      </c>
      <c r="C323" s="3228"/>
      <c r="D323" s="3228"/>
      <c r="E323" s="3228"/>
      <c r="F323" s="3228">
        <v>880</v>
      </c>
      <c r="G323" s="3241"/>
    </row>
    <row r="324" spans="1:7" s="3217" customFormat="1" ht="14.25" customHeight="1">
      <c r="A324" s="3228" t="s">
        <v>306</v>
      </c>
      <c r="B324" s="3228" t="s">
        <v>3054</v>
      </c>
      <c r="C324" s="3228"/>
      <c r="D324" s="3228"/>
      <c r="E324" s="3228"/>
      <c r="F324" s="3228">
        <v>930</v>
      </c>
      <c r="G324" s="3241"/>
    </row>
    <row r="325" spans="1:7" s="3217" customFormat="1" ht="14.25" customHeight="1">
      <c r="A325" s="3228" t="s">
        <v>306</v>
      </c>
      <c r="B325" s="3229" t="s">
        <v>3056</v>
      </c>
      <c r="C325" s="3228"/>
      <c r="D325" s="3228"/>
      <c r="E325" s="3228"/>
      <c r="F325" s="3228">
        <v>900</v>
      </c>
      <c r="G325" s="3241"/>
    </row>
    <row r="326" spans="1:7" s="3217" customFormat="1" ht="14.25" customHeight="1" thickBot="1">
      <c r="A326" s="3242" t="s">
        <v>306</v>
      </c>
      <c r="B326" s="3235" t="s">
        <v>3058</v>
      </c>
      <c r="C326" s="3235"/>
      <c r="D326" s="3235"/>
      <c r="E326" s="3235"/>
      <c r="F326" s="3235">
        <v>790</v>
      </c>
      <c r="G326" s="3243"/>
    </row>
    <row r="327" spans="1:7" s="3217" customFormat="1" ht="14.25" customHeight="1">
      <c r="A327" s="3233" t="s">
        <v>307</v>
      </c>
      <c r="B327" s="3224" t="s">
        <v>3157</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3158</v>
      </c>
      <c r="C329" s="3228">
        <v>2730</v>
      </c>
      <c r="D329" s="3228">
        <v>2690</v>
      </c>
      <c r="E329" s="3228">
        <v>3100</v>
      </c>
      <c r="F329" s="3228">
        <v>660</v>
      </c>
      <c r="G329" s="3228">
        <v>1610</v>
      </c>
    </row>
    <row r="330" spans="1:7" s="3217" customFormat="1" ht="14.25" customHeight="1">
      <c r="A330" s="3228" t="s">
        <v>307</v>
      </c>
      <c r="B330" s="3228" t="s">
        <v>3159</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2892</v>
      </c>
      <c r="C332" s="3228">
        <v>3520</v>
      </c>
      <c r="D332" s="3228">
        <v>3480</v>
      </c>
      <c r="E332" s="3228">
        <v>3830</v>
      </c>
      <c r="F332" s="3228">
        <v>720</v>
      </c>
      <c r="G332" s="3228">
        <v>2090</v>
      </c>
    </row>
    <row r="333" spans="1:7" s="3217" customFormat="1" ht="14.25" customHeight="1">
      <c r="A333" s="3228" t="s">
        <v>307</v>
      </c>
      <c r="B333" s="3228" t="s">
        <v>3160</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2902</v>
      </c>
      <c r="C336" s="3228">
        <v>3570</v>
      </c>
      <c r="D336" s="3228">
        <v>3530</v>
      </c>
      <c r="E336" s="3228">
        <v>3880</v>
      </c>
      <c r="F336" s="3228">
        <v>770</v>
      </c>
      <c r="G336" s="3228">
        <v>2110</v>
      </c>
    </row>
    <row r="337" spans="1:10" s="3217" customFormat="1" ht="14.25" customHeight="1">
      <c r="A337" s="3228" t="s">
        <v>307</v>
      </c>
      <c r="B337" s="3228" t="s">
        <v>3161</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3162</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3163</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2927</v>
      </c>
      <c r="C345" s="3228">
        <v>3190</v>
      </c>
      <c r="D345" s="3228">
        <v>3140</v>
      </c>
      <c r="E345" s="3228">
        <v>3450</v>
      </c>
      <c r="F345" s="3228">
        <v>720</v>
      </c>
      <c r="G345" s="3228">
        <v>1880</v>
      </c>
      <c r="J345" s="3217"/>
    </row>
    <row r="346" spans="1:10">
      <c r="A346" s="3228" t="s">
        <v>307</v>
      </c>
      <c r="B346" s="3228" t="s">
        <v>3164</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2936</v>
      </c>
      <c r="C348" s="3228">
        <v>4000</v>
      </c>
      <c r="D348" s="3228">
        <v>3950</v>
      </c>
      <c r="E348" s="3228">
        <v>4430</v>
      </c>
      <c r="F348" s="3228">
        <v>760</v>
      </c>
      <c r="G348" s="3228">
        <v>2360</v>
      </c>
      <c r="J348" s="3217"/>
    </row>
    <row r="349" spans="1:10">
      <c r="A349" s="3228" t="s">
        <v>307</v>
      </c>
      <c r="B349" s="3228" t="s">
        <v>2941</v>
      </c>
      <c r="C349" s="3228">
        <v>3820</v>
      </c>
      <c r="D349" s="3228">
        <v>3780</v>
      </c>
      <c r="E349" s="3228">
        <v>4170</v>
      </c>
      <c r="F349" s="3228">
        <v>710</v>
      </c>
      <c r="G349" s="3228">
        <v>2260</v>
      </c>
      <c r="J349" s="3217"/>
    </row>
    <row r="350" spans="1:10">
      <c r="A350" s="3228" t="s">
        <v>307</v>
      </c>
      <c r="B350" s="3228" t="s">
        <v>3165</v>
      </c>
      <c r="C350" s="3228">
        <v>3760</v>
      </c>
      <c r="D350" s="3228">
        <v>3730</v>
      </c>
      <c r="E350" s="3228">
        <v>4100</v>
      </c>
      <c r="F350" s="3228">
        <v>800</v>
      </c>
      <c r="G350" s="3228">
        <v>2230</v>
      </c>
      <c r="J350" s="3217"/>
    </row>
    <row r="351" spans="1:10">
      <c r="A351" s="3228" t="s">
        <v>307</v>
      </c>
      <c r="B351" s="3228" t="s">
        <v>2949</v>
      </c>
      <c r="C351" s="3228">
        <v>3610</v>
      </c>
      <c r="D351" s="3228">
        <v>3580</v>
      </c>
      <c r="E351" s="3228">
        <v>3930</v>
      </c>
      <c r="F351" s="3228">
        <v>700</v>
      </c>
      <c r="G351" s="3228">
        <v>2140</v>
      </c>
      <c r="J351" s="3217"/>
    </row>
    <row r="352" spans="1:10">
      <c r="A352" s="3228" t="s">
        <v>307</v>
      </c>
      <c r="B352" s="3228" t="s">
        <v>2954</v>
      </c>
      <c r="C352" s="3228">
        <v>3670</v>
      </c>
      <c r="D352" s="3228">
        <v>3630</v>
      </c>
      <c r="E352" s="3228">
        <v>4000</v>
      </c>
      <c r="F352" s="3228">
        <v>750</v>
      </c>
      <c r="G352" s="3228">
        <v>2180</v>
      </c>
    </row>
    <row r="353" spans="1:7" s="3221" customFormat="1">
      <c r="A353" s="3228" t="s">
        <v>307</v>
      </c>
      <c r="B353" s="3228" t="s">
        <v>3166</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2974</v>
      </c>
      <c r="C355" s="3228">
        <v>3650</v>
      </c>
      <c r="D355" s="3228">
        <v>3610</v>
      </c>
      <c r="E355" s="3228">
        <v>4200</v>
      </c>
      <c r="F355" s="3228">
        <v>640</v>
      </c>
      <c r="G355" s="3228">
        <v>2160</v>
      </c>
    </row>
    <row r="356" spans="1:7" s="3221" customFormat="1">
      <c r="A356" s="3228" t="s">
        <v>307</v>
      </c>
      <c r="B356" s="3228" t="s">
        <v>2981</v>
      </c>
      <c r="C356" s="3228">
        <v>3260</v>
      </c>
      <c r="D356" s="3228">
        <v>3230</v>
      </c>
      <c r="E356" s="3228">
        <v>3740</v>
      </c>
      <c r="F356" s="3228">
        <v>600</v>
      </c>
      <c r="G356" s="3228">
        <v>1930</v>
      </c>
    </row>
    <row r="357" spans="1:7" s="3221" customFormat="1" ht="12" thickBot="1">
      <c r="A357" s="3236" t="s">
        <v>307</v>
      </c>
      <c r="B357" s="3239" t="s">
        <v>3167</v>
      </c>
      <c r="C357" s="3239">
        <v>3690</v>
      </c>
      <c r="D357" s="3239">
        <v>3650</v>
      </c>
      <c r="E357" s="3239">
        <v>4020</v>
      </c>
      <c r="F357" s="3239">
        <v>700</v>
      </c>
      <c r="G357" s="3239">
        <v>2190</v>
      </c>
    </row>
    <row r="358" spans="1:7" s="3221" customFormat="1">
      <c r="A358" s="3233" t="s">
        <v>3168</v>
      </c>
      <c r="B358" s="3224" t="s">
        <v>3169</v>
      </c>
      <c r="C358" s="3224">
        <v>2080</v>
      </c>
      <c r="D358" s="3224">
        <v>2040</v>
      </c>
      <c r="E358" s="3224">
        <v>2010</v>
      </c>
      <c r="F358" s="3224">
        <v>530</v>
      </c>
      <c r="G358" s="3240">
        <v>1230</v>
      </c>
    </row>
    <row r="359" spans="1:7" s="3221" customFormat="1">
      <c r="A359" s="3228" t="s">
        <v>3168</v>
      </c>
      <c r="B359" s="3228" t="s">
        <v>3170</v>
      </c>
      <c r="C359" s="3228">
        <v>1850</v>
      </c>
      <c r="D359" s="3228">
        <v>1820</v>
      </c>
      <c r="E359" s="3228">
        <v>1780</v>
      </c>
      <c r="F359" s="3228">
        <v>520</v>
      </c>
      <c r="G359" s="3241">
        <v>1100</v>
      </c>
    </row>
    <row r="360" spans="1:7" s="3221" customFormat="1">
      <c r="A360" s="3228" t="s">
        <v>3168</v>
      </c>
      <c r="B360" s="3228" t="s">
        <v>3171</v>
      </c>
      <c r="C360" s="3228">
        <v>2020</v>
      </c>
      <c r="D360" s="3228">
        <v>1990</v>
      </c>
      <c r="E360" s="3228">
        <v>1950</v>
      </c>
      <c r="F360" s="3228">
        <v>500</v>
      </c>
      <c r="G360" s="3241">
        <v>1200</v>
      </c>
    </row>
    <row r="361" spans="1:7" s="3221" customFormat="1">
      <c r="A361" s="3228" t="s">
        <v>3168</v>
      </c>
      <c r="B361" s="3228" t="s">
        <v>153</v>
      </c>
      <c r="C361" s="3228">
        <v>2260</v>
      </c>
      <c r="D361" s="3228">
        <v>2220</v>
      </c>
      <c r="E361" s="3228">
        <v>2180</v>
      </c>
      <c r="F361" s="3228">
        <v>580</v>
      </c>
      <c r="G361" s="3241">
        <v>1340</v>
      </c>
    </row>
    <row r="362" spans="1:7" s="3221" customFormat="1">
      <c r="A362" s="3228" t="s">
        <v>3168</v>
      </c>
      <c r="B362" s="3228" t="s">
        <v>3172</v>
      </c>
      <c r="C362" s="3228">
        <v>2650</v>
      </c>
      <c r="D362" s="3228">
        <v>2610</v>
      </c>
      <c r="E362" s="3228">
        <v>2570</v>
      </c>
      <c r="F362" s="3228">
        <v>630</v>
      </c>
      <c r="G362" s="3241">
        <v>1570</v>
      </c>
    </row>
    <row r="363" spans="1:7" s="3221" customFormat="1">
      <c r="A363" s="3228" t="s">
        <v>3168</v>
      </c>
      <c r="B363" s="3228" t="s">
        <v>2893</v>
      </c>
      <c r="C363" s="3228">
        <v>2390</v>
      </c>
      <c r="D363" s="3228">
        <v>2360</v>
      </c>
      <c r="E363" s="3228">
        <v>2320</v>
      </c>
      <c r="F363" s="3228">
        <v>600</v>
      </c>
      <c r="G363" s="3241">
        <v>1420</v>
      </c>
    </row>
    <row r="364" spans="1:7" s="3221" customFormat="1">
      <c r="A364" s="3228" t="s">
        <v>3168</v>
      </c>
      <c r="B364" s="3228" t="s">
        <v>3173</v>
      </c>
      <c r="C364" s="3228">
        <v>2050</v>
      </c>
      <c r="D364" s="3228">
        <v>2030</v>
      </c>
      <c r="E364" s="3228">
        <v>1990</v>
      </c>
      <c r="F364" s="3228">
        <v>550</v>
      </c>
      <c r="G364" s="3241">
        <v>1220</v>
      </c>
    </row>
    <row r="365" spans="1:7" s="3221" customFormat="1">
      <c r="A365" s="3228" t="s">
        <v>3168</v>
      </c>
      <c r="B365" s="3228" t="s">
        <v>200</v>
      </c>
      <c r="C365" s="3228">
        <v>2140</v>
      </c>
      <c r="D365" s="3228">
        <v>2100</v>
      </c>
      <c r="E365" s="3228">
        <v>2060</v>
      </c>
      <c r="F365" s="3228">
        <v>540</v>
      </c>
      <c r="G365" s="3241">
        <v>1270</v>
      </c>
    </row>
    <row r="366" spans="1:7" s="3221" customFormat="1">
      <c r="A366" s="3228" t="s">
        <v>3168</v>
      </c>
      <c r="B366" s="3228" t="s">
        <v>2900</v>
      </c>
      <c r="C366" s="3228">
        <v>2410</v>
      </c>
      <c r="D366" s="3228">
        <v>2370</v>
      </c>
      <c r="E366" s="3228">
        <v>2330</v>
      </c>
      <c r="F366" s="3228">
        <v>570</v>
      </c>
      <c r="G366" s="3241">
        <v>1440</v>
      </c>
    </row>
    <row r="367" spans="1:7" s="3221" customFormat="1">
      <c r="A367" s="3228" t="s">
        <v>3168</v>
      </c>
      <c r="B367" s="3228" t="s">
        <v>3174</v>
      </c>
      <c r="C367" s="3228">
        <v>2300</v>
      </c>
      <c r="D367" s="3228">
        <v>2260</v>
      </c>
      <c r="E367" s="3228">
        <v>2220</v>
      </c>
      <c r="F367" s="3228">
        <v>560</v>
      </c>
      <c r="G367" s="3241">
        <v>1370</v>
      </c>
    </row>
    <row r="368" spans="1:7" s="3221" customFormat="1">
      <c r="A368" s="3228" t="s">
        <v>3168</v>
      </c>
      <c r="B368" s="3228" t="s">
        <v>3175</v>
      </c>
      <c r="C368" s="3228">
        <v>2430</v>
      </c>
      <c r="D368" s="3228">
        <v>2390</v>
      </c>
      <c r="E368" s="3228">
        <v>2350</v>
      </c>
      <c r="F368" s="3228">
        <v>570</v>
      </c>
      <c r="G368" s="3241">
        <v>1450</v>
      </c>
    </row>
    <row r="369" spans="1:7" s="3221" customFormat="1">
      <c r="A369" s="3228" t="s">
        <v>3168</v>
      </c>
      <c r="B369" s="3228" t="s">
        <v>214</v>
      </c>
      <c r="C369" s="3228">
        <v>2320</v>
      </c>
      <c r="D369" s="3228">
        <v>2290</v>
      </c>
      <c r="E369" s="3228">
        <v>2250</v>
      </c>
      <c r="F369" s="3228">
        <v>550</v>
      </c>
      <c r="G369" s="3241">
        <v>1380</v>
      </c>
    </row>
    <row r="370" spans="1:7" s="3221" customFormat="1">
      <c r="A370" s="3228" t="s">
        <v>3168</v>
      </c>
      <c r="B370" s="3228" t="s">
        <v>221</v>
      </c>
      <c r="C370" s="3228">
        <v>2190</v>
      </c>
      <c r="D370" s="3228">
        <v>2170</v>
      </c>
      <c r="E370" s="3228">
        <v>2130</v>
      </c>
      <c r="F370" s="3228">
        <v>530</v>
      </c>
      <c r="G370" s="3241">
        <v>1310</v>
      </c>
    </row>
    <row r="371" spans="1:7" s="3221" customFormat="1">
      <c r="A371" s="3228" t="s">
        <v>3168</v>
      </c>
      <c r="B371" s="3228" t="s">
        <v>229</v>
      </c>
      <c r="C371" s="3228">
        <v>2460</v>
      </c>
      <c r="D371" s="3228">
        <v>2420</v>
      </c>
      <c r="E371" s="3228">
        <v>2370</v>
      </c>
      <c r="F371" s="3228">
        <v>560</v>
      </c>
      <c r="G371" s="3241">
        <v>1470</v>
      </c>
    </row>
    <row r="372" spans="1:7" s="3221" customFormat="1">
      <c r="A372" s="3228" t="s">
        <v>3168</v>
      </c>
      <c r="B372" s="3228" t="s">
        <v>3176</v>
      </c>
      <c r="C372" s="3228">
        <v>2250</v>
      </c>
      <c r="D372" s="3228">
        <v>2210</v>
      </c>
      <c r="E372" s="3228">
        <v>2180</v>
      </c>
      <c r="F372" s="3228">
        <v>550</v>
      </c>
      <c r="G372" s="3241">
        <v>1340</v>
      </c>
    </row>
    <row r="373" spans="1:7" s="3221" customFormat="1">
      <c r="A373" s="3228" t="s">
        <v>3168</v>
      </c>
      <c r="B373" s="3228" t="s">
        <v>258</v>
      </c>
      <c r="C373" s="3228">
        <v>2210</v>
      </c>
      <c r="D373" s="3228">
        <v>2190</v>
      </c>
      <c r="E373" s="3228">
        <v>2150</v>
      </c>
      <c r="F373" s="3228">
        <v>530</v>
      </c>
      <c r="G373" s="3241">
        <v>1320</v>
      </c>
    </row>
    <row r="374" spans="1:7" s="3221" customFormat="1">
      <c r="A374" s="3228" t="s">
        <v>3168</v>
      </c>
      <c r="B374" s="3228" t="s">
        <v>266</v>
      </c>
      <c r="C374" s="3228">
        <v>2320</v>
      </c>
      <c r="D374" s="3228">
        <v>2280</v>
      </c>
      <c r="E374" s="3228">
        <v>2230</v>
      </c>
      <c r="F374" s="3228">
        <v>580</v>
      </c>
      <c r="G374" s="3241">
        <v>1380</v>
      </c>
    </row>
    <row r="375" spans="1:7" s="3221" customFormat="1">
      <c r="A375" s="3228" t="s">
        <v>3168</v>
      </c>
      <c r="B375" s="3228" t="s">
        <v>3177</v>
      </c>
      <c r="C375" s="3228">
        <v>2090</v>
      </c>
      <c r="D375" s="3228">
        <v>2050</v>
      </c>
      <c r="E375" s="3228">
        <v>2020</v>
      </c>
      <c r="F375" s="3228">
        <v>520</v>
      </c>
      <c r="G375" s="3241">
        <v>1240</v>
      </c>
    </row>
    <row r="376" spans="1:7" s="3221" customFormat="1">
      <c r="A376" s="3228" t="s">
        <v>3168</v>
      </c>
      <c r="B376" s="3228" t="s">
        <v>277</v>
      </c>
      <c r="C376" s="3228">
        <v>2010</v>
      </c>
      <c r="D376" s="3228">
        <v>1980</v>
      </c>
      <c r="E376" s="3228">
        <v>1940</v>
      </c>
      <c r="F376" s="3228">
        <v>540</v>
      </c>
      <c r="G376" s="3241">
        <v>1190</v>
      </c>
    </row>
    <row r="377" spans="1:7" s="3221" customFormat="1" ht="12" thickBot="1">
      <c r="A377" s="3236" t="s">
        <v>3168</v>
      </c>
      <c r="B377" s="3239" t="s">
        <v>2930</v>
      </c>
      <c r="C377" s="3239">
        <v>1930</v>
      </c>
      <c r="D377" s="3239">
        <v>1890</v>
      </c>
      <c r="E377" s="3239">
        <v>1860</v>
      </c>
      <c r="F377" s="3239">
        <v>530</v>
      </c>
      <c r="G377" s="3244">
        <v>1150</v>
      </c>
    </row>
    <row r="378" spans="1:7" s="3221" customFormat="1">
      <c r="A378" s="3245" t="s">
        <v>3178</v>
      </c>
      <c r="B378" s="3224" t="s">
        <v>3179</v>
      </c>
      <c r="C378" s="3224">
        <v>1520</v>
      </c>
      <c r="D378" s="3224">
        <v>1490</v>
      </c>
      <c r="E378" s="3224">
        <v>1460</v>
      </c>
      <c r="F378" s="3224">
        <v>460</v>
      </c>
      <c r="G378" s="3240">
        <v>940</v>
      </c>
    </row>
    <row r="379" spans="1:7" s="3221" customFormat="1">
      <c r="A379" s="3246" t="s">
        <v>3178</v>
      </c>
      <c r="B379" s="3228" t="s">
        <v>3180</v>
      </c>
      <c r="C379" s="3228">
        <v>1500</v>
      </c>
      <c r="D379" s="3228">
        <v>1470</v>
      </c>
      <c r="E379" s="3228">
        <v>1430</v>
      </c>
      <c r="F379" s="3228">
        <v>460</v>
      </c>
      <c r="G379" s="3241">
        <v>920</v>
      </c>
    </row>
    <row r="380" spans="1:7" s="3221" customFormat="1">
      <c r="A380" s="3246" t="s">
        <v>3178</v>
      </c>
      <c r="B380" s="3228" t="s">
        <v>3181</v>
      </c>
      <c r="C380" s="3228">
        <v>1620</v>
      </c>
      <c r="D380" s="3228">
        <v>1590</v>
      </c>
      <c r="E380" s="3228">
        <v>1560</v>
      </c>
      <c r="F380" s="3228">
        <v>480</v>
      </c>
      <c r="G380" s="3241">
        <v>1000</v>
      </c>
    </row>
    <row r="381" spans="1:7" s="3221" customFormat="1">
      <c r="A381" s="3246" t="s">
        <v>3178</v>
      </c>
      <c r="B381" s="3228" t="s">
        <v>3182</v>
      </c>
      <c r="C381" s="3228">
        <v>1460</v>
      </c>
      <c r="D381" s="3228">
        <v>1430</v>
      </c>
      <c r="E381" s="3228">
        <v>1390</v>
      </c>
      <c r="F381" s="3228">
        <v>450</v>
      </c>
      <c r="G381" s="3241">
        <v>900</v>
      </c>
    </row>
    <row r="382" spans="1:7" s="3221" customFormat="1">
      <c r="A382" s="3246" t="s">
        <v>3178</v>
      </c>
      <c r="B382" s="3228" t="s">
        <v>3183</v>
      </c>
      <c r="C382" s="3228">
        <v>1310</v>
      </c>
      <c r="D382" s="3228">
        <v>1280</v>
      </c>
      <c r="E382" s="3228">
        <v>1250</v>
      </c>
      <c r="F382" s="3228">
        <v>440</v>
      </c>
      <c r="G382" s="3241">
        <v>800</v>
      </c>
    </row>
    <row r="383" spans="1:7" s="3221" customFormat="1">
      <c r="A383" s="3246" t="s">
        <v>3178</v>
      </c>
      <c r="B383" s="3228" t="s">
        <v>3184</v>
      </c>
      <c r="C383" s="3228">
        <v>1260</v>
      </c>
      <c r="D383" s="3228">
        <v>1230</v>
      </c>
      <c r="E383" s="3228">
        <v>1200</v>
      </c>
      <c r="F383" s="3228">
        <v>420</v>
      </c>
      <c r="G383" s="3241">
        <v>770</v>
      </c>
    </row>
    <row r="384" spans="1:7" s="3221" customFormat="1" ht="12" thickBot="1">
      <c r="A384" s="3247" t="s">
        <v>3178</v>
      </c>
      <c r="B384" s="3235" t="s">
        <v>3185</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799" t="s">
        <v>3186</v>
      </c>
      <c r="B1" s="3799"/>
    </row>
    <row r="2" spans="1:7" ht="14.25" thickBot="1">
      <c r="A2" s="3250"/>
      <c r="B2" s="3250"/>
    </row>
    <row r="3" spans="1:7" ht="14.25" thickBot="1">
      <c r="A3" s="3250"/>
      <c r="B3" s="3250"/>
      <c r="C3" s="3251" t="s">
        <v>2812</v>
      </c>
      <c r="D3" s="3251" t="s">
        <v>2872</v>
      </c>
      <c r="E3" s="3251" t="s">
        <v>2814</v>
      </c>
      <c r="F3" s="3251" t="s">
        <v>2873</v>
      </c>
      <c r="G3" s="3251" t="s">
        <v>2632</v>
      </c>
    </row>
    <row r="4" spans="1:7" ht="14.25" thickBot="1">
      <c r="A4" s="3252" t="s">
        <v>2871</v>
      </c>
      <c r="B4" s="3253" t="s">
        <v>2877</v>
      </c>
      <c r="C4" s="3251"/>
      <c r="D4" s="3251"/>
      <c r="E4" s="3251"/>
      <c r="F4" s="3251"/>
      <c r="G4" s="3251"/>
    </row>
    <row r="5" spans="1:7">
      <c r="A5" s="3254" t="s">
        <v>2845</v>
      </c>
      <c r="B5" s="3255" t="s">
        <v>2859</v>
      </c>
      <c r="C5" s="3256">
        <v>9.8000000000000004E-2</v>
      </c>
      <c r="D5" s="3256">
        <v>8.6999999999999994E-2</v>
      </c>
      <c r="E5" s="3256">
        <v>8.6999999999999994E-2</v>
      </c>
      <c r="F5" s="3256">
        <v>9.8000000000000004E-2</v>
      </c>
      <c r="G5" s="3257">
        <v>9.5000000000000001E-2</v>
      </c>
    </row>
    <row r="6" spans="1:7">
      <c r="A6" s="3258" t="s">
        <v>144</v>
      </c>
      <c r="B6" s="3259" t="s">
        <v>2874</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2860</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2910</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2928</v>
      </c>
      <c r="C29" s="3268"/>
      <c r="D29" s="3264">
        <v>5.1999999999999998E-2</v>
      </c>
      <c r="E29" s="3264">
        <v>7.0000000000000007E-2</v>
      </c>
      <c r="F29" s="3268"/>
      <c r="G29" s="3266">
        <v>7.0999999999999994E-2</v>
      </c>
    </row>
    <row r="30" spans="1:7">
      <c r="A30" s="3269" t="s">
        <v>296</v>
      </c>
      <c r="B30" s="3255" t="s">
        <v>2861</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2847</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2931</v>
      </c>
      <c r="C50" s="3260">
        <v>9.8000000000000004E-2</v>
      </c>
      <c r="D50" s="3260">
        <v>7.2999999999999995E-2</v>
      </c>
      <c r="E50" s="3260">
        <v>7.0999999999999994E-2</v>
      </c>
      <c r="F50" s="3271"/>
      <c r="G50" s="3261">
        <v>7.2999999999999995E-2</v>
      </c>
    </row>
    <row r="51" spans="1:7">
      <c r="A51" s="3270" t="s">
        <v>296</v>
      </c>
      <c r="B51" s="3259" t="s">
        <v>2933</v>
      </c>
      <c r="C51" s="3260">
        <v>9.9000000000000005E-2</v>
      </c>
      <c r="D51" s="3260">
        <v>8.5000000000000006E-2</v>
      </c>
      <c r="E51" s="3260">
        <v>6.3E-2</v>
      </c>
      <c r="F51" s="3271"/>
      <c r="G51" s="3261">
        <v>9.6000000000000002E-2</v>
      </c>
    </row>
    <row r="52" spans="1:7">
      <c r="A52" s="3270" t="s">
        <v>296</v>
      </c>
      <c r="B52" s="3259" t="s">
        <v>2937</v>
      </c>
      <c r="C52" s="3260">
        <v>7.3999999999999996E-2</v>
      </c>
      <c r="D52" s="3260">
        <v>9.6000000000000002E-2</v>
      </c>
      <c r="E52" s="3260">
        <v>0.05</v>
      </c>
      <c r="F52" s="3271"/>
      <c r="G52" s="3261">
        <v>9.8000000000000004E-2</v>
      </c>
    </row>
    <row r="53" spans="1:7">
      <c r="A53" s="3270" t="s">
        <v>296</v>
      </c>
      <c r="B53" s="3259" t="s">
        <v>2942</v>
      </c>
      <c r="C53" s="3260">
        <v>8.5999999999999993E-2</v>
      </c>
      <c r="D53" s="3271"/>
      <c r="E53" s="3260">
        <v>9.1999999999999998E-2</v>
      </c>
      <c r="F53" s="3271"/>
      <c r="G53" s="3272"/>
    </row>
    <row r="54" spans="1:7" ht="14.25" thickBot="1">
      <c r="A54" s="3273" t="s">
        <v>296</v>
      </c>
      <c r="B54" s="3263" t="s">
        <v>2945</v>
      </c>
      <c r="C54" s="3264">
        <v>9.6000000000000002E-2</v>
      </c>
      <c r="D54" s="3265"/>
      <c r="E54" s="3274"/>
      <c r="F54" s="3265"/>
      <c r="G54" s="3275"/>
    </row>
    <row r="55" spans="1:7">
      <c r="A55" s="3269" t="s">
        <v>110</v>
      </c>
      <c r="B55" s="3255" t="s">
        <v>2862</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2943</v>
      </c>
      <c r="C78" s="3260">
        <v>0.1</v>
      </c>
      <c r="D78" s="3260">
        <v>8.5000000000000006E-2</v>
      </c>
      <c r="E78" s="3260">
        <v>9.6000000000000002E-2</v>
      </c>
      <c r="F78" s="3271"/>
      <c r="G78" s="3261">
        <v>9.6000000000000002E-2</v>
      </c>
    </row>
    <row r="79" spans="1:7">
      <c r="A79" s="3270" t="s">
        <v>110</v>
      </c>
      <c r="B79" s="3259" t="s">
        <v>2946</v>
      </c>
      <c r="C79" s="3260">
        <v>0.05</v>
      </c>
      <c r="D79" s="3260">
        <v>9.6000000000000002E-2</v>
      </c>
      <c r="E79" s="3260">
        <v>9.5000000000000001E-2</v>
      </c>
      <c r="F79" s="3271"/>
      <c r="G79" s="3261">
        <v>9.8000000000000004E-2</v>
      </c>
    </row>
    <row r="80" spans="1:7">
      <c r="A80" s="3270" t="s">
        <v>110</v>
      </c>
      <c r="B80" s="3259" t="s">
        <v>2950</v>
      </c>
      <c r="C80" s="3260">
        <v>8.5999999999999993E-2</v>
      </c>
      <c r="D80" s="3276"/>
      <c r="E80" s="3260">
        <v>0.1</v>
      </c>
      <c r="F80" s="3271"/>
      <c r="G80" s="3272"/>
    </row>
    <row r="81" spans="1:7">
      <c r="A81" s="3270" t="s">
        <v>110</v>
      </c>
      <c r="B81" s="3259" t="s">
        <v>2955</v>
      </c>
      <c r="C81" s="3260">
        <v>9.6000000000000002E-2</v>
      </c>
      <c r="D81" s="3271"/>
      <c r="E81" s="3260">
        <v>9.8000000000000004E-2</v>
      </c>
      <c r="F81" s="3271"/>
      <c r="G81" s="3272"/>
    </row>
    <row r="82" spans="1:7">
      <c r="A82" s="3270" t="s">
        <v>110</v>
      </c>
      <c r="B82" s="3259" t="s">
        <v>2962</v>
      </c>
      <c r="C82" s="3276"/>
      <c r="D82" s="3271"/>
      <c r="E82" s="3260">
        <v>7.6999999999999999E-2</v>
      </c>
      <c r="F82" s="3271"/>
      <c r="G82" s="3272"/>
    </row>
    <row r="83" spans="1:7">
      <c r="A83" s="3270" t="s">
        <v>110</v>
      </c>
      <c r="B83" s="3259" t="s">
        <v>2968</v>
      </c>
      <c r="C83" s="3271"/>
      <c r="D83" s="3271"/>
      <c r="E83" s="3271"/>
      <c r="F83" s="3260">
        <v>0.1</v>
      </c>
      <c r="G83" s="3277"/>
    </row>
    <row r="84" spans="1:7">
      <c r="A84" s="3270" t="s">
        <v>110</v>
      </c>
      <c r="B84" s="3259" t="s">
        <v>2975</v>
      </c>
      <c r="C84" s="3271"/>
      <c r="D84" s="3271"/>
      <c r="E84" s="3271"/>
      <c r="F84" s="3260">
        <v>0.1</v>
      </c>
      <c r="G84" s="3277"/>
    </row>
    <row r="85" spans="1:7">
      <c r="A85" s="3270" t="s">
        <v>110</v>
      </c>
      <c r="B85" s="3259" t="s">
        <v>2982</v>
      </c>
      <c r="C85" s="3271"/>
      <c r="D85" s="3271"/>
      <c r="E85" s="3271"/>
      <c r="F85" s="3260">
        <v>0.1</v>
      </c>
      <c r="G85" s="3277"/>
    </row>
    <row r="86" spans="1:7" ht="14.25" thickBot="1">
      <c r="A86" s="3273" t="s">
        <v>110</v>
      </c>
      <c r="B86" s="3263" t="s">
        <v>2987</v>
      </c>
      <c r="C86" s="3264">
        <v>9.8000000000000004E-2</v>
      </c>
      <c r="D86" s="3264">
        <v>9.8000000000000004E-2</v>
      </c>
      <c r="E86" s="3264">
        <v>9.6000000000000002E-2</v>
      </c>
      <c r="F86" s="3274"/>
      <c r="G86" s="3266">
        <v>0.1</v>
      </c>
    </row>
    <row r="87" spans="1:7">
      <c r="A87" s="3269" t="s">
        <v>303</v>
      </c>
      <c r="B87" s="3255" t="s">
        <v>2863</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2956</v>
      </c>
      <c r="C113" s="3260">
        <v>0.1</v>
      </c>
      <c r="D113" s="3260">
        <v>0.1</v>
      </c>
      <c r="E113" s="3271"/>
      <c r="F113" s="3271"/>
      <c r="G113" s="3261">
        <v>0.1</v>
      </c>
    </row>
    <row r="114" spans="1:7">
      <c r="A114" s="3270" t="s">
        <v>303</v>
      </c>
      <c r="B114" s="3259" t="s">
        <v>2963</v>
      </c>
      <c r="C114" s="3260">
        <v>9.7000000000000003E-2</v>
      </c>
      <c r="D114" s="3260">
        <v>9.7000000000000003E-2</v>
      </c>
      <c r="E114" s="3271"/>
      <c r="F114" s="3271"/>
      <c r="G114" s="3261">
        <v>9.9000000000000005E-2</v>
      </c>
    </row>
    <row r="115" spans="1:7">
      <c r="A115" s="3270" t="s">
        <v>303</v>
      </c>
      <c r="B115" s="3259" t="s">
        <v>2969</v>
      </c>
      <c r="C115" s="3260">
        <v>0.1</v>
      </c>
      <c r="D115" s="3260">
        <v>0.1</v>
      </c>
      <c r="E115" s="3271"/>
      <c r="F115" s="3271"/>
      <c r="G115" s="3261">
        <v>0.1</v>
      </c>
    </row>
    <row r="116" spans="1:7">
      <c r="A116" s="3270" t="s">
        <v>303</v>
      </c>
      <c r="B116" s="3259" t="s">
        <v>2976</v>
      </c>
      <c r="C116" s="3260">
        <v>0.1</v>
      </c>
      <c r="D116" s="3260">
        <v>0.1</v>
      </c>
      <c r="E116" s="3271"/>
      <c r="F116" s="3271"/>
      <c r="G116" s="3261">
        <v>0.1</v>
      </c>
    </row>
    <row r="117" spans="1:7">
      <c r="A117" s="3270" t="s">
        <v>303</v>
      </c>
      <c r="B117" s="3259" t="s">
        <v>2983</v>
      </c>
      <c r="C117" s="3260">
        <v>9.7000000000000003E-2</v>
      </c>
      <c r="D117" s="3260">
        <v>9.7000000000000003E-2</v>
      </c>
      <c r="E117" s="3271"/>
      <c r="F117" s="3271"/>
      <c r="G117" s="3261">
        <v>9.7000000000000003E-2</v>
      </c>
    </row>
    <row r="118" spans="1:7">
      <c r="A118" s="3270" t="s">
        <v>303</v>
      </c>
      <c r="B118" s="3259" t="s">
        <v>2988</v>
      </c>
      <c r="C118" s="3260">
        <v>0.1</v>
      </c>
      <c r="D118" s="3260">
        <v>0.1</v>
      </c>
      <c r="E118" s="3271"/>
      <c r="F118" s="3271"/>
      <c r="G118" s="3261">
        <v>0.1</v>
      </c>
    </row>
    <row r="119" spans="1:7">
      <c r="A119" s="3270" t="s">
        <v>303</v>
      </c>
      <c r="B119" s="3259" t="s">
        <v>2992</v>
      </c>
      <c r="C119" s="3260">
        <v>5.0999999999999997E-2</v>
      </c>
      <c r="D119" s="3260">
        <v>5.1999999999999998E-2</v>
      </c>
      <c r="E119" s="3271"/>
      <c r="F119" s="3276"/>
      <c r="G119" s="3261">
        <v>0.06</v>
      </c>
    </row>
    <row r="120" spans="1:7">
      <c r="A120" s="3270" t="s">
        <v>303</v>
      </c>
      <c r="B120" s="3259" t="s">
        <v>2996</v>
      </c>
      <c r="C120" s="3271"/>
      <c r="D120" s="3271"/>
      <c r="E120" s="3271"/>
      <c r="F120" s="3260">
        <v>0.1</v>
      </c>
      <c r="G120" s="3277"/>
    </row>
    <row r="121" spans="1:7">
      <c r="A121" s="3270" t="s">
        <v>303</v>
      </c>
      <c r="B121" s="3259" t="s">
        <v>3001</v>
      </c>
      <c r="C121" s="3271"/>
      <c r="D121" s="3271"/>
      <c r="E121" s="3271"/>
      <c r="F121" s="3260">
        <v>0.1</v>
      </c>
      <c r="G121" s="3277"/>
    </row>
    <row r="122" spans="1:7">
      <c r="A122" s="3270" t="s">
        <v>303</v>
      </c>
      <c r="B122" s="3259" t="s">
        <v>3006</v>
      </c>
      <c r="C122" s="3260">
        <v>0.1</v>
      </c>
      <c r="D122" s="3260">
        <v>0.1</v>
      </c>
      <c r="E122" s="3260">
        <v>9.8000000000000004E-2</v>
      </c>
      <c r="F122" s="3260">
        <v>0.1</v>
      </c>
      <c r="G122" s="3261">
        <v>0.1</v>
      </c>
    </row>
    <row r="123" spans="1:7">
      <c r="A123" s="3270" t="s">
        <v>303</v>
      </c>
      <c r="B123" s="3259" t="s">
        <v>3011</v>
      </c>
      <c r="C123" s="3260">
        <v>0.1</v>
      </c>
      <c r="D123" s="3260">
        <v>0.1</v>
      </c>
      <c r="E123" s="3260">
        <v>9.8000000000000004E-2</v>
      </c>
      <c r="F123" s="3260">
        <v>0.1</v>
      </c>
      <c r="G123" s="3261">
        <v>0.1</v>
      </c>
    </row>
    <row r="124" spans="1:7">
      <c r="A124" s="3270" t="s">
        <v>303</v>
      </c>
      <c r="B124" s="3259" t="s">
        <v>3016</v>
      </c>
      <c r="C124" s="3260">
        <v>0.1</v>
      </c>
      <c r="D124" s="3260">
        <v>0.1</v>
      </c>
      <c r="E124" s="3260">
        <v>9.8000000000000004E-2</v>
      </c>
      <c r="F124" s="3276"/>
      <c r="G124" s="3261">
        <v>0.1</v>
      </c>
    </row>
    <row r="125" spans="1:7">
      <c r="A125" s="3270" t="s">
        <v>303</v>
      </c>
      <c r="B125" s="3259" t="s">
        <v>3021</v>
      </c>
      <c r="C125" s="3260">
        <v>9.8000000000000004E-2</v>
      </c>
      <c r="D125" s="3260">
        <v>9.8000000000000004E-2</v>
      </c>
      <c r="E125" s="3260">
        <v>9.6000000000000002E-2</v>
      </c>
      <c r="F125" s="3276"/>
      <c r="G125" s="3261">
        <v>0.1</v>
      </c>
    </row>
    <row r="126" spans="1:7" ht="14.25" thickBot="1">
      <c r="A126" s="3273" t="s">
        <v>303</v>
      </c>
      <c r="B126" s="3263" t="s">
        <v>3187</v>
      </c>
      <c r="C126" s="3264">
        <v>0.1</v>
      </c>
      <c r="D126" s="3264">
        <v>0.1</v>
      </c>
      <c r="E126" s="3264">
        <v>9.8000000000000004E-2</v>
      </c>
      <c r="F126" s="3264">
        <v>0.1</v>
      </c>
      <c r="G126" s="3266">
        <v>0.1</v>
      </c>
    </row>
    <row r="127" spans="1:7">
      <c r="A127" s="3269" t="s">
        <v>29</v>
      </c>
      <c r="B127" s="3255" t="s">
        <v>2864</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2934</v>
      </c>
      <c r="C148" s="3260">
        <v>0.13</v>
      </c>
      <c r="D148" s="3260">
        <v>0.13</v>
      </c>
      <c r="E148" s="3260">
        <v>0.13</v>
      </c>
      <c r="F148" s="3271"/>
      <c r="G148" s="3261">
        <v>0.13</v>
      </c>
    </row>
    <row r="149" spans="1:7">
      <c r="A149" s="3270" t="s">
        <v>29</v>
      </c>
      <c r="B149" s="3259" t="s">
        <v>2938</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2957</v>
      </c>
      <c r="C153" s="3260">
        <v>0.13</v>
      </c>
      <c r="D153" s="3260">
        <v>0.13</v>
      </c>
      <c r="E153" s="3260">
        <v>0.13</v>
      </c>
      <c r="F153" s="3260">
        <v>0.13</v>
      </c>
      <c r="G153" s="3261">
        <v>0.13</v>
      </c>
    </row>
    <row r="154" spans="1:7">
      <c r="A154" s="3270" t="s">
        <v>29</v>
      </c>
      <c r="B154" s="3259" t="s">
        <v>2964</v>
      </c>
      <c r="C154" s="3260">
        <v>0.121</v>
      </c>
      <c r="D154" s="3260">
        <v>0.121</v>
      </c>
      <c r="E154" s="3260">
        <v>0.105</v>
      </c>
      <c r="F154" s="3260">
        <v>0.121</v>
      </c>
      <c r="G154" s="3261">
        <v>0.123</v>
      </c>
    </row>
    <row r="155" spans="1:7">
      <c r="A155" s="3270" t="s">
        <v>29</v>
      </c>
      <c r="B155" s="3259" t="s">
        <v>2970</v>
      </c>
      <c r="C155" s="3260">
        <v>0.1</v>
      </c>
      <c r="D155" s="3260">
        <v>0.1</v>
      </c>
      <c r="E155" s="3260">
        <v>0.1</v>
      </c>
      <c r="F155" s="3260">
        <v>0.1</v>
      </c>
      <c r="G155" s="3261">
        <v>0.1</v>
      </c>
    </row>
    <row r="156" spans="1:7">
      <c r="A156" s="3270" t="s">
        <v>29</v>
      </c>
      <c r="B156" s="3259" t="s">
        <v>2977</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2997</v>
      </c>
      <c r="C160" s="3260">
        <v>0.13</v>
      </c>
      <c r="D160" s="3260">
        <v>0.13</v>
      </c>
      <c r="E160" s="3260">
        <v>0.124</v>
      </c>
      <c r="F160" s="3260">
        <v>0.126</v>
      </c>
      <c r="G160" s="3261">
        <v>0.13</v>
      </c>
    </row>
    <row r="161" spans="1:7">
      <c r="A161" s="3270" t="s">
        <v>29</v>
      </c>
      <c r="B161" s="3259" t="s">
        <v>3002</v>
      </c>
      <c r="C161" s="3260">
        <v>0.13</v>
      </c>
      <c r="D161" s="3260">
        <v>0.13</v>
      </c>
      <c r="E161" s="3260">
        <v>0.124</v>
      </c>
      <c r="F161" s="3260">
        <v>0.127</v>
      </c>
      <c r="G161" s="3261">
        <v>0.13</v>
      </c>
    </row>
    <row r="162" spans="1:7">
      <c r="A162" s="3270" t="s">
        <v>29</v>
      </c>
      <c r="B162" s="3259" t="s">
        <v>3007</v>
      </c>
      <c r="C162" s="3260">
        <v>0.1</v>
      </c>
      <c r="D162" s="3260">
        <v>0.1</v>
      </c>
      <c r="E162" s="3260">
        <v>0.1</v>
      </c>
      <c r="F162" s="3260">
        <v>0.121</v>
      </c>
      <c r="G162" s="3261">
        <v>0.105</v>
      </c>
    </row>
    <row r="163" spans="1:7">
      <c r="A163" s="3270" t="s">
        <v>29</v>
      </c>
      <c r="B163" s="3259" t="s">
        <v>3012</v>
      </c>
      <c r="C163" s="3260">
        <v>0.1</v>
      </c>
      <c r="D163" s="3260">
        <v>0.1</v>
      </c>
      <c r="E163" s="3260">
        <v>0.1</v>
      </c>
      <c r="F163" s="3260">
        <v>0.1</v>
      </c>
      <c r="G163" s="3261">
        <v>0.1</v>
      </c>
    </row>
    <row r="164" spans="1:7">
      <c r="A164" s="3270" t="s">
        <v>29</v>
      </c>
      <c r="B164" s="3259" t="s">
        <v>3017</v>
      </c>
      <c r="C164" s="3276"/>
      <c r="D164" s="3276"/>
      <c r="E164" s="3276"/>
      <c r="F164" s="3260">
        <v>0.1</v>
      </c>
      <c r="G164" s="3272"/>
    </row>
    <row r="165" spans="1:7">
      <c r="A165" s="3270" t="s">
        <v>29</v>
      </c>
      <c r="B165" s="3259" t="s">
        <v>3188</v>
      </c>
      <c r="C165" s="3260">
        <v>0.126</v>
      </c>
      <c r="D165" s="3260">
        <v>0.126</v>
      </c>
      <c r="E165" s="3260">
        <v>0.11899999999999999</v>
      </c>
      <c r="F165" s="3260">
        <v>0.13</v>
      </c>
      <c r="G165" s="3261">
        <v>0.128</v>
      </c>
    </row>
    <row r="166" spans="1:7">
      <c r="A166" s="3270" t="s">
        <v>29</v>
      </c>
      <c r="B166" s="3259" t="s">
        <v>3027</v>
      </c>
      <c r="C166" s="3260">
        <v>0.129</v>
      </c>
      <c r="D166" s="3260">
        <v>0.129</v>
      </c>
      <c r="E166" s="3260">
        <v>0.123</v>
      </c>
      <c r="F166" s="3260">
        <v>0.128</v>
      </c>
      <c r="G166" s="3261">
        <v>0.13</v>
      </c>
    </row>
    <row r="167" spans="1:7">
      <c r="A167" s="3270" t="s">
        <v>29</v>
      </c>
      <c r="B167" s="3259" t="s">
        <v>3031</v>
      </c>
      <c r="C167" s="3260">
        <v>0.125</v>
      </c>
      <c r="D167" s="3260">
        <v>0.125</v>
      </c>
      <c r="E167" s="3260">
        <v>0.11700000000000001</v>
      </c>
      <c r="F167" s="3260">
        <v>0.13</v>
      </c>
      <c r="G167" s="3261">
        <v>0.126</v>
      </c>
    </row>
    <row r="168" spans="1:7">
      <c r="A168" s="3270" t="s">
        <v>29</v>
      </c>
      <c r="B168" s="3259" t="s">
        <v>3036</v>
      </c>
      <c r="C168" s="3260">
        <v>0.128</v>
      </c>
      <c r="D168" s="3260">
        <v>0.128</v>
      </c>
      <c r="E168" s="3260">
        <v>0.123</v>
      </c>
      <c r="F168" s="3271"/>
      <c r="G168" s="3261">
        <v>0.13</v>
      </c>
    </row>
    <row r="169" spans="1:7">
      <c r="A169" s="3270" t="s">
        <v>29</v>
      </c>
      <c r="B169" s="3259" t="s">
        <v>3189</v>
      </c>
      <c r="C169" s="3276"/>
      <c r="D169" s="3276"/>
      <c r="E169" s="3276"/>
      <c r="F169" s="3260">
        <v>0.05</v>
      </c>
      <c r="G169" s="3272"/>
    </row>
    <row r="170" spans="1:7">
      <c r="A170" s="3270" t="s">
        <v>29</v>
      </c>
      <c r="B170" s="3259" t="s">
        <v>3190</v>
      </c>
      <c r="C170" s="3276"/>
      <c r="D170" s="3276"/>
      <c r="E170" s="3276"/>
      <c r="F170" s="3260">
        <v>0.05</v>
      </c>
      <c r="G170" s="3272"/>
    </row>
    <row r="171" spans="1:7">
      <c r="A171" s="3270" t="s">
        <v>29</v>
      </c>
      <c r="B171" s="3259" t="s">
        <v>3191</v>
      </c>
      <c r="C171" s="3276"/>
      <c r="D171" s="3276"/>
      <c r="E171" s="3276"/>
      <c r="F171" s="3260">
        <v>0.05</v>
      </c>
      <c r="G171" s="3277"/>
    </row>
    <row r="172" spans="1:7">
      <c r="A172" s="3270" t="s">
        <v>29</v>
      </c>
      <c r="B172" s="3259" t="s">
        <v>3192</v>
      </c>
      <c r="C172" s="3276"/>
      <c r="D172" s="3276"/>
      <c r="E172" s="3276"/>
      <c r="F172" s="3260">
        <v>0.05</v>
      </c>
      <c r="G172" s="3277"/>
    </row>
    <row r="173" spans="1:7">
      <c r="A173" s="3270" t="s">
        <v>29</v>
      </c>
      <c r="B173" s="3259" t="s">
        <v>3193</v>
      </c>
      <c r="C173" s="3276"/>
      <c r="D173" s="3276"/>
      <c r="E173" s="3276"/>
      <c r="F173" s="3260">
        <v>0.05</v>
      </c>
      <c r="G173" s="3272"/>
    </row>
    <row r="174" spans="1:7">
      <c r="A174" s="3270" t="s">
        <v>29</v>
      </c>
      <c r="B174" s="3259" t="s">
        <v>3194</v>
      </c>
      <c r="C174" s="3276"/>
      <c r="D174" s="3276"/>
      <c r="E174" s="3276"/>
      <c r="F174" s="3260">
        <v>0.05</v>
      </c>
      <c r="G174" s="3272"/>
    </row>
    <row r="175" spans="1:7">
      <c r="A175" s="3270" t="s">
        <v>29</v>
      </c>
      <c r="B175" s="3259" t="s">
        <v>3195</v>
      </c>
      <c r="C175" s="3276"/>
      <c r="D175" s="3276"/>
      <c r="E175" s="3276"/>
      <c r="F175" s="3260">
        <v>0.05</v>
      </c>
      <c r="G175" s="3272"/>
    </row>
    <row r="176" spans="1:7">
      <c r="A176" s="3270" t="s">
        <v>29</v>
      </c>
      <c r="B176" s="3259" t="s">
        <v>3196</v>
      </c>
      <c r="C176" s="3276"/>
      <c r="D176" s="3276"/>
      <c r="E176" s="3276"/>
      <c r="F176" s="3260">
        <v>0.05</v>
      </c>
      <c r="G176" s="3272"/>
    </row>
    <row r="177" spans="1:7">
      <c r="A177" s="3270" t="s">
        <v>29</v>
      </c>
      <c r="B177" s="3259" t="s">
        <v>3197</v>
      </c>
      <c r="C177" s="3271"/>
      <c r="D177" s="3271"/>
      <c r="E177" s="3271"/>
      <c r="F177" s="3260">
        <v>0.05</v>
      </c>
      <c r="G177" s="3277"/>
    </row>
    <row r="178" spans="1:7">
      <c r="A178" s="3270" t="s">
        <v>29</v>
      </c>
      <c r="B178" s="3259" t="s">
        <v>3198</v>
      </c>
      <c r="C178" s="3271"/>
      <c r="D178" s="3271"/>
      <c r="E178" s="3271"/>
      <c r="F178" s="3260">
        <v>0.05</v>
      </c>
      <c r="G178" s="3277"/>
    </row>
    <row r="179" spans="1:7">
      <c r="A179" s="3270" t="s">
        <v>29</v>
      </c>
      <c r="B179" s="3259" t="s">
        <v>3199</v>
      </c>
      <c r="C179" s="3271"/>
      <c r="D179" s="3271"/>
      <c r="E179" s="3271"/>
      <c r="F179" s="3260">
        <v>0.05</v>
      </c>
      <c r="G179" s="3277"/>
    </row>
    <row r="180" spans="1:7">
      <c r="A180" s="3270" t="s">
        <v>29</v>
      </c>
      <c r="B180" s="3259" t="s">
        <v>3200</v>
      </c>
      <c r="C180" s="3271"/>
      <c r="D180" s="3271"/>
      <c r="E180" s="3271"/>
      <c r="F180" s="3260">
        <v>0.05</v>
      </c>
      <c r="G180" s="3277"/>
    </row>
    <row r="181" spans="1:7">
      <c r="A181" s="3270" t="s">
        <v>29</v>
      </c>
      <c r="B181" s="3259" t="s">
        <v>3201</v>
      </c>
      <c r="C181" s="3271"/>
      <c r="D181" s="3271"/>
      <c r="E181" s="3271"/>
      <c r="F181" s="3260">
        <v>0.05</v>
      </c>
      <c r="G181" s="3277"/>
    </row>
    <row r="182" spans="1:7">
      <c r="A182" s="3270" t="s">
        <v>29</v>
      </c>
      <c r="B182" s="3259" t="s">
        <v>3202</v>
      </c>
      <c r="C182" s="3271"/>
      <c r="D182" s="3271"/>
      <c r="E182" s="3271"/>
      <c r="F182" s="3260">
        <v>0.05</v>
      </c>
      <c r="G182" s="3277"/>
    </row>
    <row r="183" spans="1:7">
      <c r="A183" s="3270" t="s">
        <v>29</v>
      </c>
      <c r="B183" s="3259" t="s">
        <v>3203</v>
      </c>
      <c r="C183" s="3271"/>
      <c r="D183" s="3271"/>
      <c r="E183" s="3271"/>
      <c r="F183" s="3260">
        <v>0.05</v>
      </c>
      <c r="G183" s="3277"/>
    </row>
    <row r="184" spans="1:7">
      <c r="A184" s="3270" t="s">
        <v>29</v>
      </c>
      <c r="B184" s="3259" t="s">
        <v>3204</v>
      </c>
      <c r="C184" s="3271"/>
      <c r="D184" s="3271"/>
      <c r="E184" s="3271"/>
      <c r="F184" s="3260">
        <v>0.05</v>
      </c>
      <c r="G184" s="3277"/>
    </row>
    <row r="185" spans="1:7">
      <c r="A185" s="3270" t="s">
        <v>29</v>
      </c>
      <c r="B185" s="3259" t="s">
        <v>3205</v>
      </c>
      <c r="C185" s="3271"/>
      <c r="D185" s="3271"/>
      <c r="E185" s="3271"/>
      <c r="F185" s="3260">
        <v>0.05</v>
      </c>
      <c r="G185" s="3277"/>
    </row>
    <row r="186" spans="1:7">
      <c r="A186" s="3270" t="s">
        <v>29</v>
      </c>
      <c r="B186" s="3259" t="s">
        <v>3206</v>
      </c>
      <c r="C186" s="3271"/>
      <c r="D186" s="3271"/>
      <c r="E186" s="3271"/>
      <c r="F186" s="3260">
        <v>0.05</v>
      </c>
      <c r="G186" s="3277"/>
    </row>
    <row r="187" spans="1:7">
      <c r="A187" s="3270" t="s">
        <v>29</v>
      </c>
      <c r="B187" s="3259" t="s">
        <v>3207</v>
      </c>
      <c r="C187" s="3271"/>
      <c r="D187" s="3271"/>
      <c r="E187" s="3271"/>
      <c r="F187" s="3260">
        <v>0.05</v>
      </c>
      <c r="G187" s="3277"/>
    </row>
    <row r="188" spans="1:7">
      <c r="A188" s="3270" t="s">
        <v>29</v>
      </c>
      <c r="B188" s="3259" t="s">
        <v>3208</v>
      </c>
      <c r="C188" s="3271"/>
      <c r="D188" s="3271"/>
      <c r="E188" s="3271"/>
      <c r="F188" s="3260">
        <v>0.05</v>
      </c>
      <c r="G188" s="3277"/>
    </row>
    <row r="189" spans="1:7" ht="14.25" thickBot="1">
      <c r="A189" s="3273" t="s">
        <v>29</v>
      </c>
      <c r="B189" s="3263" t="s">
        <v>3209</v>
      </c>
      <c r="C189" s="3265"/>
      <c r="D189" s="3265"/>
      <c r="E189" s="3265"/>
      <c r="F189" s="3264">
        <v>0.05</v>
      </c>
      <c r="G189" s="3278"/>
    </row>
    <row r="190" spans="1:7">
      <c r="A190" s="3269" t="s">
        <v>304</v>
      </c>
      <c r="B190" s="3255" t="s">
        <v>2865</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2901</v>
      </c>
      <c r="C199" s="3260">
        <v>0.13</v>
      </c>
      <c r="D199" s="3260">
        <v>0.13</v>
      </c>
      <c r="E199" s="3260">
        <v>0.13</v>
      </c>
      <c r="F199" s="3260">
        <v>0.13</v>
      </c>
      <c r="G199" s="3261">
        <v>0.13</v>
      </c>
    </row>
    <row r="200" spans="1:7">
      <c r="A200" s="3270" t="s">
        <v>304</v>
      </c>
      <c r="B200" s="3259" t="s">
        <v>2904</v>
      </c>
      <c r="C200" s="3276"/>
      <c r="D200" s="3276"/>
      <c r="E200" s="3276"/>
      <c r="F200" s="3260">
        <v>0.13</v>
      </c>
      <c r="G200" s="3272"/>
    </row>
    <row r="201" spans="1:7">
      <c r="A201" s="3270" t="s">
        <v>304</v>
      </c>
      <c r="B201" s="3259" t="s">
        <v>2909</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2912</v>
      </c>
      <c r="C203" s="3260">
        <v>0.129</v>
      </c>
      <c r="D203" s="3260">
        <v>0.129</v>
      </c>
      <c r="E203" s="3260">
        <v>0.13</v>
      </c>
      <c r="F203" s="3260">
        <v>0.13</v>
      </c>
      <c r="G203" s="3261">
        <v>0.13</v>
      </c>
    </row>
    <row r="204" spans="1:7">
      <c r="A204" s="3270" t="s">
        <v>304</v>
      </c>
      <c r="B204" s="3259" t="s">
        <v>2915</v>
      </c>
      <c r="C204" s="3260">
        <v>0.129</v>
      </c>
      <c r="D204" s="3260">
        <v>0.129</v>
      </c>
      <c r="E204" s="3260">
        <v>0.123</v>
      </c>
      <c r="F204" s="3260">
        <v>0.13</v>
      </c>
      <c r="G204" s="3261">
        <v>0.13</v>
      </c>
    </row>
    <row r="205" spans="1:7">
      <c r="A205" s="3270" t="s">
        <v>304</v>
      </c>
      <c r="B205" s="3259" t="s">
        <v>2917</v>
      </c>
      <c r="C205" s="3260">
        <v>0.13</v>
      </c>
      <c r="D205" s="3260">
        <v>0.13</v>
      </c>
      <c r="E205" s="3260">
        <v>0.13</v>
      </c>
      <c r="F205" s="3260">
        <v>0.13</v>
      </c>
      <c r="G205" s="3261">
        <v>0.13</v>
      </c>
    </row>
    <row r="206" spans="1:7">
      <c r="A206" s="3270" t="s">
        <v>304</v>
      </c>
      <c r="B206" s="3259" t="s">
        <v>2920</v>
      </c>
      <c r="C206" s="3260">
        <v>0.13</v>
      </c>
      <c r="D206" s="3260">
        <v>0.13</v>
      </c>
      <c r="E206" s="3260">
        <v>0.13</v>
      </c>
      <c r="F206" s="3260">
        <v>0.128</v>
      </c>
      <c r="G206" s="3261">
        <v>0.13</v>
      </c>
    </row>
    <row r="207" spans="1:7">
      <c r="A207" s="3270" t="s">
        <v>304</v>
      </c>
      <c r="B207" s="3259" t="s">
        <v>2922</v>
      </c>
      <c r="C207" s="3260">
        <v>0.13</v>
      </c>
      <c r="D207" s="3260">
        <v>0.13</v>
      </c>
      <c r="E207" s="3260">
        <v>0.13</v>
      </c>
      <c r="F207" s="3260">
        <v>0.13</v>
      </c>
      <c r="G207" s="3261">
        <v>0.13</v>
      </c>
    </row>
    <row r="208" spans="1:7">
      <c r="A208" s="3270" t="s">
        <v>304</v>
      </c>
      <c r="B208" s="3259" t="s">
        <v>2925</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2932</v>
      </c>
      <c r="C210" s="3260">
        <v>0.121</v>
      </c>
      <c r="D210" s="3260">
        <v>0.121</v>
      </c>
      <c r="E210" s="3260">
        <v>0.125</v>
      </c>
      <c r="F210" s="3260">
        <v>0.13</v>
      </c>
      <c r="G210" s="3261">
        <v>0.123</v>
      </c>
    </row>
    <row r="211" spans="1:7">
      <c r="A211" s="3270" t="s">
        <v>304</v>
      </c>
      <c r="B211" s="3259" t="s">
        <v>2935</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2947</v>
      </c>
      <c r="C214" s="3260">
        <v>0.128</v>
      </c>
      <c r="D214" s="3260">
        <v>0.128</v>
      </c>
      <c r="E214" s="3260">
        <v>0.13</v>
      </c>
      <c r="F214" s="3260">
        <v>0.13</v>
      </c>
      <c r="G214" s="3261">
        <v>0.13</v>
      </c>
    </row>
    <row r="215" spans="1:7">
      <c r="A215" s="3270" t="s">
        <v>304</v>
      </c>
      <c r="B215" s="3259" t="s">
        <v>2951</v>
      </c>
      <c r="C215" s="3260">
        <v>0.13</v>
      </c>
      <c r="D215" s="3260">
        <v>0.13</v>
      </c>
      <c r="E215" s="3260">
        <v>0.13</v>
      </c>
      <c r="F215" s="3260">
        <v>0.129</v>
      </c>
      <c r="G215" s="3261">
        <v>0.13</v>
      </c>
    </row>
    <row r="216" spans="1:7">
      <c r="A216" s="3270" t="s">
        <v>304</v>
      </c>
      <c r="B216" s="3259" t="s">
        <v>2958</v>
      </c>
      <c r="C216" s="3260">
        <v>0.13</v>
      </c>
      <c r="D216" s="3260">
        <v>0.13</v>
      </c>
      <c r="E216" s="3260">
        <v>0.13</v>
      </c>
      <c r="F216" s="3260">
        <v>0.13</v>
      </c>
      <c r="G216" s="3261">
        <v>0.13</v>
      </c>
    </row>
    <row r="217" spans="1:7">
      <c r="A217" s="3270" t="s">
        <v>304</v>
      </c>
      <c r="B217" s="3259" t="s">
        <v>2965</v>
      </c>
      <c r="C217" s="3260">
        <v>0.129</v>
      </c>
      <c r="D217" s="3260">
        <v>0.129</v>
      </c>
      <c r="E217" s="3260">
        <v>0.13</v>
      </c>
      <c r="F217" s="3260">
        <v>0.13</v>
      </c>
      <c r="G217" s="3261">
        <v>0.13</v>
      </c>
    </row>
    <row r="218" spans="1:7">
      <c r="A218" s="3270" t="s">
        <v>304</v>
      </c>
      <c r="B218" s="3259" t="s">
        <v>2971</v>
      </c>
      <c r="C218" s="3271"/>
      <c r="D218" s="3271"/>
      <c r="E218" s="3271"/>
      <c r="F218" s="3260">
        <v>0.05</v>
      </c>
      <c r="G218" s="3277"/>
    </row>
    <row r="219" spans="1:7">
      <c r="A219" s="3270" t="s">
        <v>304</v>
      </c>
      <c r="B219" s="3259" t="s">
        <v>2978</v>
      </c>
      <c r="C219" s="3271"/>
      <c r="D219" s="3271"/>
      <c r="E219" s="3271"/>
      <c r="F219" s="3260">
        <v>0.05</v>
      </c>
      <c r="G219" s="3277"/>
    </row>
    <row r="220" spans="1:7">
      <c r="A220" s="3270" t="s">
        <v>304</v>
      </c>
      <c r="B220" s="3259" t="s">
        <v>2984</v>
      </c>
      <c r="C220" s="3271"/>
      <c r="D220" s="3271"/>
      <c r="E220" s="3271"/>
      <c r="F220" s="3260">
        <v>0.05</v>
      </c>
      <c r="G220" s="3277"/>
    </row>
    <row r="221" spans="1:7">
      <c r="A221" s="3270" t="s">
        <v>304</v>
      </c>
      <c r="B221" s="3259" t="s">
        <v>2989</v>
      </c>
      <c r="C221" s="3271"/>
      <c r="D221" s="3271"/>
      <c r="E221" s="3271"/>
      <c r="F221" s="3260">
        <v>0.05</v>
      </c>
      <c r="G221" s="3277"/>
    </row>
    <row r="222" spans="1:7">
      <c r="A222" s="3270" t="s">
        <v>304</v>
      </c>
      <c r="B222" s="3259" t="s">
        <v>2993</v>
      </c>
      <c r="C222" s="3271"/>
      <c r="D222" s="3271"/>
      <c r="E222" s="3271"/>
      <c r="F222" s="3260">
        <v>0.05</v>
      </c>
      <c r="G222" s="3277"/>
    </row>
    <row r="223" spans="1:7">
      <c r="A223" s="3270" t="s">
        <v>304</v>
      </c>
      <c r="B223" s="3259" t="s">
        <v>2998</v>
      </c>
      <c r="C223" s="3271"/>
      <c r="D223" s="3271"/>
      <c r="E223" s="3271"/>
      <c r="F223" s="3260">
        <v>0.05</v>
      </c>
      <c r="G223" s="3277"/>
    </row>
    <row r="224" spans="1:7">
      <c r="A224" s="3270" t="s">
        <v>304</v>
      </c>
      <c r="B224" s="3259" t="s">
        <v>3003</v>
      </c>
      <c r="C224" s="3271"/>
      <c r="D224" s="3271"/>
      <c r="E224" s="3271"/>
      <c r="F224" s="3260">
        <v>0.05</v>
      </c>
      <c r="G224" s="3277"/>
    </row>
    <row r="225" spans="1:7">
      <c r="A225" s="3270" t="s">
        <v>304</v>
      </c>
      <c r="B225" s="3259" t="s">
        <v>3008</v>
      </c>
      <c r="C225" s="3271"/>
      <c r="D225" s="3271"/>
      <c r="E225" s="3271"/>
      <c r="F225" s="3260">
        <v>0.05</v>
      </c>
      <c r="G225" s="3277"/>
    </row>
    <row r="226" spans="1:7">
      <c r="A226" s="3270" t="s">
        <v>304</v>
      </c>
      <c r="B226" s="3259" t="s">
        <v>3210</v>
      </c>
      <c r="C226" s="3271"/>
      <c r="D226" s="3271"/>
      <c r="E226" s="3271"/>
      <c r="F226" s="3260">
        <v>0.05</v>
      </c>
      <c r="G226" s="3277"/>
    </row>
    <row r="227" spans="1:7">
      <c r="A227" s="3270" t="s">
        <v>304</v>
      </c>
      <c r="B227" s="3259" t="s">
        <v>3211</v>
      </c>
      <c r="C227" s="3271"/>
      <c r="D227" s="3271"/>
      <c r="E227" s="3271"/>
      <c r="F227" s="3260">
        <v>0.05</v>
      </c>
      <c r="G227" s="3277"/>
    </row>
    <row r="228" spans="1:7">
      <c r="A228" s="3270" t="s">
        <v>304</v>
      </c>
      <c r="B228" s="3259" t="s">
        <v>3212</v>
      </c>
      <c r="C228" s="3271"/>
      <c r="D228" s="3271"/>
      <c r="E228" s="3271"/>
      <c r="F228" s="3260">
        <v>0.05</v>
      </c>
      <c r="G228" s="3277"/>
    </row>
    <row r="229" spans="1:7">
      <c r="A229" s="3270" t="s">
        <v>304</v>
      </c>
      <c r="B229" s="3259" t="s">
        <v>3213</v>
      </c>
      <c r="C229" s="3271"/>
      <c r="D229" s="3271"/>
      <c r="E229" s="3271"/>
      <c r="F229" s="3260">
        <v>0.05</v>
      </c>
      <c r="G229" s="3277"/>
    </row>
    <row r="230" spans="1:7">
      <c r="A230" s="3270" t="s">
        <v>304</v>
      </c>
      <c r="B230" s="3259" t="s">
        <v>3214</v>
      </c>
      <c r="C230" s="3271"/>
      <c r="D230" s="3271"/>
      <c r="E230" s="3271"/>
      <c r="F230" s="3260">
        <v>0.05</v>
      </c>
      <c r="G230" s="3277"/>
    </row>
    <row r="231" spans="1:7">
      <c r="A231" s="3270" t="s">
        <v>304</v>
      </c>
      <c r="B231" s="3259" t="s">
        <v>3215</v>
      </c>
      <c r="C231" s="3271"/>
      <c r="D231" s="3271"/>
      <c r="E231" s="3271"/>
      <c r="F231" s="3260">
        <v>0.05</v>
      </c>
      <c r="G231" s="3277"/>
    </row>
    <row r="232" spans="1:7">
      <c r="A232" s="3270" t="s">
        <v>304</v>
      </c>
      <c r="B232" s="3259" t="s">
        <v>3216</v>
      </c>
      <c r="C232" s="3271"/>
      <c r="D232" s="3271"/>
      <c r="E232" s="3271"/>
      <c r="F232" s="3260">
        <v>0.05</v>
      </c>
      <c r="G232" s="3277"/>
    </row>
    <row r="233" spans="1:7" ht="14.25" thickBot="1">
      <c r="A233" s="3273" t="s">
        <v>304</v>
      </c>
      <c r="B233" s="3263" t="s">
        <v>3217</v>
      </c>
      <c r="C233" s="3265"/>
      <c r="D233" s="3265"/>
      <c r="E233" s="3265"/>
      <c r="F233" s="3264">
        <v>0.05</v>
      </c>
      <c r="G233" s="3278"/>
    </row>
    <row r="234" spans="1:7">
      <c r="A234" s="3269" t="s">
        <v>305</v>
      </c>
      <c r="B234" s="3255" t="s">
        <v>2866</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2886</v>
      </c>
      <c r="C238" s="3260">
        <v>0.14899999999999999</v>
      </c>
      <c r="D238" s="3260">
        <v>0.14899999999999999</v>
      </c>
      <c r="E238" s="3260">
        <v>0.15</v>
      </c>
      <c r="F238" s="3260">
        <v>0.15</v>
      </c>
      <c r="G238" s="3261">
        <v>0.15</v>
      </c>
    </row>
    <row r="239" spans="1:7">
      <c r="A239" s="3270" t="s">
        <v>305</v>
      </c>
      <c r="B239" s="3259" t="s">
        <v>2890</v>
      </c>
      <c r="C239" s="3260">
        <v>0.15</v>
      </c>
      <c r="D239" s="3260">
        <v>0.15</v>
      </c>
      <c r="E239" s="3260">
        <v>0.15</v>
      </c>
      <c r="F239" s="3260">
        <v>0.15</v>
      </c>
      <c r="G239" s="3261">
        <v>0.15</v>
      </c>
    </row>
    <row r="240" spans="1:7">
      <c r="A240" s="3270" t="s">
        <v>305</v>
      </c>
      <c r="B240" s="3259" t="s">
        <v>2895</v>
      </c>
      <c r="C240" s="3260">
        <v>0.15</v>
      </c>
      <c r="D240" s="3260">
        <v>0.15</v>
      </c>
      <c r="E240" s="3260">
        <v>0.15</v>
      </c>
      <c r="F240" s="3260">
        <v>0.15</v>
      </c>
      <c r="G240" s="3261">
        <v>0.15</v>
      </c>
    </row>
    <row r="241" spans="1:7">
      <c r="A241" s="3270" t="s">
        <v>305</v>
      </c>
      <c r="B241" s="3259" t="s">
        <v>2899</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2905</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2913</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2918</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2926</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2939</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2948</v>
      </c>
      <c r="C258" s="3260">
        <v>0.14299999999999999</v>
      </c>
      <c r="D258" s="3260">
        <v>0.14299999999999999</v>
      </c>
      <c r="E258" s="3260">
        <v>0.15</v>
      </c>
      <c r="F258" s="3260">
        <v>0.14799999999999999</v>
      </c>
      <c r="G258" s="3261">
        <v>0.14599999999999999</v>
      </c>
    </row>
    <row r="259" spans="1:7">
      <c r="A259" s="3270" t="s">
        <v>305</v>
      </c>
      <c r="B259" s="3259" t="s">
        <v>2952</v>
      </c>
      <c r="C259" s="3260">
        <v>0.14399999999999999</v>
      </c>
      <c r="D259" s="3260">
        <v>0.14399999999999999</v>
      </c>
      <c r="E259" s="3260">
        <v>0.14899999999999999</v>
      </c>
      <c r="F259" s="3260">
        <v>0.14699999999999999</v>
      </c>
      <c r="G259" s="3261">
        <v>0.14599999999999999</v>
      </c>
    </row>
    <row r="260" spans="1:7">
      <c r="A260" s="3270" t="s">
        <v>305</v>
      </c>
      <c r="B260" s="3259" t="s">
        <v>2959</v>
      </c>
      <c r="C260" s="3260">
        <v>0.109</v>
      </c>
      <c r="D260" s="3260">
        <v>0.111</v>
      </c>
      <c r="E260" s="3260">
        <v>0.13100000000000001</v>
      </c>
      <c r="F260" s="3260">
        <v>0.126</v>
      </c>
      <c r="G260" s="3261">
        <v>0.11899999999999999</v>
      </c>
    </row>
    <row r="261" spans="1:7">
      <c r="A261" s="3270" t="s">
        <v>305</v>
      </c>
      <c r="B261" s="3259" t="s">
        <v>2966</v>
      </c>
      <c r="C261" s="3260">
        <v>0.1</v>
      </c>
      <c r="D261" s="3260">
        <v>0.1</v>
      </c>
      <c r="E261" s="3260">
        <v>0.11799999999999999</v>
      </c>
      <c r="F261" s="3260">
        <v>0.108</v>
      </c>
      <c r="G261" s="3261">
        <v>0.107</v>
      </c>
    </row>
    <row r="262" spans="1:7">
      <c r="A262" s="3270" t="s">
        <v>305</v>
      </c>
      <c r="B262" s="3259" t="s">
        <v>2972</v>
      </c>
      <c r="C262" s="3260">
        <v>0.1</v>
      </c>
      <c r="D262" s="3260">
        <v>0.1</v>
      </c>
      <c r="E262" s="3260">
        <v>0.1</v>
      </c>
      <c r="F262" s="3260">
        <v>0.14099999999999999</v>
      </c>
      <c r="G262" s="3261">
        <v>0.1</v>
      </c>
    </row>
    <row r="263" spans="1:7">
      <c r="A263" s="3270" t="s">
        <v>305</v>
      </c>
      <c r="B263" s="3259" t="s">
        <v>2979</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2990</v>
      </c>
      <c r="C265" s="3271"/>
      <c r="D265" s="3271"/>
      <c r="E265" s="3271"/>
      <c r="F265" s="3260">
        <v>0.05</v>
      </c>
      <c r="G265" s="3277"/>
    </row>
    <row r="266" spans="1:7">
      <c r="A266" s="3270" t="s">
        <v>305</v>
      </c>
      <c r="B266" s="3259" t="s">
        <v>2994</v>
      </c>
      <c r="C266" s="3271"/>
      <c r="D266" s="3271"/>
      <c r="E266" s="3271"/>
      <c r="F266" s="3260">
        <v>0.05</v>
      </c>
      <c r="G266" s="3277"/>
    </row>
    <row r="267" spans="1:7">
      <c r="A267" s="3270" t="s">
        <v>305</v>
      </c>
      <c r="B267" s="3259" t="s">
        <v>2999</v>
      </c>
      <c r="C267" s="3271"/>
      <c r="D267" s="3271"/>
      <c r="E267" s="3271"/>
      <c r="F267" s="3260">
        <v>0.05</v>
      </c>
      <c r="G267" s="3277"/>
    </row>
    <row r="268" spans="1:7">
      <c r="A268" s="3270" t="s">
        <v>305</v>
      </c>
      <c r="B268" s="3259" t="s">
        <v>3004</v>
      </c>
      <c r="C268" s="3271"/>
      <c r="D268" s="3271"/>
      <c r="E268" s="3271"/>
      <c r="F268" s="3260">
        <v>0.05</v>
      </c>
      <c r="G268" s="3277"/>
    </row>
    <row r="269" spans="1:7">
      <c r="A269" s="3270" t="s">
        <v>305</v>
      </c>
      <c r="B269" s="3259" t="s">
        <v>3009</v>
      </c>
      <c r="C269" s="3271"/>
      <c r="D269" s="3271"/>
      <c r="E269" s="3271"/>
      <c r="F269" s="3260">
        <v>0.05</v>
      </c>
      <c r="G269" s="3277"/>
    </row>
    <row r="270" spans="1:7">
      <c r="A270" s="3270" t="s">
        <v>305</v>
      </c>
      <c r="B270" s="3259" t="s">
        <v>3014</v>
      </c>
      <c r="C270" s="3271"/>
      <c r="D270" s="3271"/>
      <c r="E270" s="3271"/>
      <c r="F270" s="3260">
        <v>0.05</v>
      </c>
      <c r="G270" s="3277"/>
    </row>
    <row r="271" spans="1:7">
      <c r="A271" s="3270" t="s">
        <v>305</v>
      </c>
      <c r="B271" s="3259" t="s">
        <v>3218</v>
      </c>
      <c r="C271" s="3271"/>
      <c r="D271" s="3271"/>
      <c r="E271" s="3271"/>
      <c r="F271" s="3260">
        <v>0.05</v>
      </c>
      <c r="G271" s="3277"/>
    </row>
    <row r="272" spans="1:7">
      <c r="A272" s="3270" t="s">
        <v>305</v>
      </c>
      <c r="B272" s="3259" t="s">
        <v>3219</v>
      </c>
      <c r="C272" s="3271"/>
      <c r="D272" s="3271"/>
      <c r="E272" s="3271"/>
      <c r="F272" s="3260">
        <v>0.05</v>
      </c>
      <c r="G272" s="3277"/>
    </row>
    <row r="273" spans="1:7">
      <c r="A273" s="3270" t="s">
        <v>305</v>
      </c>
      <c r="B273" s="3259" t="s">
        <v>3220</v>
      </c>
      <c r="C273" s="3271"/>
      <c r="D273" s="3271"/>
      <c r="E273" s="3271"/>
      <c r="F273" s="3260">
        <v>0.05</v>
      </c>
      <c r="G273" s="3277"/>
    </row>
    <row r="274" spans="1:7">
      <c r="A274" s="3270" t="s">
        <v>305</v>
      </c>
      <c r="B274" s="3259" t="s">
        <v>3221</v>
      </c>
      <c r="C274" s="3271"/>
      <c r="D274" s="3271"/>
      <c r="E274" s="3271"/>
      <c r="F274" s="3260">
        <v>0.05</v>
      </c>
      <c r="G274" s="3277"/>
    </row>
    <row r="275" spans="1:7">
      <c r="A275" s="3270" t="s">
        <v>305</v>
      </c>
      <c r="B275" s="3259" t="s">
        <v>3222</v>
      </c>
      <c r="C275" s="3271"/>
      <c r="D275" s="3271"/>
      <c r="E275" s="3271"/>
      <c r="F275" s="3260">
        <v>0.05</v>
      </c>
      <c r="G275" s="3277"/>
    </row>
    <row r="276" spans="1:7" ht="14.25" thickBot="1">
      <c r="A276" s="3273" t="s">
        <v>305</v>
      </c>
      <c r="B276" s="3263" t="s">
        <v>3223</v>
      </c>
      <c r="C276" s="3265"/>
      <c r="D276" s="3265"/>
      <c r="E276" s="3265"/>
      <c r="F276" s="3264">
        <v>0.05</v>
      </c>
      <c r="G276" s="3278"/>
    </row>
    <row r="277" spans="1:7">
      <c r="A277" s="3269" t="s">
        <v>306</v>
      </c>
      <c r="B277" s="3255" t="s">
        <v>2867</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2879</v>
      </c>
      <c r="C279" s="3260">
        <v>0.15</v>
      </c>
      <c r="D279" s="3260">
        <v>0.15</v>
      </c>
      <c r="E279" s="3260">
        <v>0.15</v>
      </c>
      <c r="F279" s="3260">
        <v>0.15</v>
      </c>
      <c r="G279" s="3261">
        <v>0.15</v>
      </c>
    </row>
    <row r="280" spans="1:7">
      <c r="A280" s="3270" t="s">
        <v>306</v>
      </c>
      <c r="B280" s="3259" t="s">
        <v>2883</v>
      </c>
      <c r="C280" s="3260">
        <v>0.15</v>
      </c>
      <c r="D280" s="3260">
        <v>0.15</v>
      </c>
      <c r="E280" s="3260">
        <v>0.15</v>
      </c>
      <c r="F280" s="3260">
        <v>0.15</v>
      </c>
      <c r="G280" s="3261">
        <v>0.15</v>
      </c>
    </row>
    <row r="281" spans="1:7">
      <c r="A281" s="3270" t="s">
        <v>306</v>
      </c>
      <c r="B281" s="3259" t="s">
        <v>2887</v>
      </c>
      <c r="C281" s="3260">
        <v>0.15</v>
      </c>
      <c r="D281" s="3260">
        <v>0.15</v>
      </c>
      <c r="E281" s="3260">
        <v>0.15</v>
      </c>
      <c r="F281" s="3260">
        <v>0.15</v>
      </c>
      <c r="G281" s="3261">
        <v>0.15</v>
      </c>
    </row>
    <row r="282" spans="1:7">
      <c r="A282" s="3270" t="s">
        <v>306</v>
      </c>
      <c r="B282" s="3259" t="s">
        <v>2891</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2906</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2911</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2921</v>
      </c>
      <c r="C293" s="3260">
        <v>0.15</v>
      </c>
      <c r="D293" s="3260">
        <v>0.15</v>
      </c>
      <c r="E293" s="3260">
        <v>0.15</v>
      </c>
      <c r="F293" s="3260">
        <v>0.14499999999999999</v>
      </c>
      <c r="G293" s="3261">
        <v>0.15</v>
      </c>
    </row>
    <row r="294" spans="1:7">
      <c r="A294" s="3270" t="s">
        <v>306</v>
      </c>
      <c r="B294" s="3259" t="s">
        <v>2923</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2940</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2953</v>
      </c>
      <c r="C302" s="3260">
        <v>0.15</v>
      </c>
      <c r="D302" s="3260">
        <v>0.15</v>
      </c>
      <c r="E302" s="3260">
        <v>0.15</v>
      </c>
      <c r="F302" s="3260">
        <v>0.14699999999999999</v>
      </c>
      <c r="G302" s="3261">
        <v>0.15</v>
      </c>
    </row>
    <row r="303" spans="1:7">
      <c r="A303" s="3270" t="s">
        <v>306</v>
      </c>
      <c r="B303" s="3259" t="s">
        <v>2960</v>
      </c>
      <c r="C303" s="3260">
        <v>0.15</v>
      </c>
      <c r="D303" s="3260">
        <v>0.15</v>
      </c>
      <c r="E303" s="3260">
        <v>0.15</v>
      </c>
      <c r="F303" s="3260">
        <v>0.14199999999999999</v>
      </c>
      <c r="G303" s="3261">
        <v>0.15</v>
      </c>
    </row>
    <row r="304" spans="1:7">
      <c r="A304" s="3270" t="s">
        <v>306</v>
      </c>
      <c r="B304" s="3259" t="s">
        <v>2967</v>
      </c>
      <c r="C304" s="3260">
        <v>0.15</v>
      </c>
      <c r="D304" s="3260">
        <v>0.15</v>
      </c>
      <c r="E304" s="3260">
        <v>0.15</v>
      </c>
      <c r="F304" s="3260">
        <v>0.14499999999999999</v>
      </c>
      <c r="G304" s="3261">
        <v>0.15</v>
      </c>
    </row>
    <row r="305" spans="1:7">
      <c r="A305" s="3270" t="s">
        <v>306</v>
      </c>
      <c r="B305" s="3259" t="s">
        <v>2973</v>
      </c>
      <c r="C305" s="3260">
        <v>0.15</v>
      </c>
      <c r="D305" s="3260">
        <v>0.15</v>
      </c>
      <c r="E305" s="3260">
        <v>0.15</v>
      </c>
      <c r="F305" s="3260">
        <v>0.111</v>
      </c>
      <c r="G305" s="3261">
        <v>0.15</v>
      </c>
    </row>
    <row r="306" spans="1:7">
      <c r="A306" s="3270" t="s">
        <v>306</v>
      </c>
      <c r="B306" s="3259" t="s">
        <v>2980</v>
      </c>
      <c r="C306" s="3260">
        <v>0.15</v>
      </c>
      <c r="D306" s="3260">
        <v>0.15</v>
      </c>
      <c r="E306" s="3260">
        <v>0.15</v>
      </c>
      <c r="F306" s="3260">
        <v>0.126</v>
      </c>
      <c r="G306" s="3261">
        <v>0.15</v>
      </c>
    </row>
    <row r="307" spans="1:7">
      <c r="A307" s="3270" t="s">
        <v>306</v>
      </c>
      <c r="B307" s="3259" t="s">
        <v>2985</v>
      </c>
      <c r="C307" s="3260">
        <v>0.15</v>
      </c>
      <c r="D307" s="3260">
        <v>0.15</v>
      </c>
      <c r="E307" s="3260">
        <v>0.15</v>
      </c>
      <c r="F307" s="3260">
        <v>0.12</v>
      </c>
      <c r="G307" s="3261">
        <v>0.15</v>
      </c>
    </row>
    <row r="308" spans="1:7">
      <c r="A308" s="3270" t="s">
        <v>306</v>
      </c>
      <c r="B308" s="3259" t="s">
        <v>2991</v>
      </c>
      <c r="C308" s="3260">
        <v>0.15</v>
      </c>
      <c r="D308" s="3260">
        <v>0.15</v>
      </c>
      <c r="E308" s="3260">
        <v>0.15</v>
      </c>
      <c r="F308" s="3260">
        <v>0.13</v>
      </c>
      <c r="G308" s="3261">
        <v>0.15</v>
      </c>
    </row>
    <row r="309" spans="1:7">
      <c r="A309" s="3270" t="s">
        <v>306</v>
      </c>
      <c r="B309" s="3259" t="s">
        <v>2995</v>
      </c>
      <c r="C309" s="3260">
        <v>0.15</v>
      </c>
      <c r="D309" s="3260">
        <v>0.15</v>
      </c>
      <c r="E309" s="3260">
        <v>0.15</v>
      </c>
      <c r="F309" s="3260">
        <v>0.14099999999999999</v>
      </c>
      <c r="G309" s="3261">
        <v>0.15</v>
      </c>
    </row>
    <row r="310" spans="1:7">
      <c r="A310" s="3270" t="s">
        <v>306</v>
      </c>
      <c r="B310" s="3259" t="s">
        <v>3000</v>
      </c>
      <c r="C310" s="3260">
        <v>0.15</v>
      </c>
      <c r="D310" s="3260">
        <v>0.15</v>
      </c>
      <c r="E310" s="3260">
        <v>0.15</v>
      </c>
      <c r="F310" s="3260">
        <v>0.15</v>
      </c>
      <c r="G310" s="3261">
        <v>0.15</v>
      </c>
    </row>
    <row r="311" spans="1:7">
      <c r="A311" s="3270" t="s">
        <v>306</v>
      </c>
      <c r="B311" s="3259" t="s">
        <v>3005</v>
      </c>
      <c r="C311" s="3260">
        <v>0.13200000000000001</v>
      </c>
      <c r="D311" s="3260">
        <v>0.13300000000000001</v>
      </c>
      <c r="E311" s="3260">
        <v>0.14499999999999999</v>
      </c>
      <c r="F311" s="3260">
        <v>0.14199999999999999</v>
      </c>
      <c r="G311" s="3261">
        <v>0.14000000000000001</v>
      </c>
    </row>
    <row r="312" spans="1:7">
      <c r="A312" s="3270" t="s">
        <v>306</v>
      </c>
      <c r="B312" s="3259" t="s">
        <v>3010</v>
      </c>
      <c r="C312" s="3260">
        <v>0.13800000000000001</v>
      </c>
      <c r="D312" s="3260">
        <v>0.14000000000000001</v>
      </c>
      <c r="E312" s="3260">
        <v>0.14599999999999999</v>
      </c>
      <c r="F312" s="3260">
        <v>0.14899999999999999</v>
      </c>
      <c r="G312" s="3261">
        <v>0.14199999999999999</v>
      </c>
    </row>
    <row r="313" spans="1:7">
      <c r="A313" s="3270" t="s">
        <v>306</v>
      </c>
      <c r="B313" s="3259" t="s">
        <v>3015</v>
      </c>
      <c r="C313" s="3260">
        <v>0.125</v>
      </c>
      <c r="D313" s="3260">
        <v>0.127</v>
      </c>
      <c r="E313" s="3260">
        <v>0.14399999999999999</v>
      </c>
      <c r="F313" s="3260">
        <v>0.115</v>
      </c>
      <c r="G313" s="3261">
        <v>0.13600000000000001</v>
      </c>
    </row>
    <row r="314" spans="1:7">
      <c r="A314" s="3270" t="s">
        <v>306</v>
      </c>
      <c r="B314" s="3259" t="s">
        <v>3224</v>
      </c>
      <c r="C314" s="3276"/>
      <c r="D314" s="3276"/>
      <c r="E314" s="3276"/>
      <c r="F314" s="3260">
        <v>0.05</v>
      </c>
      <c r="G314" s="3277"/>
    </row>
    <row r="315" spans="1:7">
      <c r="A315" s="3270" t="s">
        <v>306</v>
      </c>
      <c r="B315" s="3259" t="s">
        <v>3225</v>
      </c>
      <c r="C315" s="3276"/>
      <c r="D315" s="3276"/>
      <c r="E315" s="3276"/>
      <c r="F315" s="3260">
        <v>0.05</v>
      </c>
      <c r="G315" s="3277"/>
    </row>
    <row r="316" spans="1:7">
      <c r="A316" s="3270" t="s">
        <v>306</v>
      </c>
      <c r="B316" s="3259" t="s">
        <v>3226</v>
      </c>
      <c r="C316" s="3271"/>
      <c r="D316" s="3271"/>
      <c r="E316" s="3271"/>
      <c r="F316" s="3260">
        <v>0.05</v>
      </c>
      <c r="G316" s="3277"/>
    </row>
    <row r="317" spans="1:7">
      <c r="A317" s="3270" t="s">
        <v>306</v>
      </c>
      <c r="B317" s="3259" t="s">
        <v>3227</v>
      </c>
      <c r="C317" s="3271"/>
      <c r="D317" s="3271"/>
      <c r="E317" s="3271"/>
      <c r="F317" s="3260">
        <v>0.05</v>
      </c>
      <c r="G317" s="3277"/>
    </row>
    <row r="318" spans="1:7">
      <c r="A318" s="3270" t="s">
        <v>306</v>
      </c>
      <c r="B318" s="3259" t="s">
        <v>3228</v>
      </c>
      <c r="C318" s="3271"/>
      <c r="D318" s="3271"/>
      <c r="E318" s="3271"/>
      <c r="F318" s="3260">
        <v>0.05</v>
      </c>
      <c r="G318" s="3277"/>
    </row>
    <row r="319" spans="1:7">
      <c r="A319" s="3270" t="s">
        <v>306</v>
      </c>
      <c r="B319" s="3259" t="s">
        <v>3229</v>
      </c>
      <c r="C319" s="3271"/>
      <c r="D319" s="3271"/>
      <c r="E319" s="3271"/>
      <c r="F319" s="3260">
        <v>0.05</v>
      </c>
      <c r="G319" s="3277"/>
    </row>
    <row r="320" spans="1:7">
      <c r="A320" s="3270" t="s">
        <v>306</v>
      </c>
      <c r="B320" s="3259" t="s">
        <v>3230</v>
      </c>
      <c r="C320" s="3271"/>
      <c r="D320" s="3271"/>
      <c r="E320" s="3271"/>
      <c r="F320" s="3260">
        <v>0.05</v>
      </c>
      <c r="G320" s="3277"/>
    </row>
    <row r="321" spans="1:7">
      <c r="A321" s="3270" t="s">
        <v>306</v>
      </c>
      <c r="B321" s="3259" t="s">
        <v>3231</v>
      </c>
      <c r="C321" s="3271"/>
      <c r="D321" s="3271"/>
      <c r="E321" s="3271"/>
      <c r="F321" s="3260">
        <v>0.05</v>
      </c>
      <c r="G321" s="3277"/>
    </row>
    <row r="322" spans="1:7">
      <c r="A322" s="3270" t="s">
        <v>306</v>
      </c>
      <c r="B322" s="3259" t="s">
        <v>3232</v>
      </c>
      <c r="C322" s="3271"/>
      <c r="D322" s="3271"/>
      <c r="E322" s="3271"/>
      <c r="F322" s="3260">
        <v>0.05</v>
      </c>
      <c r="G322" s="3277"/>
    </row>
    <row r="323" spans="1:7">
      <c r="A323" s="3270" t="s">
        <v>306</v>
      </c>
      <c r="B323" s="3259" t="s">
        <v>3233</v>
      </c>
      <c r="C323" s="3271"/>
      <c r="D323" s="3271"/>
      <c r="E323" s="3271"/>
      <c r="F323" s="3260">
        <v>0.05</v>
      </c>
      <c r="G323" s="3277"/>
    </row>
    <row r="324" spans="1:7">
      <c r="A324" s="3270" t="s">
        <v>306</v>
      </c>
      <c r="B324" s="3259" t="s">
        <v>3234</v>
      </c>
      <c r="C324" s="3271"/>
      <c r="D324" s="3271"/>
      <c r="E324" s="3271"/>
      <c r="F324" s="3260">
        <v>0.05</v>
      </c>
      <c r="G324" s="3277"/>
    </row>
    <row r="325" spans="1:7">
      <c r="A325" s="3270" t="s">
        <v>306</v>
      </c>
      <c r="B325" s="3259" t="s">
        <v>3235</v>
      </c>
      <c r="C325" s="3271"/>
      <c r="D325" s="3271"/>
      <c r="E325" s="3271"/>
      <c r="F325" s="3260">
        <v>0.05</v>
      </c>
      <c r="G325" s="3277"/>
    </row>
    <row r="326" spans="1:7" ht="14.25" thickBot="1">
      <c r="A326" s="3273" t="s">
        <v>306</v>
      </c>
      <c r="B326" s="3263" t="s">
        <v>3236</v>
      </c>
      <c r="C326" s="3265"/>
      <c r="D326" s="3265"/>
      <c r="E326" s="3265"/>
      <c r="F326" s="3264">
        <v>0.05</v>
      </c>
      <c r="G326" s="3278"/>
    </row>
    <row r="327" spans="1:7">
      <c r="A327" s="3269" t="s">
        <v>307</v>
      </c>
      <c r="B327" s="3255" t="s">
        <v>2868</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2880</v>
      </c>
      <c r="C329" s="3260">
        <v>0.15</v>
      </c>
      <c r="D329" s="3260">
        <v>0.15</v>
      </c>
      <c r="E329" s="3260">
        <v>0.15</v>
      </c>
      <c r="F329" s="3260">
        <v>0.15</v>
      </c>
      <c r="G329" s="3261">
        <v>0.15</v>
      </c>
    </row>
    <row r="330" spans="1:7">
      <c r="A330" s="3270" t="s">
        <v>307</v>
      </c>
      <c r="B330" s="3259" t="s">
        <v>2884</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2892</v>
      </c>
      <c r="C332" s="3260">
        <v>0.15</v>
      </c>
      <c r="D332" s="3260">
        <v>0.15</v>
      </c>
      <c r="E332" s="3260">
        <v>0.15</v>
      </c>
      <c r="F332" s="3260">
        <v>0.15</v>
      </c>
      <c r="G332" s="3261">
        <v>0.15</v>
      </c>
    </row>
    <row r="333" spans="1:7">
      <c r="A333" s="3270" t="s">
        <v>307</v>
      </c>
      <c r="B333" s="3259" t="s">
        <v>2896</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2902</v>
      </c>
      <c r="C336" s="3260">
        <v>0.15</v>
      </c>
      <c r="D336" s="3260">
        <v>0.15</v>
      </c>
      <c r="E336" s="3260">
        <v>0.15</v>
      </c>
      <c r="F336" s="3260">
        <v>0.14199999999999999</v>
      </c>
      <c r="G336" s="3261">
        <v>0.15</v>
      </c>
    </row>
    <row r="337" spans="1:7">
      <c r="A337" s="3270" t="s">
        <v>307</v>
      </c>
      <c r="B337" s="3259" t="s">
        <v>2907</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2914</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2919</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2927</v>
      </c>
      <c r="C345" s="3260">
        <v>0.15</v>
      </c>
      <c r="D345" s="3260">
        <v>0.15</v>
      </c>
      <c r="E345" s="3260">
        <v>0.15</v>
      </c>
      <c r="F345" s="3260">
        <v>0.13800000000000001</v>
      </c>
      <c r="G345" s="3261">
        <v>0.15</v>
      </c>
    </row>
    <row r="346" spans="1:7">
      <c r="A346" s="3270" t="s">
        <v>307</v>
      </c>
      <c r="B346" s="3259" t="s">
        <v>2929</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2936</v>
      </c>
      <c r="C348" s="3260">
        <v>0.15</v>
      </c>
      <c r="D348" s="3260">
        <v>0.15</v>
      </c>
      <c r="E348" s="3260">
        <v>0.15</v>
      </c>
      <c r="F348" s="3260">
        <v>0.14399999999999999</v>
      </c>
      <c r="G348" s="3261">
        <v>0.15</v>
      </c>
    </row>
    <row r="349" spans="1:7">
      <c r="A349" s="3270" t="s">
        <v>307</v>
      </c>
      <c r="B349" s="3259" t="s">
        <v>2941</v>
      </c>
      <c r="C349" s="3260">
        <v>0.15</v>
      </c>
      <c r="D349" s="3260">
        <v>0.15</v>
      </c>
      <c r="E349" s="3260">
        <v>0.15</v>
      </c>
      <c r="F349" s="3260">
        <v>0.15</v>
      </c>
      <c r="G349" s="3261">
        <v>0.15</v>
      </c>
    </row>
    <row r="350" spans="1:7">
      <c r="A350" s="3270" t="s">
        <v>307</v>
      </c>
      <c r="B350" s="3259" t="s">
        <v>2944</v>
      </c>
      <c r="C350" s="3260">
        <v>0.15</v>
      </c>
      <c r="D350" s="3260">
        <v>0.15</v>
      </c>
      <c r="E350" s="3260">
        <v>0.15</v>
      </c>
      <c r="F350" s="3260">
        <v>0.14699999999999999</v>
      </c>
      <c r="G350" s="3261">
        <v>0.15</v>
      </c>
    </row>
    <row r="351" spans="1:7">
      <c r="A351" s="3270" t="s">
        <v>307</v>
      </c>
      <c r="B351" s="3259" t="s">
        <v>2949</v>
      </c>
      <c r="C351" s="3260">
        <v>0.15</v>
      </c>
      <c r="D351" s="3260">
        <v>0.15</v>
      </c>
      <c r="E351" s="3260">
        <v>0.15</v>
      </c>
      <c r="F351" s="3260">
        <v>0.13</v>
      </c>
      <c r="G351" s="3261">
        <v>0.15</v>
      </c>
    </row>
    <row r="352" spans="1:7">
      <c r="A352" s="3270" t="s">
        <v>307</v>
      </c>
      <c r="B352" s="3259" t="s">
        <v>2954</v>
      </c>
      <c r="C352" s="3260">
        <v>0.15</v>
      </c>
      <c r="D352" s="3260">
        <v>0.15</v>
      </c>
      <c r="E352" s="3260">
        <v>0.15</v>
      </c>
      <c r="F352" s="3260">
        <v>0.14599999999999999</v>
      </c>
      <c r="G352" s="3261">
        <v>0.15</v>
      </c>
    </row>
    <row r="353" spans="1:7">
      <c r="A353" s="3270" t="s">
        <v>307</v>
      </c>
      <c r="B353" s="3259" t="s">
        <v>2961</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2974</v>
      </c>
      <c r="C355" s="3260">
        <v>0.15</v>
      </c>
      <c r="D355" s="3260">
        <v>0.15</v>
      </c>
      <c r="E355" s="3260">
        <v>0.15</v>
      </c>
      <c r="F355" s="3260">
        <v>0.15</v>
      </c>
      <c r="G355" s="3261">
        <v>0.15</v>
      </c>
    </row>
    <row r="356" spans="1:7">
      <c r="A356" s="3270" t="s">
        <v>307</v>
      </c>
      <c r="B356" s="3259" t="s">
        <v>2981</v>
      </c>
      <c r="C356" s="3260">
        <v>0.15</v>
      </c>
      <c r="D356" s="3260">
        <v>0.15</v>
      </c>
      <c r="E356" s="3260">
        <v>0.15</v>
      </c>
      <c r="F356" s="3260">
        <v>0.15</v>
      </c>
      <c r="G356" s="3261">
        <v>0.15</v>
      </c>
    </row>
    <row r="357" spans="1:7" ht="14.25" thickBot="1">
      <c r="A357" s="3273" t="s">
        <v>307</v>
      </c>
      <c r="B357" s="3263" t="s">
        <v>2986</v>
      </c>
      <c r="C357" s="3264">
        <v>0.126</v>
      </c>
      <c r="D357" s="3264">
        <v>0.127</v>
      </c>
      <c r="E357" s="3264">
        <v>0.14299999999999999</v>
      </c>
      <c r="F357" s="3264">
        <v>0.125</v>
      </c>
      <c r="G357" s="3266">
        <v>0.129</v>
      </c>
    </row>
    <row r="358" spans="1:7">
      <c r="A358" s="3269" t="s">
        <v>2855</v>
      </c>
      <c r="B358" s="3255" t="s">
        <v>2869</v>
      </c>
      <c r="C358" s="3256">
        <v>0.15</v>
      </c>
      <c r="D358" s="3256">
        <v>0.15</v>
      </c>
      <c r="E358" s="3256">
        <v>0.15</v>
      </c>
      <c r="F358" s="3256">
        <v>0.15</v>
      </c>
      <c r="G358" s="3257">
        <v>0.15</v>
      </c>
    </row>
    <row r="359" spans="1:7">
      <c r="A359" s="3270" t="s">
        <v>2855</v>
      </c>
      <c r="B359" s="3259" t="s">
        <v>2875</v>
      </c>
      <c r="C359" s="3260">
        <v>0.1</v>
      </c>
      <c r="D359" s="3260">
        <v>0.1</v>
      </c>
      <c r="E359" s="3260">
        <v>0.1</v>
      </c>
      <c r="F359" s="3260">
        <v>0.1</v>
      </c>
      <c r="G359" s="3261">
        <v>0.1</v>
      </c>
    </row>
    <row r="360" spans="1:7">
      <c r="A360" s="3270" t="s">
        <v>2855</v>
      </c>
      <c r="B360" s="3259" t="s">
        <v>2881</v>
      </c>
      <c r="C360" s="3260">
        <v>0.15</v>
      </c>
      <c r="D360" s="3260">
        <v>0.15</v>
      </c>
      <c r="E360" s="3260">
        <v>0.15</v>
      </c>
      <c r="F360" s="3260">
        <v>0.14899999999999999</v>
      </c>
      <c r="G360" s="3261">
        <v>0.15</v>
      </c>
    </row>
    <row r="361" spans="1:7">
      <c r="A361" s="3270" t="s">
        <v>2855</v>
      </c>
      <c r="B361" s="3259" t="s">
        <v>153</v>
      </c>
      <c r="C361" s="3260">
        <v>0.15</v>
      </c>
      <c r="D361" s="3260">
        <v>0.15</v>
      </c>
      <c r="E361" s="3260">
        <v>0.15</v>
      </c>
      <c r="F361" s="3260">
        <v>0.115</v>
      </c>
      <c r="G361" s="3261">
        <v>0.15</v>
      </c>
    </row>
    <row r="362" spans="1:7">
      <c r="A362" s="3270" t="s">
        <v>2855</v>
      </c>
      <c r="B362" s="3259" t="s">
        <v>2888</v>
      </c>
      <c r="C362" s="3260">
        <v>0.15</v>
      </c>
      <c r="D362" s="3260">
        <v>0.15</v>
      </c>
      <c r="E362" s="3260">
        <v>0.15</v>
      </c>
      <c r="F362" s="3260">
        <v>0.106</v>
      </c>
      <c r="G362" s="3261">
        <v>0.15</v>
      </c>
    </row>
    <row r="363" spans="1:7">
      <c r="A363" s="3270" t="s">
        <v>2855</v>
      </c>
      <c r="B363" s="3259" t="s">
        <v>2893</v>
      </c>
      <c r="C363" s="3260">
        <v>0.15</v>
      </c>
      <c r="D363" s="3260">
        <v>0.15</v>
      </c>
      <c r="E363" s="3260">
        <v>0.15</v>
      </c>
      <c r="F363" s="3260">
        <v>0.14699999999999999</v>
      </c>
      <c r="G363" s="3261">
        <v>0.15</v>
      </c>
    </row>
    <row r="364" spans="1:7">
      <c r="A364" s="3270" t="s">
        <v>2855</v>
      </c>
      <c r="B364" s="3259" t="s">
        <v>2897</v>
      </c>
      <c r="C364" s="3260">
        <v>0.15</v>
      </c>
      <c r="D364" s="3260">
        <v>0.15</v>
      </c>
      <c r="E364" s="3260">
        <v>0.15</v>
      </c>
      <c r="F364" s="3260">
        <v>0.14799999999999999</v>
      </c>
      <c r="G364" s="3261">
        <v>0.15</v>
      </c>
    </row>
    <row r="365" spans="1:7">
      <c r="A365" s="3270" t="s">
        <v>2855</v>
      </c>
      <c r="B365" s="3259" t="s">
        <v>200</v>
      </c>
      <c r="C365" s="3260">
        <v>0.15</v>
      </c>
      <c r="D365" s="3260">
        <v>0.15</v>
      </c>
      <c r="E365" s="3260">
        <v>0.15</v>
      </c>
      <c r="F365" s="3260">
        <v>0.15</v>
      </c>
      <c r="G365" s="3261">
        <v>0.15</v>
      </c>
    </row>
    <row r="366" spans="1:7">
      <c r="A366" s="3270" t="s">
        <v>2855</v>
      </c>
      <c r="B366" s="3259" t="s">
        <v>2900</v>
      </c>
      <c r="C366" s="3260">
        <v>0.15</v>
      </c>
      <c r="D366" s="3260">
        <v>0.15</v>
      </c>
      <c r="E366" s="3260">
        <v>0.15</v>
      </c>
      <c r="F366" s="3260">
        <v>0.15</v>
      </c>
      <c r="G366" s="3261">
        <v>0.15</v>
      </c>
    </row>
    <row r="367" spans="1:7">
      <c r="A367" s="3270" t="s">
        <v>2855</v>
      </c>
      <c r="B367" s="3259" t="s">
        <v>2903</v>
      </c>
      <c r="C367" s="3260">
        <v>0.15</v>
      </c>
      <c r="D367" s="3260">
        <v>0.15</v>
      </c>
      <c r="E367" s="3260">
        <v>0.15</v>
      </c>
      <c r="F367" s="3260">
        <v>0.14699999999999999</v>
      </c>
      <c r="G367" s="3261">
        <v>0.15</v>
      </c>
    </row>
    <row r="368" spans="1:7">
      <c r="A368" s="3270" t="s">
        <v>2855</v>
      </c>
      <c r="B368" s="3259" t="s">
        <v>2908</v>
      </c>
      <c r="C368" s="3260">
        <v>0.15</v>
      </c>
      <c r="D368" s="3260">
        <v>0.15</v>
      </c>
      <c r="E368" s="3260">
        <v>0.15</v>
      </c>
      <c r="F368" s="3260">
        <v>0.13600000000000001</v>
      </c>
      <c r="G368" s="3261">
        <v>0.15</v>
      </c>
    </row>
    <row r="369" spans="1:7">
      <c r="A369" s="3270" t="s">
        <v>2855</v>
      </c>
      <c r="B369" s="3259" t="s">
        <v>214</v>
      </c>
      <c r="C369" s="3260">
        <v>0.15</v>
      </c>
      <c r="D369" s="3260">
        <v>0.15</v>
      </c>
      <c r="E369" s="3260">
        <v>0.15</v>
      </c>
      <c r="F369" s="3260">
        <v>0.14399999999999999</v>
      </c>
      <c r="G369" s="3261">
        <v>0.15</v>
      </c>
    </row>
    <row r="370" spans="1:7">
      <c r="A370" s="3270" t="s">
        <v>2855</v>
      </c>
      <c r="B370" s="3259" t="s">
        <v>221</v>
      </c>
      <c r="C370" s="3260">
        <v>0.15</v>
      </c>
      <c r="D370" s="3260">
        <v>0.15</v>
      </c>
      <c r="E370" s="3260">
        <v>0.15</v>
      </c>
      <c r="F370" s="3260">
        <v>0.14599999999999999</v>
      </c>
      <c r="G370" s="3261">
        <v>0.15</v>
      </c>
    </row>
    <row r="371" spans="1:7">
      <c r="A371" s="3270" t="s">
        <v>2855</v>
      </c>
      <c r="B371" s="3259" t="s">
        <v>229</v>
      </c>
      <c r="C371" s="3260">
        <v>0.15</v>
      </c>
      <c r="D371" s="3260">
        <v>0.15</v>
      </c>
      <c r="E371" s="3260">
        <v>0.15</v>
      </c>
      <c r="F371" s="3260">
        <v>0.12</v>
      </c>
      <c r="G371" s="3261">
        <v>0.15</v>
      </c>
    </row>
    <row r="372" spans="1:7">
      <c r="A372" s="3270" t="s">
        <v>2855</v>
      </c>
      <c r="B372" s="3259" t="s">
        <v>2916</v>
      </c>
      <c r="C372" s="3260">
        <v>0.15</v>
      </c>
      <c r="D372" s="3260">
        <v>0.15</v>
      </c>
      <c r="E372" s="3260">
        <v>0.15</v>
      </c>
      <c r="F372" s="3260">
        <v>0.14299999999999999</v>
      </c>
      <c r="G372" s="3261">
        <v>0.15</v>
      </c>
    </row>
    <row r="373" spans="1:7">
      <c r="A373" s="3270" t="s">
        <v>2855</v>
      </c>
      <c r="B373" s="3259" t="s">
        <v>258</v>
      </c>
      <c r="C373" s="3260">
        <v>0.15</v>
      </c>
      <c r="D373" s="3260">
        <v>0.15</v>
      </c>
      <c r="E373" s="3260">
        <v>0.15</v>
      </c>
      <c r="F373" s="3260">
        <v>0.14599999999999999</v>
      </c>
      <c r="G373" s="3261">
        <v>0.15</v>
      </c>
    </row>
    <row r="374" spans="1:7">
      <c r="A374" s="3270" t="s">
        <v>2855</v>
      </c>
      <c r="B374" s="3259" t="s">
        <v>266</v>
      </c>
      <c r="C374" s="3260">
        <v>0.15</v>
      </c>
      <c r="D374" s="3260">
        <v>0.15</v>
      </c>
      <c r="E374" s="3260">
        <v>0.15</v>
      </c>
      <c r="F374" s="3260">
        <v>0.14399999999999999</v>
      </c>
      <c r="G374" s="3261">
        <v>0.15</v>
      </c>
    </row>
    <row r="375" spans="1:7">
      <c r="A375" s="3270" t="s">
        <v>2855</v>
      </c>
      <c r="B375" s="3259" t="s">
        <v>2924</v>
      </c>
      <c r="C375" s="3260">
        <v>0.15</v>
      </c>
      <c r="D375" s="3260">
        <v>0.15</v>
      </c>
      <c r="E375" s="3260">
        <v>0.15</v>
      </c>
      <c r="F375" s="3260">
        <v>0.13</v>
      </c>
      <c r="G375" s="3261">
        <v>0.15</v>
      </c>
    </row>
    <row r="376" spans="1:7">
      <c r="A376" s="3270" t="s">
        <v>2855</v>
      </c>
      <c r="B376" s="3259" t="s">
        <v>277</v>
      </c>
      <c r="C376" s="3260">
        <v>0.15</v>
      </c>
      <c r="D376" s="3260">
        <v>0.15</v>
      </c>
      <c r="E376" s="3260">
        <v>0.15</v>
      </c>
      <c r="F376" s="3260">
        <v>0.14199999999999999</v>
      </c>
      <c r="G376" s="3261">
        <v>0.15</v>
      </c>
    </row>
    <row r="377" spans="1:7" ht="14.25" thickBot="1">
      <c r="A377" s="3273" t="s">
        <v>2855</v>
      </c>
      <c r="B377" s="3263" t="s">
        <v>2930</v>
      </c>
      <c r="C377" s="3264">
        <v>0.15</v>
      </c>
      <c r="D377" s="3264">
        <v>0.15</v>
      </c>
      <c r="E377" s="3264">
        <v>0.15</v>
      </c>
      <c r="F377" s="3264">
        <v>0.14000000000000001</v>
      </c>
      <c r="G377" s="3266">
        <v>0.15</v>
      </c>
    </row>
    <row r="378" spans="1:7">
      <c r="A378" s="3269" t="s">
        <v>2856</v>
      </c>
      <c r="B378" s="3255" t="s">
        <v>2870</v>
      </c>
      <c r="C378" s="3256">
        <v>0.15</v>
      </c>
      <c r="D378" s="3256">
        <v>0.15</v>
      </c>
      <c r="E378" s="3256">
        <v>0.15</v>
      </c>
      <c r="F378" s="3256">
        <v>0.107</v>
      </c>
      <c r="G378" s="3257">
        <v>0.15</v>
      </c>
    </row>
    <row r="379" spans="1:7">
      <c r="A379" s="3270" t="s">
        <v>2856</v>
      </c>
      <c r="B379" s="3259" t="s">
        <v>2876</v>
      </c>
      <c r="C379" s="3260">
        <v>0.15</v>
      </c>
      <c r="D379" s="3260">
        <v>0.15</v>
      </c>
      <c r="E379" s="3260">
        <v>0.15</v>
      </c>
      <c r="F379" s="3260">
        <v>0.115</v>
      </c>
      <c r="G379" s="3261">
        <v>0.14899999999999999</v>
      </c>
    </row>
    <row r="380" spans="1:7">
      <c r="A380" s="3270" t="s">
        <v>2856</v>
      </c>
      <c r="B380" s="3259" t="s">
        <v>2882</v>
      </c>
      <c r="C380" s="3260">
        <v>0.15</v>
      </c>
      <c r="D380" s="3260">
        <v>0.15</v>
      </c>
      <c r="E380" s="3260">
        <v>0.15</v>
      </c>
      <c r="F380" s="3260">
        <v>0.1</v>
      </c>
      <c r="G380" s="3261">
        <v>0.14799999999999999</v>
      </c>
    </row>
    <row r="381" spans="1:7">
      <c r="A381" s="3270" t="s">
        <v>2856</v>
      </c>
      <c r="B381" s="3259" t="s">
        <v>2885</v>
      </c>
      <c r="C381" s="3260">
        <v>0.15</v>
      </c>
      <c r="D381" s="3260">
        <v>0.15</v>
      </c>
      <c r="E381" s="3260">
        <v>0.15</v>
      </c>
      <c r="F381" s="3260">
        <v>0.126</v>
      </c>
      <c r="G381" s="3261">
        <v>0.15</v>
      </c>
    </row>
    <row r="382" spans="1:7">
      <c r="A382" s="3270" t="s">
        <v>2856</v>
      </c>
      <c r="B382" s="3259" t="s">
        <v>2889</v>
      </c>
      <c r="C382" s="3260">
        <v>0.15</v>
      </c>
      <c r="D382" s="3260">
        <v>0.15</v>
      </c>
      <c r="E382" s="3260">
        <v>0.15</v>
      </c>
      <c r="F382" s="3260">
        <v>0.15</v>
      </c>
      <c r="G382" s="3261">
        <v>0.15</v>
      </c>
    </row>
    <row r="383" spans="1:7">
      <c r="A383" s="3270" t="s">
        <v>2856</v>
      </c>
      <c r="B383" s="3259" t="s">
        <v>2894</v>
      </c>
      <c r="C383" s="3260">
        <v>0.15</v>
      </c>
      <c r="D383" s="3260">
        <v>0.15</v>
      </c>
      <c r="E383" s="3260">
        <v>0.15</v>
      </c>
      <c r="F383" s="3260">
        <v>0.14699999999999999</v>
      </c>
      <c r="G383" s="3261">
        <v>0.15</v>
      </c>
    </row>
    <row r="384" spans="1:7" ht="14.25" thickBot="1">
      <c r="A384" s="3280" t="s">
        <v>2856</v>
      </c>
      <c r="B384" s="3281" t="s">
        <v>2898</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17"/>
  <sheetViews>
    <sheetView workbookViewId="0">
      <selection sqref="A1:XFD1048576"/>
    </sheetView>
  </sheetViews>
  <sheetFormatPr defaultColWidth="13.25" defaultRowHeight="13.5"/>
  <cols>
    <col min="1" max="16384" width="13.25" style="3285"/>
  </cols>
  <sheetData>
    <row r="1" spans="1:6" ht="15">
      <c r="A1" s="3800" t="s">
        <v>3237</v>
      </c>
      <c r="B1" s="3800"/>
      <c r="C1" s="3800"/>
      <c r="D1" s="3800"/>
      <c r="E1" s="3800"/>
      <c r="F1" s="3801"/>
    </row>
    <row r="2" spans="1:6" ht="15">
      <c r="A2" s="3286" t="s">
        <v>3238</v>
      </c>
      <c r="B2" s="3287"/>
      <c r="C2" s="3287"/>
      <c r="D2" s="3287"/>
      <c r="E2" s="3287"/>
      <c r="F2" s="3287"/>
    </row>
    <row r="3" spans="1:6" ht="15">
      <c r="A3" s="3286" t="s">
        <v>3239</v>
      </c>
      <c r="B3" s="3287"/>
      <c r="C3" s="3287"/>
      <c r="D3" s="3287"/>
      <c r="E3" s="3287"/>
      <c r="F3" s="3288" t="s">
        <v>3240</v>
      </c>
    </row>
    <row r="4" spans="1:6">
      <c r="A4" s="3289" t="s">
        <v>672</v>
      </c>
      <c r="B4" s="3289" t="s">
        <v>673</v>
      </c>
      <c r="C4" s="3289" t="s">
        <v>21</v>
      </c>
      <c r="D4" s="3289" t="s">
        <v>674</v>
      </c>
      <c r="E4" s="3289" t="s">
        <v>3</v>
      </c>
      <c r="F4" s="3289" t="s">
        <v>3241</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6">
        <f>基准地价修正!G23</f>
        <v>44845</v>
      </c>
      <c r="B1" s="3205" t="s">
        <v>2843</v>
      </c>
      <c r="C1" s="3206"/>
      <c r="D1" s="3206"/>
      <c r="E1" s="3206"/>
      <c r="F1" s="3206"/>
      <c r="G1" s="3206"/>
      <c r="H1" s="3206"/>
      <c r="I1" s="3206"/>
      <c r="J1" s="3160"/>
      <c r="K1" s="3206" t="s">
        <v>454</v>
      </c>
      <c r="L1" s="3206"/>
      <c r="M1" s="3206"/>
      <c r="N1" s="3206"/>
      <c r="O1" s="3206"/>
      <c r="P1" s="3206"/>
      <c r="Q1" s="3160"/>
      <c r="R1" s="3802" t="s">
        <v>456</v>
      </c>
      <c r="S1" s="3803"/>
      <c r="T1" s="3803"/>
      <c r="U1" s="3803"/>
      <c r="V1" s="3803"/>
      <c r="W1" s="3803"/>
      <c r="X1" s="3160"/>
      <c r="Y1" s="3802" t="s">
        <v>457</v>
      </c>
      <c r="Z1" s="3803"/>
      <c r="AA1" s="3803"/>
      <c r="AB1" s="3803"/>
      <c r="AC1" s="3803"/>
      <c r="AD1" s="3803"/>
    </row>
    <row r="2" spans="1:30" s="3138" customFormat="1" ht="14.25" thickBot="1">
      <c r="B2" s="3139"/>
      <c r="C2" s="3140"/>
      <c r="D2" s="3141" t="s">
        <v>2811</v>
      </c>
      <c r="E2" s="3142" t="s">
        <v>2812</v>
      </c>
      <c r="F2" s="3142" t="s">
        <v>2813</v>
      </c>
      <c r="G2" s="3142" t="s">
        <v>2814</v>
      </c>
      <c r="H2" s="3142" t="s">
        <v>2815</v>
      </c>
      <c r="I2" s="3142" t="s">
        <v>2632</v>
      </c>
      <c r="J2" s="3143"/>
      <c r="K2" s="3141" t="s">
        <v>2811</v>
      </c>
      <c r="L2" s="3142" t="s">
        <v>2812</v>
      </c>
      <c r="M2" s="3142" t="s">
        <v>2813</v>
      </c>
      <c r="N2" s="3142" t="s">
        <v>2814</v>
      </c>
      <c r="O2" s="3142" t="s">
        <v>2816</v>
      </c>
      <c r="P2" s="3142" t="s">
        <v>2632</v>
      </c>
      <c r="Q2" s="3143"/>
      <c r="R2" s="3141" t="s">
        <v>2811</v>
      </c>
      <c r="S2" s="3142" t="s">
        <v>2812</v>
      </c>
      <c r="T2" s="3142" t="s">
        <v>2813</v>
      </c>
      <c r="U2" s="3142" t="s">
        <v>2817</v>
      </c>
      <c r="V2" s="3142" t="s">
        <v>2818</v>
      </c>
      <c r="W2" s="3142" t="s">
        <v>2632</v>
      </c>
      <c r="X2" s="3143"/>
      <c r="Y2" s="3141" t="s">
        <v>2811</v>
      </c>
      <c r="Z2" s="3142" t="s">
        <v>2812</v>
      </c>
      <c r="AA2" s="3142" t="s">
        <v>2813</v>
      </c>
      <c r="AB2" s="3142" t="s">
        <v>2819</v>
      </c>
      <c r="AC2" s="3142" t="s">
        <v>2818</v>
      </c>
      <c r="AD2" s="3142" t="s">
        <v>2632</v>
      </c>
    </row>
    <row r="3" spans="1:30" s="3156" customFormat="1" ht="12.75">
      <c r="A3" s="3144" t="s">
        <v>2820</v>
      </c>
      <c r="B3" s="3145"/>
      <c r="C3" s="3146"/>
      <c r="D3" s="3146">
        <f>ROUND(AVERAGEIF(D4:D16,"&lt;&gt;0"),2)</f>
        <v>0.81</v>
      </c>
      <c r="E3" s="3146">
        <f t="shared" ref="E3:H3" si="0">ROUND(AVERAGEIF(E4:E16,"&lt;&gt;0"),2)</f>
        <v>0.33</v>
      </c>
      <c r="F3" s="3146">
        <f t="shared" si="0"/>
        <v>0.15</v>
      </c>
      <c r="G3" s="3146">
        <f t="shared" si="0"/>
        <v>0.89</v>
      </c>
      <c r="H3" s="3146">
        <f t="shared" si="0"/>
        <v>0.66</v>
      </c>
      <c r="I3" s="3146">
        <f>F3</f>
        <v>0.15</v>
      </c>
      <c r="J3" s="3147"/>
      <c r="K3" s="3148">
        <f>ROUND(AVERAGEIF(K4:K16,"&lt;&gt;0"),4)</f>
        <v>8.0999999999999996E-3</v>
      </c>
      <c r="L3" s="3149">
        <f t="shared" ref="L3:O3" si="1">ROUND(AVERAGEIF(L4:L16,"&lt;&gt;0"),4)</f>
        <v>3.3E-3</v>
      </c>
      <c r="M3" s="3149">
        <f t="shared" si="1"/>
        <v>1.5E-3</v>
      </c>
      <c r="N3" s="3149">
        <f t="shared" si="1"/>
        <v>8.8999999999999999E-3</v>
      </c>
      <c r="O3" s="3149">
        <f t="shared" si="1"/>
        <v>6.6E-3</v>
      </c>
      <c r="P3" s="3149">
        <f>M3</f>
        <v>1.5E-3</v>
      </c>
      <c r="Q3" s="3147"/>
      <c r="R3" s="3150">
        <f>ROUND(SUMPRODUCT(PRODUCT(1+K4:K16)),4)</f>
        <v>1.0668</v>
      </c>
      <c r="S3" s="3151">
        <f t="shared" ref="S3:V3" si="2">ROUND(SUMPRODUCT(PRODUCT(1+L4:L16)),4)</f>
        <v>1.0266999999999999</v>
      </c>
      <c r="T3" s="3151">
        <f t="shared" si="2"/>
        <v>1.0119</v>
      </c>
      <c r="U3" s="3151">
        <f t="shared" si="2"/>
        <v>1.0734999999999999</v>
      </c>
      <c r="V3" s="3151">
        <f t="shared" si="2"/>
        <v>1.054</v>
      </c>
      <c r="W3" s="3150">
        <f>T3</f>
        <v>1.0119</v>
      </c>
      <c r="X3" s="3147"/>
      <c r="Y3" s="3152">
        <f>ROUND(AVERAGEIF(Y5:Y16,"&lt;&gt;0"),4)</f>
        <v>8.6999999999999994E-3</v>
      </c>
      <c r="Z3" s="3153">
        <f t="shared" ref="Z3:AC3" si="3">ROUND(AVERAGEIF(Z5:Z16,"&lt;&gt;0"),4)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3171" t="s">
        <v>3375</v>
      </c>
      <c r="B5" s="3172">
        <v>2023</v>
      </c>
      <c r="C5" s="3173">
        <v>4</v>
      </c>
      <c r="D5" s="3174">
        <v>0</v>
      </c>
      <c r="E5" s="3174">
        <v>0</v>
      </c>
      <c r="F5" s="3174">
        <v>0</v>
      </c>
      <c r="G5" s="3174">
        <v>0</v>
      </c>
      <c r="H5" s="3174">
        <v>0</v>
      </c>
      <c r="I5" s="3175">
        <f t="shared" ref="I5:I16" si="4">F5</f>
        <v>0</v>
      </c>
      <c r="J5" s="3176"/>
      <c r="K5" s="3177">
        <f t="shared" ref="K5:O16" si="5">D5/100</f>
        <v>0</v>
      </c>
      <c r="L5" s="3167">
        <f t="shared" si="5"/>
        <v>0</v>
      </c>
      <c r="M5" s="3167">
        <f t="shared" si="5"/>
        <v>0</v>
      </c>
      <c r="N5" s="3167">
        <f t="shared" si="5"/>
        <v>0</v>
      </c>
      <c r="O5" s="3167">
        <f t="shared" si="5"/>
        <v>0</v>
      </c>
      <c r="P5" s="3167">
        <f>M5</f>
        <v>0</v>
      </c>
      <c r="Q5" s="3176"/>
      <c r="R5" s="3178">
        <f>ROUND(IF(项目基本情况!$B$8="出让",SUMPRODUCT(PRODUCT(1+K5:$K$16)),SUMPRODUCT(PRODUCT(1+K5:$K$15))),4)</f>
        <v>1.0565</v>
      </c>
      <c r="S5" s="3178">
        <f>ROUND(IF(项目基本情况!$B$8="出让",SUMPRODUCT(PRODUCT(1+L5:$L$16)),SUMPRODUCT(PRODUCT(1+L5:$L$15))),4)</f>
        <v>1.0250999999999999</v>
      </c>
      <c r="T5" s="3178">
        <f>ROUND(IF(项目基本情况!$B$8="出让",SUMPRODUCT(PRODUCT(1+M5:$M$16)),SUMPRODUCT(PRODUCT(1+M5:$M$15))),4)</f>
        <v>1.0145</v>
      </c>
      <c r="U5" s="3178">
        <f>ROUND(IF(项目基本情况!$B$8="出让",SUMPRODUCT(PRODUCT(1+N5:$N$16)),SUMPRODUCT(PRODUCT(1+N5:$N$15))),4)</f>
        <v>1.0618000000000001</v>
      </c>
      <c r="V5" s="3178">
        <f>ROUND(IF(项目基本情况!$B$8="出让",SUMPRODUCT(PRODUCT(1+O5:$O$16)),SUMPRODUCT(PRODUCT(1+O5:$O$15))),4)</f>
        <v>1.0502</v>
      </c>
      <c r="W5" s="3178">
        <f>T5</f>
        <v>1.0145</v>
      </c>
      <c r="X5" s="3176"/>
      <c r="Y5" s="3179">
        <f>IF(D5=0,0,ROUND(AVERAGE(D5:D16)/100,4))</f>
        <v>0</v>
      </c>
      <c r="Z5" s="3179">
        <f t="shared" ref="Z5:AC5" si="6">IF(E5=0,0,ROUND(AVERAGE(E5:E16)/100,4))</f>
        <v>0</v>
      </c>
      <c r="AA5" s="3179">
        <f t="shared" si="6"/>
        <v>0</v>
      </c>
      <c r="AB5" s="3179">
        <f t="shared" si="6"/>
        <v>0</v>
      </c>
      <c r="AC5" s="3179">
        <f t="shared" si="6"/>
        <v>0</v>
      </c>
      <c r="AD5" s="3179">
        <f t="shared" ref="AD5:AD15" si="7">AA5</f>
        <v>0</v>
      </c>
    </row>
    <row r="6" spans="1:30" s="3180" customFormat="1" ht="12.75">
      <c r="A6" s="3171" t="s">
        <v>3376</v>
      </c>
      <c r="B6" s="3172">
        <v>2023</v>
      </c>
      <c r="C6" s="3173">
        <v>3</v>
      </c>
      <c r="D6" s="3174">
        <v>0</v>
      </c>
      <c r="E6" s="3174">
        <v>0</v>
      </c>
      <c r="F6" s="3174">
        <v>0</v>
      </c>
      <c r="G6" s="3174">
        <v>0</v>
      </c>
      <c r="H6" s="3174">
        <v>0</v>
      </c>
      <c r="I6" s="3175">
        <f t="shared" si="4"/>
        <v>0</v>
      </c>
      <c r="J6" s="3176"/>
      <c r="K6" s="3177">
        <f t="shared" ref="K6:K8" si="8">D6/100</f>
        <v>0</v>
      </c>
      <c r="L6" s="3167">
        <f t="shared" ref="L6:L8" si="9">E6/100</f>
        <v>0</v>
      </c>
      <c r="M6" s="3167">
        <f t="shared" ref="M6:M8" si="10">F6/100</f>
        <v>0</v>
      </c>
      <c r="N6" s="3167">
        <f t="shared" ref="N6:N8" si="11">G6/100</f>
        <v>0</v>
      </c>
      <c r="O6" s="3167">
        <f t="shared" ref="O6:O8" si="12">H6/100</f>
        <v>0</v>
      </c>
      <c r="P6" s="3167">
        <f t="shared" ref="P6:P8" si="13">M6</f>
        <v>0</v>
      </c>
      <c r="Q6" s="3176"/>
      <c r="R6" s="3178">
        <f>ROUND(IF(项目基本情况!$B$8="出让",SUMPRODUCT(PRODUCT(1+K6:$K$16)),SUMPRODUCT(PRODUCT(1+K6:$K$15))),4)</f>
        <v>1.0565</v>
      </c>
      <c r="S6" s="3178">
        <f>ROUND(IF(项目基本情况!$B$8="出让",SUMPRODUCT(PRODUCT(1+L6:$L$16)),SUMPRODUCT(PRODUCT(1+L6:$L$15))),4)</f>
        <v>1.0250999999999999</v>
      </c>
      <c r="T6" s="3178">
        <f>ROUND(IF(项目基本情况!$B$8="出让",SUMPRODUCT(PRODUCT(1+M6:$M$16)),SUMPRODUCT(PRODUCT(1+M6:$M$15))),4)</f>
        <v>1.0145</v>
      </c>
      <c r="U6" s="3178">
        <f>ROUND(IF(项目基本情况!$B$8="出让",SUMPRODUCT(PRODUCT(1+N6:$N$16)),SUMPRODUCT(PRODUCT(1+N6:$N$15))),4)</f>
        <v>1.0618000000000001</v>
      </c>
      <c r="V6" s="3178">
        <f>ROUND(IF(项目基本情况!$B$8="出让",SUMPRODUCT(PRODUCT(1+O6:$O$16)),SUMPRODUCT(PRODUCT(1+O6:$O$15))),4)</f>
        <v>1.0502</v>
      </c>
      <c r="W6" s="3178">
        <f t="shared" ref="W6:W8" si="14">T6</f>
        <v>1.0145</v>
      </c>
      <c r="X6" s="3176"/>
      <c r="Y6" s="3179"/>
      <c r="Z6" s="3179"/>
      <c r="AA6" s="3179"/>
      <c r="AB6" s="3179"/>
      <c r="AC6" s="3179"/>
      <c r="AD6" s="3179"/>
    </row>
    <row r="7" spans="1:30" s="3180" customFormat="1" ht="12.75">
      <c r="A7" s="3171" t="s">
        <v>3374</v>
      </c>
      <c r="B7" s="3172">
        <v>2023</v>
      </c>
      <c r="C7" s="3173">
        <v>2</v>
      </c>
      <c r="D7" s="3174">
        <v>0</v>
      </c>
      <c r="E7" s="3174">
        <v>0</v>
      </c>
      <c r="F7" s="3174">
        <v>0</v>
      </c>
      <c r="G7" s="3174">
        <v>0</v>
      </c>
      <c r="H7" s="3174">
        <v>0</v>
      </c>
      <c r="I7" s="3175">
        <f t="shared" si="4"/>
        <v>0</v>
      </c>
      <c r="J7" s="3176"/>
      <c r="K7" s="3177">
        <f t="shared" si="8"/>
        <v>0</v>
      </c>
      <c r="L7" s="3167">
        <f t="shared" si="9"/>
        <v>0</v>
      </c>
      <c r="M7" s="3167">
        <f t="shared" si="10"/>
        <v>0</v>
      </c>
      <c r="N7" s="3167">
        <f t="shared" si="11"/>
        <v>0</v>
      </c>
      <c r="O7" s="3167">
        <f t="shared" si="12"/>
        <v>0</v>
      </c>
      <c r="P7" s="3167">
        <f t="shared" si="13"/>
        <v>0</v>
      </c>
      <c r="Q7" s="3176"/>
      <c r="R7" s="3178">
        <f>ROUND(IF(项目基本情况!$B$8="出让",SUMPRODUCT(PRODUCT(1+K7:$K$16)),SUMPRODUCT(PRODUCT(1+K7:$K$15))),4)</f>
        <v>1.0565</v>
      </c>
      <c r="S7" s="3178">
        <f>ROUND(IF(项目基本情况!$B$8="出让",SUMPRODUCT(PRODUCT(1+L7:$L$16)),SUMPRODUCT(PRODUCT(1+L7:$L$15))),4)</f>
        <v>1.0250999999999999</v>
      </c>
      <c r="T7" s="3178">
        <f>ROUND(IF(项目基本情况!$B$8="出让",SUMPRODUCT(PRODUCT(1+M7:$M$16)),SUMPRODUCT(PRODUCT(1+M7:$M$15))),4)</f>
        <v>1.0145</v>
      </c>
      <c r="U7" s="3178">
        <f>ROUND(IF(项目基本情况!$B$8="出让",SUMPRODUCT(PRODUCT(1+N7:$N$16)),SUMPRODUCT(PRODUCT(1+N7:$N$15))),4)</f>
        <v>1.0618000000000001</v>
      </c>
      <c r="V7" s="3178">
        <f>ROUND(IF(项目基本情况!$B$8="出让",SUMPRODUCT(PRODUCT(1+O7:$O$16)),SUMPRODUCT(PRODUCT(1+O7:$O$15))),4)</f>
        <v>1.0502</v>
      </c>
      <c r="W7" s="3178">
        <f t="shared" si="14"/>
        <v>1.0145</v>
      </c>
      <c r="X7" s="3176"/>
      <c r="Y7" s="3179"/>
      <c r="Z7" s="3179"/>
      <c r="AA7" s="3179"/>
      <c r="AB7" s="3179"/>
      <c r="AC7" s="3179"/>
      <c r="AD7" s="3179"/>
    </row>
    <row r="8" spans="1:30" s="3180" customFormat="1" ht="12.75">
      <c r="A8" s="3171" t="s">
        <v>2821</v>
      </c>
      <c r="B8" s="3172">
        <v>2023</v>
      </c>
      <c r="C8" s="3173">
        <v>1</v>
      </c>
      <c r="D8" s="3174">
        <v>0</v>
      </c>
      <c r="E8" s="3174">
        <v>0</v>
      </c>
      <c r="F8" s="3174">
        <v>0</v>
      </c>
      <c r="G8" s="3174">
        <v>0</v>
      </c>
      <c r="H8" s="3174">
        <v>0</v>
      </c>
      <c r="I8" s="3175">
        <f t="shared" si="4"/>
        <v>0</v>
      </c>
      <c r="J8" s="3176"/>
      <c r="K8" s="3177">
        <f t="shared" si="8"/>
        <v>0</v>
      </c>
      <c r="L8" s="3167">
        <f t="shared" si="9"/>
        <v>0</v>
      </c>
      <c r="M8" s="3167">
        <f t="shared" si="10"/>
        <v>0</v>
      </c>
      <c r="N8" s="3167">
        <f t="shared" si="11"/>
        <v>0</v>
      </c>
      <c r="O8" s="3167">
        <f t="shared" si="12"/>
        <v>0</v>
      </c>
      <c r="P8" s="3167">
        <f t="shared" si="13"/>
        <v>0</v>
      </c>
      <c r="Q8" s="3176"/>
      <c r="R8" s="3178">
        <f>ROUND(IF(项目基本情况!$B$8="出让",SUMPRODUCT(PRODUCT(1+K8:$K$16)),SUMPRODUCT(PRODUCT(1+K8:$K$15))),4)</f>
        <v>1.0565</v>
      </c>
      <c r="S8" s="3178">
        <f>ROUND(IF(项目基本情况!$B$8="出让",SUMPRODUCT(PRODUCT(1+L8:$L$16)),SUMPRODUCT(PRODUCT(1+L8:$L$15))),4)</f>
        <v>1.0250999999999999</v>
      </c>
      <c r="T8" s="3178">
        <f>ROUND(IF(项目基本情况!$B$8="出让",SUMPRODUCT(PRODUCT(1+M8:$M$16)),SUMPRODUCT(PRODUCT(1+M8:$M$15))),4)</f>
        <v>1.0145</v>
      </c>
      <c r="U8" s="3178">
        <f>ROUND(IF(项目基本情况!$B$8="出让",SUMPRODUCT(PRODUCT(1+N8:$N$16)),SUMPRODUCT(PRODUCT(1+N8:$N$15))),4)</f>
        <v>1.0618000000000001</v>
      </c>
      <c r="V8" s="3178">
        <f>ROUND(IF(项目基本情况!$B$8="出让",SUMPRODUCT(PRODUCT(1+O8:$O$16)),SUMPRODUCT(PRODUCT(1+O8:$O$15))),4)</f>
        <v>1.0502</v>
      </c>
      <c r="W8" s="3178">
        <f t="shared" si="14"/>
        <v>1.0145</v>
      </c>
      <c r="X8" s="3176"/>
      <c r="Y8" s="3179"/>
      <c r="Z8" s="3179"/>
      <c r="AA8" s="3179"/>
      <c r="AB8" s="3179"/>
      <c r="AC8" s="3179"/>
      <c r="AD8" s="3179"/>
    </row>
    <row r="9" spans="1:30" s="3190" customFormat="1" ht="12.75">
      <c r="A9" s="3181" t="s">
        <v>2822</v>
      </c>
      <c r="B9" s="3182">
        <v>2022</v>
      </c>
      <c r="C9" s="3183">
        <v>4</v>
      </c>
      <c r="D9" s="3184">
        <v>0.62</v>
      </c>
      <c r="E9" s="3184">
        <v>0.2</v>
      </c>
      <c r="F9" s="3184">
        <v>0.11</v>
      </c>
      <c r="G9" s="3184">
        <v>0.69</v>
      </c>
      <c r="H9" s="3185">
        <v>0.53</v>
      </c>
      <c r="I9" s="3186">
        <f t="shared" si="4"/>
        <v>0.11</v>
      </c>
      <c r="J9" s="3187"/>
      <c r="K9" s="3188">
        <f t="shared" si="5"/>
        <v>6.1999999999999998E-3</v>
      </c>
      <c r="L9" s="3189">
        <f t="shared" si="5"/>
        <v>2E-3</v>
      </c>
      <c r="M9" s="3189">
        <f t="shared" si="5"/>
        <v>1.1000000000000001E-3</v>
      </c>
      <c r="N9" s="3189">
        <f t="shared" si="5"/>
        <v>6.8999999999999999E-3</v>
      </c>
      <c r="O9" s="3189">
        <f t="shared" si="5"/>
        <v>5.3E-3</v>
      </c>
      <c r="P9" s="3189">
        <f t="shared" ref="P9:P16" si="15">M9</f>
        <v>1.1000000000000001E-3</v>
      </c>
      <c r="Q9" s="3187"/>
      <c r="R9" s="3187">
        <f>ROUND(IF([2]项目基本情况!B8="出让",SUMPRODUCT(PRODUCT(1+K9:K16)),SUMPRODUCT(PRODUCT(1+K9:K15))),4)</f>
        <v>1.0565</v>
      </c>
      <c r="S9" s="3187">
        <f>ROUND(IF([2]项目基本情况!B8="出让",SUMPRODUCT(PRODUCT(1+L9:L16)),SUMPRODUCT(PRODUCT(1+L9:L15))),4)</f>
        <v>1.0250999999999999</v>
      </c>
      <c r="T9" s="3187">
        <f>ROUND(IF([2]项目基本情况!B8="出让",SUMPRODUCT(PRODUCT(1+M9:M16)),SUMPRODUCT(PRODUCT(1+M9:M15))),4)</f>
        <v>1.0145</v>
      </c>
      <c r="U9" s="3187">
        <f>ROUND(IF([2]项目基本情况!B8="出让",SUMPRODUCT(PRODUCT(1+N9:N16)),SUMPRODUCT(PRODUCT(1+N9:N15))),4)</f>
        <v>1.0618000000000001</v>
      </c>
      <c r="V9" s="3187">
        <f>ROUND(IF([2]项目基本情况!B8="出让",SUMPRODUCT(PRODUCT(1+O9:O16)),SUMPRODUCT(PRODUCT(1+O9:O15))),4)</f>
        <v>1.0502</v>
      </c>
      <c r="W9" s="3187">
        <f t="shared" ref="W9:W16" si="16">T9</f>
        <v>1.0145</v>
      </c>
      <c r="X9" s="3187"/>
      <c r="Y9" s="3189">
        <f>IF(D9=0,0,ROUND(AVERAGE(D9:D17)/100,4))</f>
        <v>8.0999999999999996E-3</v>
      </c>
      <c r="Z9" s="3189">
        <f t="shared" ref="Z9:AC9" si="17">IF(E9=0,0,ROUND(AVERAGE(E9:E16)/100,4))</f>
        <v>3.3E-3</v>
      </c>
      <c r="AA9" s="3189">
        <f t="shared" si="17"/>
        <v>1.5E-3</v>
      </c>
      <c r="AB9" s="3189">
        <f t="shared" si="17"/>
        <v>8.8999999999999999E-3</v>
      </c>
      <c r="AC9" s="3189">
        <f t="shared" si="17"/>
        <v>6.6E-3</v>
      </c>
      <c r="AD9" s="3189">
        <f t="shared" si="7"/>
        <v>1.5E-3</v>
      </c>
    </row>
    <row r="10" spans="1:30" s="3180" customFormat="1" ht="12.75">
      <c r="A10" s="3171" t="s">
        <v>3369</v>
      </c>
      <c r="B10" s="3172">
        <v>2022</v>
      </c>
      <c r="C10" s="3173">
        <v>3</v>
      </c>
      <c r="D10" s="3174">
        <v>0.66</v>
      </c>
      <c r="E10" s="3174">
        <v>0.32</v>
      </c>
      <c r="F10" s="3174">
        <v>0.23</v>
      </c>
      <c r="G10" s="3174">
        <v>0.72</v>
      </c>
      <c r="H10" s="3191">
        <v>0.63</v>
      </c>
      <c r="I10" s="3175">
        <f t="shared" si="4"/>
        <v>0.23</v>
      </c>
      <c r="J10" s="3176"/>
      <c r="K10" s="3177">
        <f t="shared" si="5"/>
        <v>6.6E-3</v>
      </c>
      <c r="L10" s="3167">
        <f t="shared" si="5"/>
        <v>3.2000000000000002E-3</v>
      </c>
      <c r="M10" s="3167">
        <f t="shared" si="5"/>
        <v>2.3E-3</v>
      </c>
      <c r="N10" s="3167">
        <f t="shared" si="5"/>
        <v>7.1999999999999998E-3</v>
      </c>
      <c r="O10" s="3167">
        <f t="shared" si="5"/>
        <v>6.3E-3</v>
      </c>
      <c r="P10" s="3167">
        <f t="shared" si="15"/>
        <v>2.3E-3</v>
      </c>
      <c r="Q10" s="3176"/>
      <c r="R10" s="3178">
        <f>ROUND(IF([2]项目基本情况!B8="出让",SUMPRODUCT(PRODUCT(1+K10:K16)),SUMPRODUCT(PRODUCT(1+K10:K15))),4)</f>
        <v>1.05</v>
      </c>
      <c r="S10" s="3178">
        <f>ROUND(IF([2]项目基本情况!B8="出让",SUMPRODUCT(PRODUCT(1+L10:L16)),SUMPRODUCT(PRODUCT(1+L10:L15))),4)</f>
        <v>1.0229999999999999</v>
      </c>
      <c r="T10" s="3178">
        <f>ROUND(IF([2]项目基本情况!B8="出让",SUMPRODUCT(PRODUCT(1+M10:M16)),SUMPRODUCT(PRODUCT(1+M10:M15))),4)</f>
        <v>1.0134000000000001</v>
      </c>
      <c r="U10" s="3178">
        <f>ROUND(IF([2]项目基本情况!B8="出让",SUMPRODUCT(PRODUCT(1+N10:N16)),SUMPRODUCT(PRODUCT(1+N10:N15))),4)</f>
        <v>1.0545</v>
      </c>
      <c r="V10" s="3178">
        <f>ROUND(IF([2]项目基本情况!B8="出让",SUMPRODUCT(PRODUCT(1+O10:O16)),SUMPRODUCT(PRODUCT(1+O10:O15))),4)</f>
        <v>1.0447</v>
      </c>
      <c r="W10" s="3178">
        <f t="shared" si="16"/>
        <v>1.0134000000000001</v>
      </c>
      <c r="X10" s="3176"/>
      <c r="Y10" s="3179">
        <f>IF(D10=0,0,ROUND(AVERAGE(D10:D16)/100,4))</f>
        <v>8.3999999999999995E-3</v>
      </c>
      <c r="Z10" s="3179">
        <f t="shared" ref="Z10:AC10" si="18">IF(E10=0,0,ROUND(AVERAGE(E10:E16)/100,4))</f>
        <v>3.5000000000000001E-3</v>
      </c>
      <c r="AA10" s="3179">
        <f t="shared" si="18"/>
        <v>1.5E-3</v>
      </c>
      <c r="AB10" s="3179">
        <f t="shared" si="18"/>
        <v>9.1999999999999998E-3</v>
      </c>
      <c r="AC10" s="3179">
        <f t="shared" si="18"/>
        <v>6.7999999999999996E-3</v>
      </c>
      <c r="AD10" s="3179">
        <f t="shared" si="7"/>
        <v>1.5E-3</v>
      </c>
    </row>
    <row r="11" spans="1:30" s="3180" customFormat="1" ht="12.75">
      <c r="A11" s="3171" t="s">
        <v>3360</v>
      </c>
      <c r="B11" s="3172">
        <v>2022</v>
      </c>
      <c r="C11" s="3173">
        <v>2</v>
      </c>
      <c r="D11" s="3174">
        <v>0.93</v>
      </c>
      <c r="E11" s="3174">
        <v>0.15</v>
      </c>
      <c r="F11" s="3174">
        <v>0.01</v>
      </c>
      <c r="G11" s="3174">
        <v>1.05</v>
      </c>
      <c r="H11" s="3191">
        <v>1.08</v>
      </c>
      <c r="I11" s="3175">
        <f t="shared" si="4"/>
        <v>0.01</v>
      </c>
      <c r="J11" s="3176"/>
      <c r="K11" s="3177">
        <f t="shared" si="5"/>
        <v>9.300000000000001E-3</v>
      </c>
      <c r="L11" s="3167">
        <f t="shared" si="5"/>
        <v>1.5E-3</v>
      </c>
      <c r="M11" s="3167">
        <f t="shared" si="5"/>
        <v>1E-4</v>
      </c>
      <c r="N11" s="3167">
        <f t="shared" si="5"/>
        <v>1.0500000000000001E-2</v>
      </c>
      <c r="O11" s="3167">
        <f t="shared" si="5"/>
        <v>1.0800000000000001E-2</v>
      </c>
      <c r="P11" s="3167">
        <f t="shared" si="15"/>
        <v>1E-4</v>
      </c>
      <c r="Q11" s="3176"/>
      <c r="R11" s="3178">
        <f>ROUND(IF([2]项目基本情况!B8="出让",SUMPRODUCT(PRODUCT(1+K11:K16)),SUMPRODUCT(PRODUCT(1+K11:K15))),4)</f>
        <v>1.0430999999999999</v>
      </c>
      <c r="S11" s="3178">
        <f>ROUND(IF([2]项目基本情况!B8="出让",SUMPRODUCT(PRODUCT(1+L11:L16)),SUMPRODUCT(PRODUCT(1+L11:L15))),4)</f>
        <v>1.0197000000000001</v>
      </c>
      <c r="T11" s="3178">
        <f>ROUND(IF([2]项目基本情况!B8="出让",SUMPRODUCT(PRODUCT(1+M11:M16)),SUMPRODUCT(PRODUCT(1+M11:M15))),4)</f>
        <v>1.0109999999999999</v>
      </c>
      <c r="U11" s="3178">
        <f>ROUND(IF([2]项目基本情况!B8="出让",SUMPRODUCT(PRODUCT(1+N11:N16)),SUMPRODUCT(PRODUCT(1+N11:N15))),4)</f>
        <v>1.0468999999999999</v>
      </c>
      <c r="V11" s="3178">
        <f>ROUND(IF([2]项目基本情况!B8="出让",SUMPRODUCT(PRODUCT(1+O11:O16)),SUMPRODUCT(PRODUCT(1+O11:O15))),4)</f>
        <v>1.0382</v>
      </c>
      <c r="W11" s="3178">
        <f t="shared" si="16"/>
        <v>1.0109999999999999</v>
      </c>
      <c r="X11" s="3176"/>
      <c r="Y11" s="3179">
        <f>IF(D11=0,0,ROUND(AVERAGE(D11:D16)/100,4))</f>
        <v>8.6999999999999994E-3</v>
      </c>
      <c r="Z11" s="3179">
        <f t="shared" ref="Z11:AC11" si="19">IF(E11=0,0,ROUND(AVERAGE(E11:E16)/100,4))</f>
        <v>3.5000000000000001E-3</v>
      </c>
      <c r="AA11" s="3179">
        <f t="shared" si="19"/>
        <v>1.4E-3</v>
      </c>
      <c r="AB11" s="3179">
        <f t="shared" si="19"/>
        <v>9.4999999999999998E-3</v>
      </c>
      <c r="AC11" s="3179">
        <f t="shared" si="19"/>
        <v>6.8999999999999999E-3</v>
      </c>
      <c r="AD11" s="3179">
        <f t="shared" si="7"/>
        <v>1.4E-3</v>
      </c>
    </row>
    <row r="12" spans="1:30" s="3180" customFormat="1" ht="12.75">
      <c r="A12" s="3171" t="s">
        <v>2823</v>
      </c>
      <c r="B12" s="3172">
        <v>2022</v>
      </c>
      <c r="C12" s="3173">
        <v>1</v>
      </c>
      <c r="D12" s="3174">
        <v>0.89</v>
      </c>
      <c r="E12" s="3174">
        <v>0.44</v>
      </c>
      <c r="F12" s="3174">
        <v>0.37</v>
      </c>
      <c r="G12" s="3174">
        <v>0.96</v>
      </c>
      <c r="H12" s="3191">
        <v>0.64</v>
      </c>
      <c r="I12" s="3175">
        <f t="shared" si="4"/>
        <v>0.37</v>
      </c>
      <c r="J12" s="3176"/>
      <c r="K12" s="3177">
        <f t="shared" si="5"/>
        <v>8.8999999999999999E-3</v>
      </c>
      <c r="L12" s="3167">
        <f t="shared" si="5"/>
        <v>4.4000000000000003E-3</v>
      </c>
      <c r="M12" s="3167">
        <f t="shared" si="5"/>
        <v>3.7000000000000002E-3</v>
      </c>
      <c r="N12" s="3167">
        <f t="shared" si="5"/>
        <v>9.5999999999999992E-3</v>
      </c>
      <c r="O12" s="3167">
        <f t="shared" si="5"/>
        <v>6.4000000000000003E-3</v>
      </c>
      <c r="P12" s="3167">
        <f t="shared" si="15"/>
        <v>3.7000000000000002E-3</v>
      </c>
      <c r="Q12" s="3176"/>
      <c r="R12" s="3178">
        <f>ROUND(IF([2]项目基本情况!B8="出让",SUMPRODUCT(PRODUCT(1+K12:K16)),SUMPRODUCT(PRODUCT(1+K12:K15))),4)</f>
        <v>1.0335000000000001</v>
      </c>
      <c r="S12" s="3178">
        <f>ROUND(IF([2]项目基本情况!B8="出让",SUMPRODUCT(PRODUCT(1+L12:L16)),SUMPRODUCT(PRODUCT(1+L12:L15))),4)</f>
        <v>1.0182</v>
      </c>
      <c r="T12" s="3178">
        <f>ROUND(IF([2]项目基本情况!B8="出让",SUMPRODUCT(PRODUCT(1+M12:M16)),SUMPRODUCT(PRODUCT(1+M12:M15))),4)</f>
        <v>1.0108999999999999</v>
      </c>
      <c r="U12" s="3178">
        <f>ROUND(IF([2]项目基本情况!B8="出让",SUMPRODUCT(PRODUCT(1+N12:N16)),SUMPRODUCT(PRODUCT(1+N12:N15))),4)</f>
        <v>1.0361</v>
      </c>
      <c r="V12" s="3178">
        <f>ROUND(IF([2]项目基本情况!B8="出让",SUMPRODUCT(PRODUCT(1+O12:O16)),SUMPRODUCT(PRODUCT(1+O12:O15))),4)</f>
        <v>1.0270999999999999</v>
      </c>
      <c r="W12" s="3178">
        <f t="shared" si="16"/>
        <v>1.0108999999999999</v>
      </c>
      <c r="X12" s="3176"/>
      <c r="Y12" s="3179">
        <f>IF(D12=0,0,ROUND(AVERAGE(D12:D16)/100,4))</f>
        <v>8.6E-3</v>
      </c>
      <c r="Z12" s="3179">
        <f t="shared" ref="Z12:AC12" si="20">IF(E12=0,0,ROUND(AVERAGE(E12:E16)/100,4))</f>
        <v>3.8999999999999998E-3</v>
      </c>
      <c r="AA12" s="3179">
        <f t="shared" si="20"/>
        <v>1.6999999999999999E-3</v>
      </c>
      <c r="AB12" s="3179">
        <f t="shared" si="20"/>
        <v>9.2999999999999992E-3</v>
      </c>
      <c r="AC12" s="3179">
        <f t="shared" si="20"/>
        <v>6.1000000000000004E-3</v>
      </c>
      <c r="AD12" s="3179">
        <f t="shared" si="7"/>
        <v>1.6999999999999999E-3</v>
      </c>
    </row>
    <row r="13" spans="1:30" s="3180" customFormat="1" ht="12.75">
      <c r="A13" s="3171" t="s">
        <v>2824</v>
      </c>
      <c r="B13" s="3172">
        <v>2021</v>
      </c>
      <c r="C13" s="3173">
        <v>4</v>
      </c>
      <c r="D13" s="3174">
        <v>1.03</v>
      </c>
      <c r="E13" s="3174">
        <v>0.24</v>
      </c>
      <c r="F13" s="3174">
        <v>7.0000000000000007E-2</v>
      </c>
      <c r="G13" s="3174">
        <v>1.17</v>
      </c>
      <c r="H13" s="3191">
        <v>0.55000000000000004</v>
      </c>
      <c r="I13" s="3175">
        <f t="shared" si="4"/>
        <v>7.0000000000000007E-2</v>
      </c>
      <c r="J13" s="3176"/>
      <c r="K13" s="3177">
        <f t="shared" si="5"/>
        <v>1.03E-2</v>
      </c>
      <c r="L13" s="3167">
        <f t="shared" si="5"/>
        <v>2.3999999999999998E-3</v>
      </c>
      <c r="M13" s="3167">
        <f t="shared" si="5"/>
        <v>7.000000000000001E-4</v>
      </c>
      <c r="N13" s="3167">
        <f t="shared" si="5"/>
        <v>1.1699999999999999E-2</v>
      </c>
      <c r="O13" s="3167">
        <f t="shared" si="5"/>
        <v>5.5000000000000005E-3</v>
      </c>
      <c r="P13" s="3167">
        <f t="shared" si="15"/>
        <v>7.000000000000001E-4</v>
      </c>
      <c r="Q13" s="3176"/>
      <c r="R13" s="3178">
        <f>ROUND(IF([2]项目基本情况!B8="出让",SUMPRODUCT(PRODUCT(1+K13:K16)),SUMPRODUCT(PRODUCT(1+K13:K15))),4)</f>
        <v>1.0244</v>
      </c>
      <c r="S13" s="3178">
        <f>ROUND(IF([2]项目基本情况!B8="出让",SUMPRODUCT(PRODUCT(1+L13:L16)),SUMPRODUCT(PRODUCT(1+L13:L15))),4)</f>
        <v>1.0138</v>
      </c>
      <c r="T13" s="3178">
        <f>ROUND(IF([2]项目基本情况!B8="出让",SUMPRODUCT(PRODUCT(1+M13:M16)),SUMPRODUCT(PRODUCT(1+M13:M15))),4)</f>
        <v>1.0072000000000001</v>
      </c>
      <c r="U13" s="3178">
        <f>ROUND(IF([2]项目基本情况!B8="出让",SUMPRODUCT(PRODUCT(1+N13:N16)),SUMPRODUCT(PRODUCT(1+N13:N15))),4)</f>
        <v>1.0262</v>
      </c>
      <c r="V13" s="3178">
        <f>ROUND(IF([2]项目基本情况!B8="出让",SUMPRODUCT(PRODUCT(1+O13:O16)),SUMPRODUCT(PRODUCT(1+O13:O15))),4)</f>
        <v>1.0205</v>
      </c>
      <c r="W13" s="3178">
        <f t="shared" si="16"/>
        <v>1.0072000000000001</v>
      </c>
      <c r="X13" s="3176"/>
      <c r="Y13" s="3179">
        <f>IF(D13=0,0,ROUND(AVERAGE(D13:D16)/100,4))</f>
        <v>8.5000000000000006E-3</v>
      </c>
      <c r="Z13" s="3179">
        <f t="shared" ref="Z13:AC13" si="21">IF(E13=0,0,ROUND(AVERAGE(E13:E16)/100,4))</f>
        <v>3.8E-3</v>
      </c>
      <c r="AA13" s="3179">
        <f t="shared" si="21"/>
        <v>1.1999999999999999E-3</v>
      </c>
      <c r="AB13" s="3179">
        <f t="shared" si="21"/>
        <v>9.2999999999999992E-3</v>
      </c>
      <c r="AC13" s="3179">
        <f t="shared" si="21"/>
        <v>6.0000000000000001E-3</v>
      </c>
      <c r="AD13" s="3179">
        <f t="shared" si="7"/>
        <v>1.1999999999999999E-3</v>
      </c>
    </row>
    <row r="14" spans="1:30" s="3180" customFormat="1" ht="12.75">
      <c r="A14" s="3171" t="s">
        <v>2825</v>
      </c>
      <c r="B14" s="3172">
        <v>2021</v>
      </c>
      <c r="C14" s="3173">
        <v>3</v>
      </c>
      <c r="D14" s="3174">
        <v>0.47</v>
      </c>
      <c r="E14" s="3174">
        <v>0.41</v>
      </c>
      <c r="F14" s="3174">
        <v>0.24</v>
      </c>
      <c r="G14" s="3174">
        <v>0.48</v>
      </c>
      <c r="H14" s="3191">
        <v>0.48</v>
      </c>
      <c r="I14" s="3175">
        <f t="shared" si="4"/>
        <v>0.24</v>
      </c>
      <c r="J14" s="3176"/>
      <c r="K14" s="3177">
        <f t="shared" si="5"/>
        <v>4.6999999999999993E-3</v>
      </c>
      <c r="L14" s="3167">
        <f t="shared" si="5"/>
        <v>4.0999999999999995E-3</v>
      </c>
      <c r="M14" s="3167">
        <f t="shared" si="5"/>
        <v>2.3999999999999998E-3</v>
      </c>
      <c r="N14" s="3167">
        <f t="shared" si="5"/>
        <v>4.7999999999999996E-3</v>
      </c>
      <c r="O14" s="3167">
        <f t="shared" si="5"/>
        <v>4.7999999999999996E-3</v>
      </c>
      <c r="P14" s="3167">
        <f t="shared" si="15"/>
        <v>2.3999999999999998E-3</v>
      </c>
      <c r="Q14" s="3176"/>
      <c r="R14" s="3178">
        <f>ROUND(IF([2]项目基本情况!B8="出让",SUMPRODUCT(PRODUCT(1+K14:K16)),SUMPRODUCT(PRODUCT(1+K14:K15))),4)</f>
        <v>1.0139</v>
      </c>
      <c r="S14" s="3178">
        <f>ROUND(IF([2]项目基本情况!B8="出让",SUMPRODUCT(PRODUCT(1+L14:L16)),SUMPRODUCT(PRODUCT(1+L14:L15))),4)</f>
        <v>1.0113000000000001</v>
      </c>
      <c r="T14" s="3178">
        <f>ROUND(IF([2]项目基本情况!B8="出让",SUMPRODUCT(PRODUCT(1+M14:M16)),SUMPRODUCT(PRODUCT(1+M14:M15))),4)</f>
        <v>1.0065</v>
      </c>
      <c r="U14" s="3178">
        <f>ROUND(IF([2]项目基本情况!B8="出让",SUMPRODUCT(PRODUCT(1+N14:N16)),SUMPRODUCT(PRODUCT(1+N14:N15))),4)</f>
        <v>1.0143</v>
      </c>
      <c r="V14" s="3178">
        <f>ROUND(IF([2]项目基本情况!B8="出让",SUMPRODUCT(PRODUCT(1+O14:O16)),SUMPRODUCT(PRODUCT(1+O14:O15))),4)</f>
        <v>1.0148999999999999</v>
      </c>
      <c r="W14" s="3178">
        <f t="shared" si="16"/>
        <v>1.0065</v>
      </c>
      <c r="X14" s="3176"/>
      <c r="Y14" s="3179">
        <f>IF(D14=0,0,ROUND(AVERAGE(D14:D16)/100,4))</f>
        <v>7.9000000000000008E-3</v>
      </c>
      <c r="Z14" s="3179">
        <f>IF(E14=0,0,ROUND(AVERAGE(E14:E16)/100,4))</f>
        <v>4.3E-3</v>
      </c>
      <c r="AA14" s="3179">
        <f>IF(F14=0,0,ROUND(AVERAGE(F14:F16)/100,4))</f>
        <v>1.2999999999999999E-3</v>
      </c>
      <c r="AB14" s="3179">
        <f>IF(G14=0,0,ROUND(AVERAGE(G14:G16)/100,4))</f>
        <v>8.5000000000000006E-3</v>
      </c>
      <c r="AC14" s="3179">
        <f>IF(H14=0,0,ROUND(AVERAGE(H14:H16)/100,4))</f>
        <v>6.1999999999999998E-3</v>
      </c>
      <c r="AD14" s="3179">
        <f t="shared" si="7"/>
        <v>1.2999999999999999E-3</v>
      </c>
    </row>
    <row r="15" spans="1:30" s="3180" customFormat="1" ht="12.75">
      <c r="A15" s="3171" t="s">
        <v>2826</v>
      </c>
      <c r="B15" s="3172">
        <v>2021</v>
      </c>
      <c r="C15" s="3173">
        <v>2</v>
      </c>
      <c r="D15" s="3174">
        <v>0.92</v>
      </c>
      <c r="E15" s="3174">
        <v>0.72</v>
      </c>
      <c r="F15" s="3174">
        <v>0.41</v>
      </c>
      <c r="G15" s="3174">
        <v>0.95</v>
      </c>
      <c r="H15" s="3191">
        <v>1.01</v>
      </c>
      <c r="I15" s="3175">
        <f t="shared" si="4"/>
        <v>0.41</v>
      </c>
      <c r="J15" s="3176"/>
      <c r="K15" s="3177">
        <f t="shared" si="5"/>
        <v>9.1999999999999998E-3</v>
      </c>
      <c r="L15" s="3167">
        <f t="shared" si="5"/>
        <v>7.1999999999999998E-3</v>
      </c>
      <c r="M15" s="3167">
        <f t="shared" si="5"/>
        <v>4.0999999999999995E-3</v>
      </c>
      <c r="N15" s="3167">
        <f t="shared" si="5"/>
        <v>9.4999999999999998E-3</v>
      </c>
      <c r="O15" s="3167">
        <f t="shared" si="5"/>
        <v>1.01E-2</v>
      </c>
      <c r="P15" s="3167">
        <f t="shared" si="15"/>
        <v>4.0999999999999995E-3</v>
      </c>
      <c r="Q15" s="3176"/>
      <c r="R15" s="3178">
        <f>ROUND(IF([2]项目基本情况!B8="出让",SUMPRODUCT(PRODUCT(1+K15:K16)),SUMPRODUCT(PRODUCT(1+K15:K15))),4)</f>
        <v>1.0092000000000001</v>
      </c>
      <c r="S15" s="3178">
        <f>ROUND(IF([2]项目基本情况!B8="出让",SUMPRODUCT(PRODUCT(1+L15:L16)),SUMPRODUCT(PRODUCT(1+L15:L15))),4)</f>
        <v>1.0072000000000001</v>
      </c>
      <c r="T15" s="3178">
        <f>ROUND(IF([2]项目基本情况!B8="出让",SUMPRODUCT(PRODUCT(1+M15:M16)),SUMPRODUCT(PRODUCT(1+M15:M15))),4)</f>
        <v>1.0041</v>
      </c>
      <c r="U15" s="3178">
        <f>ROUND(IF([2]项目基本情况!B8="出让",SUMPRODUCT(PRODUCT(1+N15:N16)),SUMPRODUCT(PRODUCT(1+N15:N15))),4)</f>
        <v>1.0095000000000001</v>
      </c>
      <c r="V15" s="3178">
        <f>ROUND(IF([2]项目基本情况!B8="出让",SUMPRODUCT(PRODUCT(1+O15:O16)),SUMPRODUCT(PRODUCT(1+O15:O15))),4)</f>
        <v>1.0101</v>
      </c>
      <c r="W15" s="3178">
        <f t="shared" si="16"/>
        <v>1.0041</v>
      </c>
      <c r="X15" s="3176"/>
      <c r="Y15" s="3179">
        <f>IF(D15=0,0,ROUND(AVERAGE(D15:D16)/100,4))</f>
        <v>9.4999999999999998E-3</v>
      </c>
      <c r="Z15" s="3179">
        <f>IF(E15=0,0,ROUND(AVERAGE(E15:E16)/100,4))</f>
        <v>4.4000000000000003E-3</v>
      </c>
      <c r="AA15" s="3179">
        <f>IF(F15=0,0,ROUND(AVERAGE(F15:F16)/100,4))</f>
        <v>8.0000000000000004E-4</v>
      </c>
      <c r="AB15" s="3179">
        <f>IF(G15=0,0,ROUND(AVERAGE(G15:G16)/100,4))</f>
        <v>1.03E-2</v>
      </c>
      <c r="AC15" s="3179">
        <f>IF(H15=0,0,ROUND(AVERAGE(H15:H16)/100,4))</f>
        <v>6.8999999999999999E-3</v>
      </c>
      <c r="AD15" s="3179">
        <f t="shared" si="7"/>
        <v>8.0000000000000004E-4</v>
      </c>
    </row>
    <row r="16" spans="1:30" s="3202" customFormat="1" thickBot="1">
      <c r="A16" s="3192" t="s">
        <v>2827</v>
      </c>
      <c r="B16" s="3193">
        <v>2021</v>
      </c>
      <c r="C16" s="3194">
        <v>1</v>
      </c>
      <c r="D16" s="3195">
        <v>0.97</v>
      </c>
      <c r="E16" s="3195">
        <v>0.16</v>
      </c>
      <c r="F16" s="3195">
        <v>-0.25</v>
      </c>
      <c r="G16" s="3195">
        <v>1.1100000000000001</v>
      </c>
      <c r="H16" s="3196">
        <v>0.36</v>
      </c>
      <c r="I16" s="3197">
        <f t="shared" si="4"/>
        <v>-0.25</v>
      </c>
      <c r="J16" s="3198"/>
      <c r="K16" s="3199">
        <f t="shared" si="5"/>
        <v>9.7000000000000003E-3</v>
      </c>
      <c r="L16" s="3200">
        <f t="shared" si="5"/>
        <v>1.6000000000000001E-3</v>
      </c>
      <c r="M16" s="3200">
        <f>F16/100</f>
        <v>-2.5000000000000001E-3</v>
      </c>
      <c r="N16" s="3200">
        <f t="shared" si="5"/>
        <v>1.11E-2</v>
      </c>
      <c r="O16" s="3200">
        <f t="shared" si="5"/>
        <v>3.5999999999999999E-3</v>
      </c>
      <c r="P16" s="3200">
        <f t="shared" si="15"/>
        <v>-2.5000000000000001E-3</v>
      </c>
      <c r="Q16" s="3198"/>
      <c r="R16" s="3201">
        <v>1</v>
      </c>
      <c r="S16" s="3201">
        <v>1</v>
      </c>
      <c r="T16" s="3201">
        <v>1</v>
      </c>
      <c r="U16" s="3201">
        <v>1</v>
      </c>
      <c r="V16" s="3201">
        <v>1</v>
      </c>
      <c r="W16" s="3201">
        <f t="shared" si="16"/>
        <v>1</v>
      </c>
      <c r="X16" s="3198"/>
      <c r="Y16" s="3200">
        <f>IF(D16=0,0,ROUND(AVERAGE(D16:D16)/100,4))</f>
        <v>9.7000000000000003E-3</v>
      </c>
      <c r="Z16" s="3200">
        <f>IF(E16=0,0,ROUND(AVERAGE(E16:E16)/100,4))</f>
        <v>1.6000000000000001E-3</v>
      </c>
      <c r="AA16" s="3200">
        <f>IF(F16=0,0,ROUND(AVERAGE(F16:F16)/100,4))</f>
        <v>-2.5000000000000001E-3</v>
      </c>
      <c r="AB16" s="3200">
        <f>IF(G16=0,0,ROUND(AVERAGE(G16:G16)/100,4))</f>
        <v>1.11E-2</v>
      </c>
      <c r="AC16" s="3200">
        <f>IF(H16=0,0,ROUND(AVERAGE(H16:H16)/100,4))</f>
        <v>3.5999999999999999E-3</v>
      </c>
      <c r="AD16" s="3200">
        <f>AA16</f>
        <v>-2.5000000000000001E-3</v>
      </c>
    </row>
    <row r="17" spans="1:30" s="3004" customFormat="1" ht="14.25" thickTop="1"/>
    <row r="18" spans="1:30" s="3004" customFormat="1">
      <c r="A18" s="3443" t="s">
        <v>3372</v>
      </c>
    </row>
    <row r="19" spans="1:30" s="3004" customFormat="1">
      <c r="I19" s="3203" t="s">
        <v>2828</v>
      </c>
    </row>
    <row r="20" spans="1:30" s="3004" customFormat="1"/>
    <row r="21" spans="1:30" s="3204" customFormat="1" ht="12.75">
      <c r="B21" s="3205" t="s">
        <v>2829</v>
      </c>
      <c r="C21" s="3206"/>
      <c r="D21" s="3206"/>
      <c r="E21" s="3206"/>
      <c r="F21" s="3206"/>
      <c r="G21" s="3206"/>
      <c r="H21" s="3206"/>
      <c r="I21" s="3206"/>
      <c r="J21" s="3160"/>
      <c r="K21" s="3206" t="s">
        <v>2830</v>
      </c>
      <c r="L21" s="3206"/>
      <c r="M21" s="3206"/>
      <c r="N21" s="3206"/>
      <c r="O21" s="3206"/>
      <c r="P21" s="3206"/>
      <c r="Q21" s="3160"/>
      <c r="R21" s="3802" t="s">
        <v>2831</v>
      </c>
      <c r="S21" s="3803"/>
      <c r="T21" s="3803"/>
      <c r="U21" s="3803"/>
      <c r="V21" s="3803"/>
      <c r="W21" s="3803"/>
      <c r="X21" s="3160"/>
      <c r="Y21" s="3802" t="s">
        <v>2832</v>
      </c>
      <c r="Z21" s="3803"/>
      <c r="AA21" s="3803"/>
      <c r="AB21" s="3803"/>
      <c r="AC21" s="3803"/>
      <c r="AD21" s="3803"/>
    </row>
    <row r="22" spans="1:30" s="3138" customFormat="1" ht="14.25" thickBot="1">
      <c r="B22" s="3139"/>
      <c r="C22" s="3140"/>
      <c r="D22" s="3141" t="s">
        <v>2833</v>
      </c>
      <c r="E22" s="3142" t="s">
        <v>2834</v>
      </c>
      <c r="F22" s="3142" t="s">
        <v>2835</v>
      </c>
      <c r="G22" s="3142" t="s">
        <v>2836</v>
      </c>
      <c r="H22" s="3142"/>
      <c r="I22" s="3142" t="s">
        <v>2837</v>
      </c>
      <c r="J22" s="3143"/>
      <c r="K22" s="3141" t="s">
        <v>2833</v>
      </c>
      <c r="L22" s="3142" t="s">
        <v>2834</v>
      </c>
      <c r="M22" s="3142" t="s">
        <v>2835</v>
      </c>
      <c r="N22" s="3142" t="s">
        <v>2836</v>
      </c>
      <c r="O22" s="3142"/>
      <c r="P22" s="3142" t="s">
        <v>2837</v>
      </c>
      <c r="Q22" s="3143"/>
      <c r="R22" s="3141" t="s">
        <v>2833</v>
      </c>
      <c r="S22" s="3142" t="s">
        <v>2834</v>
      </c>
      <c r="T22" s="3142" t="s">
        <v>2835</v>
      </c>
      <c r="U22" s="3142" t="s">
        <v>2836</v>
      </c>
      <c r="V22" s="3142"/>
      <c r="W22" s="3142" t="s">
        <v>2837</v>
      </c>
      <c r="X22" s="3143"/>
      <c r="Y22" s="3141" t="s">
        <v>2833</v>
      </c>
      <c r="Z22" s="3142" t="s">
        <v>2834</v>
      </c>
      <c r="AA22" s="3142" t="s">
        <v>2835</v>
      </c>
      <c r="AB22" s="3142" t="s">
        <v>2836</v>
      </c>
      <c r="AC22" s="3142"/>
      <c r="AD22" s="3142" t="s">
        <v>2837</v>
      </c>
    </row>
    <row r="23" spans="1:30" s="3156" customFormat="1" ht="12.75">
      <c r="A23" s="3144" t="s">
        <v>2838</v>
      </c>
      <c r="B23" s="3145"/>
      <c r="C23" s="3146"/>
      <c r="D23" s="3146"/>
      <c r="E23" s="3146">
        <f t="shared" ref="E23:G23" si="22">ROUND(AVERAGEIF(E24:E36,"&lt;&gt;0"),2)</f>
        <v>0.4</v>
      </c>
      <c r="F23" s="3146">
        <f t="shared" si="22"/>
        <v>0.26</v>
      </c>
      <c r="G23" s="3146">
        <f t="shared" si="22"/>
        <v>0.74</v>
      </c>
      <c r="H23" s="3146"/>
      <c r="I23" s="3146">
        <f>F23</f>
        <v>0.26</v>
      </c>
      <c r="J23" s="3147"/>
      <c r="K23" s="3148"/>
      <c r="L23" s="3149">
        <f t="shared" ref="L23:N23" si="23">ROUND(AVERAGEIF(L24:L36,"&lt;&gt;0"),4)</f>
        <v>4.0000000000000001E-3</v>
      </c>
      <c r="M23" s="3149">
        <f t="shared" si="23"/>
        <v>2.5999999999999999E-3</v>
      </c>
      <c r="N23" s="3149">
        <f t="shared" si="23"/>
        <v>7.4000000000000003E-3</v>
      </c>
      <c r="O23" s="3149"/>
      <c r="P23" s="3149">
        <f>M23</f>
        <v>2.5999999999999999E-3</v>
      </c>
      <c r="Q23" s="3147"/>
      <c r="R23" s="3150"/>
      <c r="S23" s="3151">
        <f>ROUND(SUMPRODUCT(PRODUCT(1+L24:L36)),4)</f>
        <v>1.0323</v>
      </c>
      <c r="T23" s="3151">
        <f t="shared" ref="T23:U23" si="24">ROUND(SUMPRODUCT(PRODUCT(1+M24:M36)),4)</f>
        <v>1.0213000000000001</v>
      </c>
      <c r="U23" s="3151">
        <f t="shared" si="24"/>
        <v>1.0609</v>
      </c>
      <c r="V23" s="3151"/>
      <c r="W23" s="3150">
        <f>T23</f>
        <v>1.0213000000000001</v>
      </c>
      <c r="X23" s="3147"/>
      <c r="Y23" s="3152"/>
      <c r="Z23" s="3153">
        <f t="shared" ref="Z23:AB23" si="25">ROUND(AVERAGEIF(Z24:Z36,"&lt;&gt;0"),4)</f>
        <v>4.3E-3</v>
      </c>
      <c r="AA23" s="3154">
        <f t="shared" si="25"/>
        <v>3.5999999999999999E-3</v>
      </c>
      <c r="AB23" s="3152">
        <f t="shared" si="25"/>
        <v>8.8999999999999999E-3</v>
      </c>
      <c r="AC23" s="3155"/>
      <c r="AD23" s="3152">
        <f>AA23</f>
        <v>3.5999999999999999E-3</v>
      </c>
    </row>
    <row r="24" spans="1:30" s="3157" customFormat="1" ht="12.75">
      <c r="B24" s="3158"/>
      <c r="C24" s="3159"/>
      <c r="D24" s="3159"/>
      <c r="E24" s="3159"/>
      <c r="F24" s="3159"/>
      <c r="G24" s="3159"/>
      <c r="H24" s="3159"/>
      <c r="I24" s="3159"/>
      <c r="J24" s="3160"/>
      <c r="K24" s="3161"/>
      <c r="L24" s="3162"/>
      <c r="M24" s="3162"/>
      <c r="N24" s="3162"/>
      <c r="O24" s="3162"/>
      <c r="P24" s="3162"/>
      <c r="Q24" s="3160"/>
      <c r="R24" s="3163"/>
      <c r="S24" s="3164"/>
      <c r="T24" s="3165"/>
      <c r="U24" s="3163"/>
      <c r="V24" s="3166"/>
      <c r="W24" s="3163"/>
      <c r="X24" s="3160"/>
      <c r="Y24" s="3167"/>
      <c r="Z24" s="3168"/>
      <c r="AA24" s="3169"/>
      <c r="AB24" s="3167"/>
      <c r="AC24" s="3170"/>
      <c r="AD24" s="3167"/>
    </row>
    <row r="25" spans="1:30" s="3180" customFormat="1" ht="12.75">
      <c r="A25" s="3171" t="s">
        <v>3375</v>
      </c>
      <c r="B25" s="3172">
        <v>2023</v>
      </c>
      <c r="C25" s="3173">
        <v>4</v>
      </c>
      <c r="D25" s="3174"/>
      <c r="E25" s="3174">
        <v>0</v>
      </c>
      <c r="F25" s="3174">
        <v>0</v>
      </c>
      <c r="G25" s="3174">
        <v>0</v>
      </c>
      <c r="H25" s="3174"/>
      <c r="I25" s="3175">
        <f t="shared" ref="I25:I36" si="26">F25</f>
        <v>0</v>
      </c>
      <c r="J25" s="3176"/>
      <c r="K25" s="3177"/>
      <c r="L25" s="3167">
        <f t="shared" ref="L25:N36" si="27">E25/100</f>
        <v>0</v>
      </c>
      <c r="M25" s="3167">
        <f t="shared" si="27"/>
        <v>0</v>
      </c>
      <c r="N25" s="3167">
        <f t="shared" si="27"/>
        <v>0</v>
      </c>
      <c r="O25" s="3167"/>
      <c r="P25" s="3167">
        <f>M25</f>
        <v>0</v>
      </c>
      <c r="Q25" s="3176"/>
      <c r="R25" s="3178"/>
      <c r="S25" s="3178">
        <f>ROUND(IF([2]项目基本情况!$B$8="出让",SUMPRODUCT(PRODUCT(1+L25:L$36)),SUMPRODUCT(PRODUCT(1+L25:L$35))),4)</f>
        <v>1.0286999999999999</v>
      </c>
      <c r="T25" s="3178">
        <f>ROUND(IF([2]项目基本情况!$B$8="出让",SUMPRODUCT(PRODUCT(1+M25:M$36)),SUMPRODUCT(PRODUCT(1+M25:M$35))),4)</f>
        <v>1.0164</v>
      </c>
      <c r="U25" s="3178">
        <f>ROUND(IF([2]项目基本情况!$B$8="出让",SUMPRODUCT(PRODUCT(1+N25:N$36)),SUMPRODUCT(PRODUCT(1+N25:N$35))),4)</f>
        <v>1.0506</v>
      </c>
      <c r="V25" s="3178"/>
      <c r="W25" s="3178">
        <f>T25</f>
        <v>1.0164</v>
      </c>
      <c r="X25" s="3176"/>
      <c r="Y25" s="3179"/>
      <c r="Z25" s="3207">
        <f>IF(E25=0,0,ROUND(AVERAGE(E25:E36)/100,4))</f>
        <v>0</v>
      </c>
      <c r="AA25" s="3207">
        <f>IF(F25=0,0,ROUND(AVERAGE(F25:F36)/100,4))</f>
        <v>0</v>
      </c>
      <c r="AB25" s="3207">
        <f>IF(G25=0,0,ROUND(AVERAGE(G25:G36)/100,4))</f>
        <v>0</v>
      </c>
      <c r="AC25" s="3208"/>
      <c r="AD25" s="3179">
        <f>IF(I25=0,0,ROUND(AVERAGE(I25:I36)/100,4))</f>
        <v>0</v>
      </c>
    </row>
    <row r="26" spans="1:30" s="3180" customFormat="1" ht="12.75">
      <c r="A26" s="3171" t="s">
        <v>3376</v>
      </c>
      <c r="B26" s="3172">
        <v>2023</v>
      </c>
      <c r="C26" s="3173">
        <v>3</v>
      </c>
      <c r="D26" s="3174"/>
      <c r="E26" s="3174">
        <v>0</v>
      </c>
      <c r="F26" s="3174">
        <v>0</v>
      </c>
      <c r="G26" s="3174">
        <v>0</v>
      </c>
      <c r="H26" s="3191"/>
      <c r="I26" s="3175">
        <f t="shared" si="26"/>
        <v>0</v>
      </c>
      <c r="J26" s="3176"/>
      <c r="K26" s="3177"/>
      <c r="L26" s="3167">
        <f t="shared" ref="L26:L28" si="28">E26/100</f>
        <v>0</v>
      </c>
      <c r="M26" s="3167">
        <f t="shared" ref="M26:M28" si="29">F26/100</f>
        <v>0</v>
      </c>
      <c r="N26" s="3167">
        <f t="shared" ref="N26:N28" si="30">G26/100</f>
        <v>0</v>
      </c>
      <c r="O26" s="3167"/>
      <c r="P26" s="3167">
        <f t="shared" ref="P26:P28" si="31">M26</f>
        <v>0</v>
      </c>
      <c r="Q26" s="3176"/>
      <c r="R26" s="3178"/>
      <c r="S26" s="3178">
        <f>ROUND(IF([2]项目基本情况!$B$8="出让",SUMPRODUCT(PRODUCT(1+L26:L$36)),SUMPRODUCT(PRODUCT(1+L26:L$35))),4)</f>
        <v>1.0286999999999999</v>
      </c>
      <c r="T26" s="3178">
        <f>ROUND(IF([2]项目基本情况!$B$8="出让",SUMPRODUCT(PRODUCT(1+M26:M$36)),SUMPRODUCT(PRODUCT(1+M26:M$35))),4)</f>
        <v>1.0164</v>
      </c>
      <c r="U26" s="3178">
        <f>ROUND(IF([2]项目基本情况!$B$8="出让",SUMPRODUCT(PRODUCT(1+N26:N$36)),SUMPRODUCT(PRODUCT(1+N26:N$35))),4)</f>
        <v>1.0506</v>
      </c>
      <c r="V26" s="3178"/>
      <c r="W26" s="3178">
        <f t="shared" ref="W26:W28" si="32">T26</f>
        <v>1.0164</v>
      </c>
      <c r="X26" s="3176"/>
      <c r="Y26" s="3179"/>
      <c r="Z26" s="3207"/>
      <c r="AA26" s="3444"/>
      <c r="AB26" s="3444"/>
      <c r="AC26" s="3208"/>
      <c r="AD26" s="3179"/>
    </row>
    <row r="27" spans="1:30" s="3180" customFormat="1" ht="12.75">
      <c r="A27" s="3171" t="s">
        <v>3374</v>
      </c>
      <c r="B27" s="3172">
        <v>2023</v>
      </c>
      <c r="C27" s="3173">
        <v>2</v>
      </c>
      <c r="D27" s="3174"/>
      <c r="E27" s="3174">
        <v>0</v>
      </c>
      <c r="F27" s="3174">
        <v>0</v>
      </c>
      <c r="G27" s="3174">
        <v>0</v>
      </c>
      <c r="H27" s="3191"/>
      <c r="I27" s="3175">
        <f t="shared" si="26"/>
        <v>0</v>
      </c>
      <c r="J27" s="3176"/>
      <c r="K27" s="3177"/>
      <c r="L27" s="3167">
        <f t="shared" si="28"/>
        <v>0</v>
      </c>
      <c r="M27" s="3167">
        <f t="shared" si="29"/>
        <v>0</v>
      </c>
      <c r="N27" s="3167">
        <f t="shared" si="30"/>
        <v>0</v>
      </c>
      <c r="O27" s="3167"/>
      <c r="P27" s="3167">
        <f t="shared" si="31"/>
        <v>0</v>
      </c>
      <c r="Q27" s="3176"/>
      <c r="R27" s="3178"/>
      <c r="S27" s="3178">
        <f>ROUND(IF([2]项目基本情况!$B$8="出让",SUMPRODUCT(PRODUCT(1+L27:L$36)),SUMPRODUCT(PRODUCT(1+L27:L$35))),4)</f>
        <v>1.0286999999999999</v>
      </c>
      <c r="T27" s="3178">
        <f>ROUND(IF([2]项目基本情况!$B$8="出让",SUMPRODUCT(PRODUCT(1+M27:M$36)),SUMPRODUCT(PRODUCT(1+M27:M$35))),4)</f>
        <v>1.0164</v>
      </c>
      <c r="U27" s="3178">
        <f>ROUND(IF([2]项目基本情况!$B$8="出让",SUMPRODUCT(PRODUCT(1+N27:N$36)),SUMPRODUCT(PRODUCT(1+N27:N$35))),4)</f>
        <v>1.0506</v>
      </c>
      <c r="V27" s="3178"/>
      <c r="W27" s="3178">
        <f t="shared" si="32"/>
        <v>1.0164</v>
      </c>
      <c r="X27" s="3176"/>
      <c r="Y27" s="3179"/>
      <c r="Z27" s="3207"/>
      <c r="AA27" s="3444"/>
      <c r="AB27" s="3444"/>
      <c r="AC27" s="3208"/>
      <c r="AD27" s="3179"/>
    </row>
    <row r="28" spans="1:30" s="3180" customFormat="1" ht="12.75">
      <c r="A28" s="3171" t="s">
        <v>2821</v>
      </c>
      <c r="B28" s="3172">
        <v>2023</v>
      </c>
      <c r="C28" s="3173">
        <v>1</v>
      </c>
      <c r="D28" s="3174"/>
      <c r="E28" s="3174">
        <v>0</v>
      </c>
      <c r="F28" s="3174">
        <v>0</v>
      </c>
      <c r="G28" s="3174">
        <v>0</v>
      </c>
      <c r="H28" s="3191"/>
      <c r="I28" s="3175">
        <f t="shared" si="26"/>
        <v>0</v>
      </c>
      <c r="J28" s="3176"/>
      <c r="K28" s="3177"/>
      <c r="L28" s="3167">
        <f t="shared" si="28"/>
        <v>0</v>
      </c>
      <c r="M28" s="3167">
        <f t="shared" si="29"/>
        <v>0</v>
      </c>
      <c r="N28" s="3167">
        <f t="shared" si="30"/>
        <v>0</v>
      </c>
      <c r="O28" s="3167"/>
      <c r="P28" s="3167">
        <f t="shared" si="31"/>
        <v>0</v>
      </c>
      <c r="Q28" s="3176"/>
      <c r="R28" s="3178"/>
      <c r="S28" s="3178">
        <f>ROUND(IF([2]项目基本情况!$B$8="出让",SUMPRODUCT(PRODUCT(1+L28:L$36)),SUMPRODUCT(PRODUCT(1+L28:L$35))),4)</f>
        <v>1.0286999999999999</v>
      </c>
      <c r="T28" s="3178">
        <f>ROUND(IF([2]项目基本情况!$B$8="出让",SUMPRODUCT(PRODUCT(1+M28:M$36)),SUMPRODUCT(PRODUCT(1+M28:M$35))),4)</f>
        <v>1.0164</v>
      </c>
      <c r="U28" s="3178">
        <f>ROUND(IF([2]项目基本情况!$B$8="出让",SUMPRODUCT(PRODUCT(1+N28:N$36)),SUMPRODUCT(PRODUCT(1+N28:N$35))),4)</f>
        <v>1.0506</v>
      </c>
      <c r="V28" s="3178"/>
      <c r="W28" s="3178">
        <f t="shared" si="32"/>
        <v>1.0164</v>
      </c>
      <c r="X28" s="3176"/>
      <c r="Y28" s="3179"/>
      <c r="Z28" s="3207"/>
      <c r="AA28" s="3444"/>
      <c r="AB28" s="3444"/>
      <c r="AC28" s="3208"/>
      <c r="AD28" s="3179"/>
    </row>
    <row r="29" spans="1:30" s="3190" customFormat="1" ht="12.75">
      <c r="A29" s="3181" t="s">
        <v>3370</v>
      </c>
      <c r="B29" s="3182">
        <v>2022</v>
      </c>
      <c r="C29" s="3183">
        <v>4</v>
      </c>
      <c r="D29" s="3184"/>
      <c r="E29" s="3184">
        <v>0.45</v>
      </c>
      <c r="F29" s="3184">
        <v>0.2</v>
      </c>
      <c r="G29" s="3184">
        <v>0.38</v>
      </c>
      <c r="H29" s="3185"/>
      <c r="I29" s="3186">
        <f t="shared" si="26"/>
        <v>0.2</v>
      </c>
      <c r="J29" s="3187"/>
      <c r="K29" s="3188"/>
      <c r="L29" s="3189">
        <f t="shared" si="27"/>
        <v>4.5000000000000005E-3</v>
      </c>
      <c r="M29" s="3189">
        <f t="shared" si="27"/>
        <v>2E-3</v>
      </c>
      <c r="N29" s="3189">
        <f t="shared" si="27"/>
        <v>3.8E-3</v>
      </c>
      <c r="O29" s="3189"/>
      <c r="P29" s="3189">
        <f t="shared" ref="P29:P36" si="33">M29</f>
        <v>2E-3</v>
      </c>
      <c r="Q29" s="3187"/>
      <c r="R29" s="3187"/>
      <c r="S29" s="3187">
        <f>ROUND(IF([2]项目基本情况!$B$8="出让",SUMPRODUCT(PRODUCT(1+L29:L$36)),SUMPRODUCT(PRODUCT(1+L29:L$35))),4)</f>
        <v>1.0286999999999999</v>
      </c>
      <c r="T29" s="3187">
        <f>ROUND(IF([2]项目基本情况!$B$8="出让",SUMPRODUCT(PRODUCT(1+M29:M$36)),SUMPRODUCT(PRODUCT(1+M29:M$35))),4)</f>
        <v>1.0164</v>
      </c>
      <c r="U29" s="3187">
        <f>ROUND(IF([2]项目基本情况!$B$8="出让",SUMPRODUCT(PRODUCT(1+N29:N$36)),SUMPRODUCT(PRODUCT(1+N29:N$35))),4)</f>
        <v>1.0506</v>
      </c>
      <c r="V29" s="3187"/>
      <c r="W29" s="3187">
        <f t="shared" ref="W29:W36" si="34">T29</f>
        <v>1.0164</v>
      </c>
      <c r="X29" s="3187"/>
      <c r="Y29" s="3189"/>
      <c r="Z29" s="3210">
        <f t="shared" ref="Z29:AD36" si="35">IF(E29=0,0,ROUND(AVERAGE(E29:E37)/100,4))</f>
        <v>4.0000000000000001E-3</v>
      </c>
      <c r="AA29" s="3211">
        <f t="shared" si="35"/>
        <v>2.5999999999999999E-3</v>
      </c>
      <c r="AB29" s="3189">
        <f t="shared" si="35"/>
        <v>7.4000000000000003E-3</v>
      </c>
      <c r="AC29" s="3212"/>
      <c r="AD29" s="3189">
        <f t="shared" si="35"/>
        <v>2.5999999999999999E-3</v>
      </c>
    </row>
    <row r="30" spans="1:30" s="3180" customFormat="1" ht="12.75">
      <c r="A30" s="3171" t="s">
        <v>3371</v>
      </c>
      <c r="B30" s="3172">
        <v>2022</v>
      </c>
      <c r="C30" s="3173">
        <v>3</v>
      </c>
      <c r="D30" s="3174"/>
      <c r="E30" s="3174">
        <v>0.3</v>
      </c>
      <c r="F30" s="3174">
        <v>0.28999999999999998</v>
      </c>
      <c r="G30" s="3174">
        <v>0.83</v>
      </c>
      <c r="H30" s="3191"/>
      <c r="I30" s="3175">
        <f t="shared" si="26"/>
        <v>0.28999999999999998</v>
      </c>
      <c r="J30" s="3176"/>
      <c r="K30" s="3177"/>
      <c r="L30" s="3167">
        <f t="shared" si="27"/>
        <v>3.0000000000000001E-3</v>
      </c>
      <c r="M30" s="3167">
        <f t="shared" si="27"/>
        <v>2.8999999999999998E-3</v>
      </c>
      <c r="N30" s="3167">
        <f t="shared" si="27"/>
        <v>8.3000000000000001E-3</v>
      </c>
      <c r="O30" s="3167"/>
      <c r="P30" s="3167">
        <f t="shared" si="33"/>
        <v>2.8999999999999998E-3</v>
      </c>
      <c r="Q30" s="3176"/>
      <c r="R30" s="3178"/>
      <c r="S30" s="3178">
        <f>ROUND(IF([2]项目基本情况!$B$8="出让",SUMPRODUCT(PRODUCT(1+L30:L$36)),SUMPRODUCT(PRODUCT(1+L30:L$35))),4)</f>
        <v>1.0241</v>
      </c>
      <c r="T30" s="3178">
        <f>ROUND(IF([2]项目基本情况!$B$8="出让",SUMPRODUCT(PRODUCT(1+M30:M$36)),SUMPRODUCT(PRODUCT(1+M30:M$35))),4)</f>
        <v>1.0144</v>
      </c>
      <c r="U30" s="3178">
        <f>ROUND(IF([2]项目基本情况!$B$8="出让",SUMPRODUCT(PRODUCT(1+N30:N$36)),SUMPRODUCT(PRODUCT(1+N30:N$35))),4)</f>
        <v>1.0467</v>
      </c>
      <c r="V30" s="3178"/>
      <c r="W30" s="3178">
        <f t="shared" si="34"/>
        <v>1.0144</v>
      </c>
      <c r="X30" s="3176"/>
      <c r="Y30" s="3179"/>
      <c r="Z30" s="3207">
        <f t="shared" si="35"/>
        <v>3.8999999999999998E-3</v>
      </c>
      <c r="AA30" s="3209">
        <f t="shared" si="35"/>
        <v>2.7000000000000001E-3</v>
      </c>
      <c r="AB30" s="3179">
        <f t="shared" si="35"/>
        <v>7.9000000000000008E-3</v>
      </c>
      <c r="AC30" s="3208"/>
      <c r="AD30" s="3179">
        <f t="shared" si="35"/>
        <v>2.7000000000000001E-3</v>
      </c>
    </row>
    <row r="31" spans="1:30" s="3180" customFormat="1" ht="12.75">
      <c r="A31" s="3171" t="s">
        <v>3360</v>
      </c>
      <c r="B31" s="3172">
        <v>2022</v>
      </c>
      <c r="C31" s="3173">
        <v>2</v>
      </c>
      <c r="D31" s="3174"/>
      <c r="E31" s="3174">
        <v>-0.11</v>
      </c>
      <c r="F31" s="3174">
        <v>-0.13</v>
      </c>
      <c r="G31" s="3174">
        <v>0.53</v>
      </c>
      <c r="H31" s="3191"/>
      <c r="I31" s="3175">
        <f t="shared" si="26"/>
        <v>-0.13</v>
      </c>
      <c r="J31" s="3176"/>
      <c r="K31" s="3177"/>
      <c r="L31" s="3167">
        <f t="shared" si="27"/>
        <v>-1.1000000000000001E-3</v>
      </c>
      <c r="M31" s="3167">
        <f t="shared" si="27"/>
        <v>-1.2999999999999999E-3</v>
      </c>
      <c r="N31" s="3167">
        <f t="shared" si="27"/>
        <v>5.3E-3</v>
      </c>
      <c r="O31" s="3167"/>
      <c r="P31" s="3167">
        <f t="shared" si="33"/>
        <v>-1.2999999999999999E-3</v>
      </c>
      <c r="Q31" s="3176"/>
      <c r="R31" s="3178"/>
      <c r="S31" s="3178">
        <f>ROUND(IF([2]项目基本情况!$B$8="出让",SUMPRODUCT(PRODUCT(1+L31:L$36)),SUMPRODUCT(PRODUCT(1+L31:L$35))),4)</f>
        <v>1.0210999999999999</v>
      </c>
      <c r="T31" s="3178">
        <f>ROUND(IF([2]项目基本情况!$B$8="出让",SUMPRODUCT(PRODUCT(1+M31:M$36)),SUMPRODUCT(PRODUCT(1+M31:M$35))),4)</f>
        <v>1.0114000000000001</v>
      </c>
      <c r="U31" s="3178">
        <f>ROUND(IF([2]项目基本情况!$B$8="出让",SUMPRODUCT(PRODUCT(1+N31:N$36)),SUMPRODUCT(PRODUCT(1+N31:N$35))),4)</f>
        <v>1.0381</v>
      </c>
      <c r="V31" s="3178"/>
      <c r="W31" s="3178">
        <f t="shared" si="34"/>
        <v>1.0114000000000001</v>
      </c>
      <c r="X31" s="3176"/>
      <c r="Y31" s="3179"/>
      <c r="Z31" s="3207">
        <f t="shared" si="35"/>
        <v>4.1000000000000003E-3</v>
      </c>
      <c r="AA31" s="3209">
        <f t="shared" si="35"/>
        <v>2.7000000000000001E-3</v>
      </c>
      <c r="AB31" s="3179">
        <f t="shared" si="35"/>
        <v>7.9000000000000008E-3</v>
      </c>
      <c r="AC31" s="3208"/>
      <c r="AD31" s="3179">
        <f t="shared" si="35"/>
        <v>2.7000000000000001E-3</v>
      </c>
    </row>
    <row r="32" spans="1:30" s="3180" customFormat="1" ht="12.75">
      <c r="A32" s="3171" t="s">
        <v>2839</v>
      </c>
      <c r="B32" s="3172">
        <v>2022</v>
      </c>
      <c r="C32" s="3173">
        <v>1</v>
      </c>
      <c r="D32" s="3174"/>
      <c r="E32" s="3174">
        <v>0.6</v>
      </c>
      <c r="F32" s="3174">
        <v>0.45</v>
      </c>
      <c r="G32" s="3174">
        <v>0.53</v>
      </c>
      <c r="H32" s="3191"/>
      <c r="I32" s="3175">
        <f t="shared" si="26"/>
        <v>0.45</v>
      </c>
      <c r="J32" s="3176"/>
      <c r="K32" s="3177"/>
      <c r="L32" s="3167">
        <f t="shared" si="27"/>
        <v>6.0000000000000001E-3</v>
      </c>
      <c r="M32" s="3167">
        <f t="shared" si="27"/>
        <v>4.5000000000000005E-3</v>
      </c>
      <c r="N32" s="3167">
        <f t="shared" si="27"/>
        <v>5.3E-3</v>
      </c>
      <c r="O32" s="3167"/>
      <c r="P32" s="3167">
        <f t="shared" si="33"/>
        <v>4.5000000000000005E-3</v>
      </c>
      <c r="Q32" s="3176"/>
      <c r="R32" s="3178"/>
      <c r="S32" s="3178">
        <f>ROUND(IF([2]项目基本情况!$B$8="出让",SUMPRODUCT(PRODUCT(1+L32:L$36)),SUMPRODUCT(PRODUCT(1+L32:L$35))),4)</f>
        <v>1.0222</v>
      </c>
      <c r="T32" s="3178">
        <f>ROUND(IF([2]项目基本情况!$B$8="出让",SUMPRODUCT(PRODUCT(1+M32:M$36)),SUMPRODUCT(PRODUCT(1+M32:M$35))),4)</f>
        <v>1.0127999999999999</v>
      </c>
      <c r="U32" s="3178">
        <f>ROUND(IF([2]项目基本情况!$B$8="出让",SUMPRODUCT(PRODUCT(1+N32:N$36)),SUMPRODUCT(PRODUCT(1+N32:N$35))),4)</f>
        <v>1.0326</v>
      </c>
      <c r="V32" s="3178"/>
      <c r="W32" s="3178">
        <f t="shared" si="34"/>
        <v>1.0127999999999999</v>
      </c>
      <c r="X32" s="3176"/>
      <c r="Y32" s="3179"/>
      <c r="Z32" s="3207">
        <f t="shared" si="35"/>
        <v>5.1000000000000004E-3</v>
      </c>
      <c r="AA32" s="3209">
        <f t="shared" si="35"/>
        <v>3.5000000000000001E-3</v>
      </c>
      <c r="AB32" s="3179">
        <f t="shared" si="35"/>
        <v>8.3999999999999995E-3</v>
      </c>
      <c r="AC32" s="3208"/>
      <c r="AD32" s="3179">
        <f t="shared" si="35"/>
        <v>3.5000000000000001E-3</v>
      </c>
    </row>
    <row r="33" spans="1:30" s="3180" customFormat="1" ht="12.75">
      <c r="A33" s="3171" t="s">
        <v>2840</v>
      </c>
      <c r="B33" s="3172">
        <v>2021</v>
      </c>
      <c r="C33" s="3173">
        <v>4</v>
      </c>
      <c r="D33" s="3174"/>
      <c r="E33" s="3174">
        <v>0.57999999999999996</v>
      </c>
      <c r="F33" s="3174">
        <v>0.08</v>
      </c>
      <c r="G33" s="3174">
        <v>0.68</v>
      </c>
      <c r="H33" s="3191"/>
      <c r="I33" s="3175">
        <f t="shared" si="26"/>
        <v>0.08</v>
      </c>
      <c r="J33" s="3176"/>
      <c r="K33" s="3177"/>
      <c r="L33" s="3167">
        <f t="shared" si="27"/>
        <v>5.7999999999999996E-3</v>
      </c>
      <c r="M33" s="3167">
        <f t="shared" si="27"/>
        <v>8.0000000000000004E-4</v>
      </c>
      <c r="N33" s="3167">
        <f t="shared" si="27"/>
        <v>6.8000000000000005E-3</v>
      </c>
      <c r="O33" s="3167"/>
      <c r="P33" s="3167">
        <f t="shared" si="33"/>
        <v>8.0000000000000004E-4</v>
      </c>
      <c r="Q33" s="3176"/>
      <c r="R33" s="3178"/>
      <c r="S33" s="3178">
        <f>ROUND(IF([2]项目基本情况!$B$8="出让",SUMPRODUCT(PRODUCT(1+L33:L$36)),SUMPRODUCT(PRODUCT(1+L33:L$35))),4)</f>
        <v>1.0161</v>
      </c>
      <c r="T33" s="3178">
        <f>ROUND(IF([2]项目基本情况!$B$8="出让",SUMPRODUCT(PRODUCT(1+M33:M$36)),SUMPRODUCT(PRODUCT(1+M33:M$35))),4)</f>
        <v>1.0082</v>
      </c>
      <c r="U33" s="3178">
        <f>ROUND(IF([2]项目基本情况!$B$8="出让",SUMPRODUCT(PRODUCT(1+N33:N$36)),SUMPRODUCT(PRODUCT(1+N33:N$35))),4)</f>
        <v>1.0270999999999999</v>
      </c>
      <c r="V33" s="3178"/>
      <c r="W33" s="3178">
        <f t="shared" si="34"/>
        <v>1.0082</v>
      </c>
      <c r="X33" s="3176"/>
      <c r="Y33" s="3179"/>
      <c r="Z33" s="3207">
        <f t="shared" si="35"/>
        <v>4.8999999999999998E-3</v>
      </c>
      <c r="AA33" s="3209">
        <f t="shared" si="35"/>
        <v>3.3E-3</v>
      </c>
      <c r="AB33" s="3179">
        <f t="shared" si="35"/>
        <v>9.1999999999999998E-3</v>
      </c>
      <c r="AC33" s="3208"/>
      <c r="AD33" s="3179">
        <f t="shared" si="35"/>
        <v>3.3E-3</v>
      </c>
    </row>
    <row r="34" spans="1:30" s="3180" customFormat="1" ht="12.75">
      <c r="A34" s="3171" t="s">
        <v>2841</v>
      </c>
      <c r="B34" s="3172">
        <v>2021</v>
      </c>
      <c r="C34" s="3173">
        <v>3</v>
      </c>
      <c r="D34" s="3174"/>
      <c r="E34" s="3174">
        <v>0.47</v>
      </c>
      <c r="F34" s="3174">
        <v>0.28000000000000003</v>
      </c>
      <c r="G34" s="3174">
        <v>0.91</v>
      </c>
      <c r="H34" s="3191"/>
      <c r="I34" s="3175">
        <f t="shared" si="26"/>
        <v>0.28000000000000003</v>
      </c>
      <c r="J34" s="3176"/>
      <c r="K34" s="3177"/>
      <c r="L34" s="3167">
        <f t="shared" si="27"/>
        <v>4.6999999999999993E-3</v>
      </c>
      <c r="M34" s="3167">
        <f t="shared" si="27"/>
        <v>2.8000000000000004E-3</v>
      </c>
      <c r="N34" s="3167">
        <f t="shared" si="27"/>
        <v>9.1000000000000004E-3</v>
      </c>
      <c r="O34" s="3167"/>
      <c r="P34" s="3167">
        <f t="shared" si="33"/>
        <v>2.8000000000000004E-3</v>
      </c>
      <c r="Q34" s="3176"/>
      <c r="R34" s="3178"/>
      <c r="S34" s="3178">
        <f>ROUND(IF([2]项目基本情况!$B$8="出让",SUMPRODUCT(PRODUCT(1+L34:L$36)),SUMPRODUCT(PRODUCT(1+L34:L$35))),4)</f>
        <v>1.0102</v>
      </c>
      <c r="T34" s="3178">
        <f>ROUND(IF([2]项目基本情况!$B$8="出让",SUMPRODUCT(PRODUCT(1+M34:M$36)),SUMPRODUCT(PRODUCT(1+M34:M$35))),4)</f>
        <v>1.0074000000000001</v>
      </c>
      <c r="U34" s="3178">
        <f>ROUND(IF([2]项目基本情况!$B$8="出让",SUMPRODUCT(PRODUCT(1+N34:N$36)),SUMPRODUCT(PRODUCT(1+N34:N$35))),4)</f>
        <v>1.0202</v>
      </c>
      <c r="V34" s="3178"/>
      <c r="W34" s="3178">
        <f t="shared" si="34"/>
        <v>1.0074000000000001</v>
      </c>
      <c r="X34" s="3176"/>
      <c r="Y34" s="3179"/>
      <c r="Z34" s="3207">
        <f t="shared" si="35"/>
        <v>4.5999999999999999E-3</v>
      </c>
      <c r="AA34" s="3209">
        <f t="shared" si="35"/>
        <v>4.1000000000000003E-3</v>
      </c>
      <c r="AB34" s="3179">
        <f t="shared" si="35"/>
        <v>0.01</v>
      </c>
      <c r="AC34" s="3208"/>
      <c r="AD34" s="3179">
        <f t="shared" si="35"/>
        <v>4.1000000000000003E-3</v>
      </c>
    </row>
    <row r="35" spans="1:30" s="3180" customFormat="1" ht="12.75">
      <c r="A35" s="3171" t="s">
        <v>2842</v>
      </c>
      <c r="B35" s="3172">
        <v>2021</v>
      </c>
      <c r="C35" s="3173">
        <v>2</v>
      </c>
      <c r="D35" s="3174"/>
      <c r="E35" s="3174">
        <v>0.55000000000000004</v>
      </c>
      <c r="F35" s="3174">
        <v>0.46</v>
      </c>
      <c r="G35" s="3174">
        <v>1.1000000000000001</v>
      </c>
      <c r="H35" s="3191"/>
      <c r="I35" s="3175">
        <f t="shared" si="26"/>
        <v>0.46</v>
      </c>
      <c r="J35" s="3176"/>
      <c r="K35" s="3177"/>
      <c r="L35" s="3167">
        <f t="shared" si="27"/>
        <v>5.5000000000000005E-3</v>
      </c>
      <c r="M35" s="3167">
        <f t="shared" si="27"/>
        <v>4.5999999999999999E-3</v>
      </c>
      <c r="N35" s="3167">
        <f t="shared" si="27"/>
        <v>1.1000000000000001E-2</v>
      </c>
      <c r="O35" s="3167"/>
      <c r="P35" s="3167">
        <f t="shared" si="33"/>
        <v>4.5999999999999999E-3</v>
      </c>
      <c r="Q35" s="3176"/>
      <c r="R35" s="3178"/>
      <c r="S35" s="3178">
        <f>ROUND(IF([2]项目基本情况!$B$8="出让",SUMPRODUCT(PRODUCT(1+L35:L$36)),SUMPRODUCT(PRODUCT(1+L35:L$35))),4)</f>
        <v>1.0055000000000001</v>
      </c>
      <c r="T35" s="3178">
        <f>ROUND(IF([2]项目基本情况!$B$8="出让",SUMPRODUCT(PRODUCT(1+M35:M$36)),SUMPRODUCT(PRODUCT(1+M35:M$35))),4)</f>
        <v>1.0045999999999999</v>
      </c>
      <c r="U35" s="3178">
        <f>ROUND(IF([2]项目基本情况!$B$8="出让",SUMPRODUCT(PRODUCT(1+N35:N$36)),SUMPRODUCT(PRODUCT(1+N35:N$35))),4)</f>
        <v>1.0109999999999999</v>
      </c>
      <c r="V35" s="3178"/>
      <c r="W35" s="3178">
        <f t="shared" si="34"/>
        <v>1.0045999999999999</v>
      </c>
      <c r="X35" s="3176"/>
      <c r="Y35" s="3179"/>
      <c r="Z35" s="3207">
        <f t="shared" si="35"/>
        <v>4.4999999999999997E-3</v>
      </c>
      <c r="AA35" s="3209">
        <f t="shared" si="35"/>
        <v>4.7000000000000002E-3</v>
      </c>
      <c r="AB35" s="3179">
        <f t="shared" si="35"/>
        <v>1.04E-2</v>
      </c>
      <c r="AC35" s="3208"/>
      <c r="AD35" s="3179">
        <f t="shared" si="35"/>
        <v>4.7000000000000002E-3</v>
      </c>
    </row>
    <row r="36" spans="1:30" s="3202" customFormat="1" thickBot="1">
      <c r="A36" s="3192" t="s">
        <v>2827</v>
      </c>
      <c r="B36" s="3193">
        <v>2021</v>
      </c>
      <c r="C36" s="3194">
        <v>1</v>
      </c>
      <c r="D36" s="3195"/>
      <c r="E36" s="3195">
        <v>0.35</v>
      </c>
      <c r="F36" s="3195">
        <v>0.48</v>
      </c>
      <c r="G36" s="3195">
        <v>0.98</v>
      </c>
      <c r="H36" s="3196"/>
      <c r="I36" s="3197">
        <f t="shared" si="26"/>
        <v>0.48</v>
      </c>
      <c r="J36" s="3198"/>
      <c r="K36" s="3199"/>
      <c r="L36" s="3200">
        <f t="shared" si="27"/>
        <v>3.4999999999999996E-3</v>
      </c>
      <c r="M36" s="3200">
        <f>F36/100</f>
        <v>4.7999999999999996E-3</v>
      </c>
      <c r="N36" s="3200">
        <f t="shared" si="27"/>
        <v>9.7999999999999997E-3</v>
      </c>
      <c r="O36" s="3200"/>
      <c r="P36" s="3200">
        <f t="shared" si="33"/>
        <v>4.7999999999999996E-3</v>
      </c>
      <c r="Q36" s="3198"/>
      <c r="R36" s="3201"/>
      <c r="S36" s="3201">
        <v>1</v>
      </c>
      <c r="T36" s="3201">
        <v>1</v>
      </c>
      <c r="U36" s="3201">
        <v>1</v>
      </c>
      <c r="V36" s="3201"/>
      <c r="W36" s="3201">
        <f t="shared" si="34"/>
        <v>1</v>
      </c>
      <c r="X36" s="3198"/>
      <c r="Y36" s="3200"/>
      <c r="Z36" s="3213">
        <f t="shared" si="35"/>
        <v>3.5000000000000001E-3</v>
      </c>
      <c r="AA36" s="3214">
        <f t="shared" si="35"/>
        <v>4.7999999999999996E-3</v>
      </c>
      <c r="AB36" s="3200">
        <f t="shared" si="35"/>
        <v>9.7999999999999997E-3</v>
      </c>
      <c r="AC36" s="3215"/>
      <c r="AD36" s="3200">
        <f t="shared" si="35"/>
        <v>4.7999999999999996E-3</v>
      </c>
    </row>
    <row r="37" spans="1:30" ht="14.25" thickTop="1"/>
    <row r="38" spans="1:30">
      <c r="A38" s="3443"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09" t="s">
        <v>452</v>
      </c>
      <c r="C1" s="3809"/>
      <c r="D1" s="3809"/>
      <c r="E1" s="3809"/>
      <c r="F1" s="3809"/>
      <c r="G1" s="3805" t="s">
        <v>453</v>
      </c>
      <c r="H1" s="3805"/>
      <c r="I1" s="3805"/>
      <c r="J1" s="3805"/>
      <c r="K1" s="3805"/>
      <c r="L1" s="3805"/>
      <c r="N1" s="3805" t="s">
        <v>454</v>
      </c>
      <c r="O1" s="3805"/>
      <c r="P1" s="3805"/>
      <c r="Q1" s="3805"/>
      <c r="S1" s="3805" t="s">
        <v>455</v>
      </c>
      <c r="T1" s="3805"/>
      <c r="U1" s="3805"/>
      <c r="V1" s="3805"/>
      <c r="X1" s="3804" t="s">
        <v>456</v>
      </c>
      <c r="Y1" s="3805"/>
      <c r="Z1" s="3805"/>
      <c r="AA1" s="3805"/>
      <c r="AB1" s="3805"/>
      <c r="AD1" s="3804" t="s">
        <v>457</v>
      </c>
      <c r="AE1" s="3805"/>
      <c r="AF1" s="3805"/>
      <c r="AG1" s="3805"/>
      <c r="AH1" s="3805"/>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3368</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1">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3365</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1">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3366</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1">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3367</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1">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2437</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0">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2314</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5">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2313</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4">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2312</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8">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2310</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7">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2309</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4">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7">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7"/>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7"/>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4"/>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10">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7"/>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7"/>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4"/>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10">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7"/>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7"/>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8"/>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06">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7"/>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7"/>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8"/>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06">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7"/>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7"/>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8"/>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11">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12"/>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12"/>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13"/>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06">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7"/>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7"/>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08"/>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06">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7">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7">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8">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06">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7">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7">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8">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06">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7">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7">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8">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06">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7">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7">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8">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06">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7">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7">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8">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06">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7">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7">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8">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06">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7">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7">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8">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06">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7">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7">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8">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06">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7">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7">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08">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06">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7">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7">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08">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44845</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6">
        <v>44795</v>
      </c>
      <c r="D13" s="2817">
        <v>3.65</v>
      </c>
      <c r="E13" s="2817">
        <f>D13</f>
        <v>3.65</v>
      </c>
      <c r="F13" s="2817">
        <f>D13</f>
        <v>3.65</v>
      </c>
      <c r="G13" s="2817">
        <f>D13</f>
        <v>3.65</v>
      </c>
      <c r="H13" s="2817">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1"/>
      <c r="C14" s="2813">
        <v>44701</v>
      </c>
      <c r="D14" s="2812">
        <v>3.7</v>
      </c>
      <c r="E14" s="2812">
        <f>D14</f>
        <v>3.7</v>
      </c>
      <c r="F14" s="2812">
        <f>D14</f>
        <v>3.7</v>
      </c>
      <c r="G14" s="2812">
        <f>D14</f>
        <v>3.7</v>
      </c>
      <c r="H14" s="2812">
        <v>4.45</v>
      </c>
      <c r="I14" s="2817"/>
      <c r="J14" s="2817"/>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1"/>
      <c r="C15" s="2813">
        <v>44581</v>
      </c>
      <c r="D15" s="2812">
        <v>3.7</v>
      </c>
      <c r="E15" s="2812">
        <f>D15</f>
        <v>3.7</v>
      </c>
      <c r="F15" s="2812">
        <f>D15</f>
        <v>3.7</v>
      </c>
      <c r="G15" s="2812">
        <f>D15</f>
        <v>3.7</v>
      </c>
      <c r="H15" s="2812">
        <v>4.5999999999999996</v>
      </c>
      <c r="I15" s="2817"/>
      <c r="J15" s="2817"/>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3">
        <v>44550</v>
      </c>
      <c r="D16" s="2812">
        <v>3.8</v>
      </c>
      <c r="E16" s="2812">
        <f>D16</f>
        <v>3.8</v>
      </c>
      <c r="F16" s="2812">
        <f>D16</f>
        <v>3.8</v>
      </c>
      <c r="G16" s="2812">
        <f>D16</f>
        <v>3.8</v>
      </c>
      <c r="H16" s="2812">
        <v>4.6500000000000004</v>
      </c>
      <c r="I16" s="2812"/>
      <c r="J16" s="2817"/>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3">
        <v>43941</v>
      </c>
      <c r="D17" s="2812">
        <v>3.85</v>
      </c>
      <c r="E17" s="2812">
        <v>3.85</v>
      </c>
      <c r="F17" s="2812">
        <v>3.85</v>
      </c>
      <c r="G17" s="2812">
        <v>3.85</v>
      </c>
      <c r="H17" s="2812">
        <v>4.6500000000000004</v>
      </c>
      <c r="I17" s="2812"/>
      <c r="J17" s="2812"/>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3">
        <v>43881</v>
      </c>
      <c r="D18" s="2812">
        <v>4.05</v>
      </c>
      <c r="E18" s="2812">
        <v>4.05</v>
      </c>
      <c r="F18" s="2812">
        <v>4.05</v>
      </c>
      <c r="G18" s="2812">
        <v>4.05</v>
      </c>
      <c r="H18" s="2812">
        <v>4.75</v>
      </c>
      <c r="I18" s="2812"/>
      <c r="J18" s="2812"/>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3"/>
      <c r="B19" s="2812"/>
      <c r="C19" s="2813">
        <v>43789</v>
      </c>
      <c r="D19" s="2812">
        <v>4.1500000000000004</v>
      </c>
      <c r="E19" s="2812">
        <v>4.1500000000000004</v>
      </c>
      <c r="F19" s="2812">
        <v>4.1500000000000004</v>
      </c>
      <c r="G19" s="2812">
        <v>4.1500000000000004</v>
      </c>
      <c r="H19" s="2812">
        <v>4.8</v>
      </c>
      <c r="I19" s="2812"/>
      <c r="J19" s="2812"/>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3">
        <v>43728</v>
      </c>
      <c r="D20" s="2812">
        <v>4.2</v>
      </c>
      <c r="E20" s="2812">
        <v>4.2</v>
      </c>
      <c r="F20" s="2812">
        <v>4.2</v>
      </c>
      <c r="G20" s="2812">
        <v>4.2</v>
      </c>
      <c r="H20" s="2812">
        <v>4.8499999999999996</v>
      </c>
      <c r="I20" s="2812"/>
      <c r="J20" s="2812"/>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1" t="s">
        <v>2311</v>
      </c>
      <c r="C21" s="2814">
        <v>43697</v>
      </c>
      <c r="D21" s="2815">
        <v>4.25</v>
      </c>
      <c r="E21" s="2815">
        <v>4.25</v>
      </c>
      <c r="F21" s="2815">
        <v>4.25</v>
      </c>
      <c r="G21" s="2815">
        <v>4.25</v>
      </c>
      <c r="H21" s="2815">
        <v>4.8499999999999996</v>
      </c>
      <c r="I21" s="2815"/>
      <c r="J21" s="2815"/>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8"/>
      <c r="B22" s="2819"/>
      <c r="C22" s="2820">
        <v>42301</v>
      </c>
      <c r="D22" s="2821">
        <v>4.3499999999999996</v>
      </c>
      <c r="E22" s="2821">
        <v>4.3499999999999996</v>
      </c>
      <c r="F22" s="2821">
        <v>4.75</v>
      </c>
      <c r="G22" s="2821">
        <v>4.75</v>
      </c>
      <c r="H22" s="2821">
        <v>4.9000000000000004</v>
      </c>
      <c r="I22" s="2821"/>
      <c r="J22" s="2821"/>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R16"/>
  <sheetViews>
    <sheetView topLeftCell="A49" workbookViewId="0">
      <selection activeCell="L75" sqref="L75"/>
    </sheetView>
  </sheetViews>
  <sheetFormatPr defaultRowHeight="13.5"/>
  <cols>
    <col min="7" max="7" width="9.5" bestFit="1" customWidth="1"/>
    <col min="8" max="8" width="10.25" bestFit="1" customWidth="1"/>
  </cols>
  <sheetData>
    <row r="1" spans="1:18">
      <c r="A1" s="3453"/>
      <c r="B1" s="3453"/>
      <c r="C1" s="3453"/>
      <c r="D1" s="3453"/>
      <c r="E1" s="3453"/>
      <c r="F1" s="3453"/>
      <c r="G1" s="3453"/>
      <c r="H1" s="3453"/>
      <c r="I1" s="3453"/>
      <c r="J1" s="3454"/>
    </row>
    <row r="2" spans="1:18">
      <c r="A2" s="3455"/>
      <c r="B2" s="3455"/>
      <c r="C2" s="3455"/>
      <c r="D2" s="3455"/>
      <c r="E2" s="3455"/>
      <c r="F2" s="3455"/>
      <c r="G2" s="3455"/>
      <c r="H2" s="3457">
        <v>5</v>
      </c>
      <c r="I2" s="3456"/>
      <c r="J2" s="3456"/>
    </row>
    <row r="3" spans="1:18">
      <c r="A3" s="3455"/>
      <c r="B3" s="3455"/>
      <c r="C3" s="3455"/>
      <c r="D3" s="3455"/>
      <c r="E3" s="3455"/>
      <c r="F3" s="3455"/>
      <c r="G3" s="3455"/>
      <c r="H3" s="3457">
        <v>7</v>
      </c>
      <c r="I3" s="3456"/>
      <c r="J3" s="3456"/>
    </row>
    <row r="4" spans="1:18">
      <c r="A4" s="3455"/>
      <c r="B4" s="3455"/>
      <c r="C4" s="3455"/>
      <c r="D4" s="3455"/>
      <c r="E4" s="3455"/>
      <c r="F4" s="3455"/>
      <c r="G4" s="3455"/>
      <c r="H4" s="3457">
        <v>4.8</v>
      </c>
      <c r="I4" s="3456"/>
      <c r="J4" s="3454"/>
    </row>
    <row r="5" spans="1:18">
      <c r="A5" s="3454"/>
      <c r="B5" s="3454"/>
      <c r="C5" s="3454"/>
      <c r="D5" s="3454"/>
      <c r="E5" s="3454"/>
      <c r="F5" s="3454"/>
      <c r="G5" s="3454"/>
      <c r="H5" s="3457">
        <v>4.9000000000000004</v>
      </c>
      <c r="I5" s="3454"/>
      <c r="J5" s="3454"/>
    </row>
    <row r="6" spans="1:18">
      <c r="A6" s="3454"/>
      <c r="B6" s="3454"/>
      <c r="C6" s="3454"/>
      <c r="D6" s="3454"/>
      <c r="E6" s="3454"/>
      <c r="F6" s="3454"/>
      <c r="G6" s="3454"/>
      <c r="H6" s="3458"/>
      <c r="I6" s="3458">
        <f>ROUND(AVERAGE(H2:H5),1)</f>
        <v>5.4</v>
      </c>
      <c r="J6" s="3454"/>
    </row>
    <row r="7" spans="1:18">
      <c r="A7" s="3454"/>
      <c r="B7" s="3454"/>
      <c r="C7" s="3454"/>
      <c r="D7" s="3454"/>
      <c r="E7" s="3454"/>
      <c r="F7" s="3454"/>
      <c r="G7" s="3454"/>
      <c r="H7" s="3458"/>
      <c r="I7" s="3454"/>
      <c r="J7" s="3454"/>
    </row>
    <row r="8" spans="1:18">
      <c r="A8" s="3454"/>
      <c r="B8" s="3454"/>
      <c r="C8" s="3454"/>
      <c r="D8" s="3454"/>
      <c r="E8" s="3454"/>
      <c r="F8" s="3454"/>
      <c r="G8" s="3454"/>
      <c r="H8" s="3458"/>
      <c r="I8" s="3454"/>
      <c r="J8" s="3454"/>
    </row>
    <row r="9" spans="1:18">
      <c r="H9" s="3459"/>
    </row>
    <row r="10" spans="1:18">
      <c r="H10" s="3459"/>
    </row>
    <row r="11" spans="1:18">
      <c r="H11" s="3459"/>
    </row>
    <row r="12" spans="1:18">
      <c r="Q12" s="3473" t="s">
        <v>3505</v>
      </c>
      <c r="R12" s="3473" t="s">
        <v>3506</v>
      </c>
    </row>
    <row r="13" spans="1:18">
      <c r="P13" s="3473" t="s">
        <v>3504</v>
      </c>
      <c r="Q13">
        <v>18467</v>
      </c>
      <c r="R13" s="3473">
        <v>106778</v>
      </c>
    </row>
    <row r="14" spans="1:18">
      <c r="P14" s="3473" t="s">
        <v>3507</v>
      </c>
      <c r="Q14" s="3815">
        <v>22322.799999999999</v>
      </c>
      <c r="R14" s="3815"/>
    </row>
    <row r="16" spans="1:18">
      <c r="Q16">
        <f>(Q13+R13)/Q14</f>
        <v>5.6106312828139844</v>
      </c>
    </row>
  </sheetData>
  <mergeCells count="1">
    <mergeCell ref="Q14:R14"/>
  </mergeCells>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Q28"/>
  <sheetViews>
    <sheetView workbookViewId="0">
      <selection activeCell="C28" sqref="C28"/>
    </sheetView>
  </sheetViews>
  <sheetFormatPr defaultRowHeight="13.5"/>
  <cols>
    <col min="1" max="5" width="9" style="3461"/>
    <col min="6" max="6" width="11.625" style="3461" bestFit="1" customWidth="1"/>
    <col min="7" max="13" width="9" style="3461"/>
    <col min="14" max="14" width="11.125" style="3461" bestFit="1" customWidth="1"/>
    <col min="15" max="16" width="9" style="3461"/>
    <col min="17" max="17" width="9.25" style="3461" bestFit="1" customWidth="1"/>
    <col min="18" max="16384" width="9" style="3461"/>
  </cols>
  <sheetData>
    <row r="1" spans="1:15">
      <c r="I1" s="3460" t="s">
        <v>3433</v>
      </c>
      <c r="J1" s="3460" t="s">
        <v>3434</v>
      </c>
      <c r="K1" s="3460" t="s">
        <v>3435</v>
      </c>
      <c r="L1" s="3460" t="s">
        <v>3436</v>
      </c>
      <c r="M1" s="3460" t="s">
        <v>3437</v>
      </c>
      <c r="N1" s="3460" t="s">
        <v>3438</v>
      </c>
      <c r="O1" s="3460"/>
    </row>
    <row r="2" spans="1:15">
      <c r="I2" s="3816" t="s">
        <v>3439</v>
      </c>
      <c r="J2" s="3462">
        <v>91.35</v>
      </c>
      <c r="K2" s="3462" t="s">
        <v>3440</v>
      </c>
      <c r="L2" s="3462" t="s">
        <v>3441</v>
      </c>
      <c r="M2" s="3462">
        <v>66776</v>
      </c>
      <c r="N2" s="3463">
        <v>44786</v>
      </c>
      <c r="O2" s="3462"/>
    </row>
    <row r="3" spans="1:15">
      <c r="I3" s="3816"/>
      <c r="J3" s="3462">
        <v>85.38</v>
      </c>
      <c r="K3" s="3462" t="s">
        <v>3442</v>
      </c>
      <c r="L3" s="3462" t="s">
        <v>3443</v>
      </c>
      <c r="M3" s="3462">
        <v>63598</v>
      </c>
      <c r="N3" s="3463">
        <v>44667</v>
      </c>
      <c r="O3" s="3462"/>
    </row>
    <row r="4" spans="1:15">
      <c r="A4" s="3460" t="s">
        <v>3433</v>
      </c>
      <c r="B4" s="3460" t="s">
        <v>3434</v>
      </c>
      <c r="C4" s="3460" t="s">
        <v>3435</v>
      </c>
      <c r="D4" s="3460" t="s">
        <v>3436</v>
      </c>
      <c r="E4" s="3460" t="s">
        <v>3437</v>
      </c>
      <c r="F4" s="3460" t="s">
        <v>3438</v>
      </c>
      <c r="G4" s="3460"/>
      <c r="I4" s="3816"/>
      <c r="J4" s="3462">
        <v>91.35</v>
      </c>
      <c r="K4" s="3462" t="s">
        <v>3442</v>
      </c>
      <c r="L4" s="3462" t="s">
        <v>3443</v>
      </c>
      <c r="M4" s="3462">
        <v>59332</v>
      </c>
      <c r="N4" s="3463">
        <v>44334</v>
      </c>
      <c r="O4" s="3462"/>
    </row>
    <row r="5" spans="1:15">
      <c r="A5" s="3817" t="s">
        <v>3460</v>
      </c>
      <c r="B5" s="3460">
        <v>107.68</v>
      </c>
      <c r="C5" s="3460" t="s">
        <v>3461</v>
      </c>
      <c r="D5" s="3460" t="s">
        <v>3459</v>
      </c>
      <c r="E5" s="3460">
        <v>52006</v>
      </c>
      <c r="F5" s="3464">
        <v>44870</v>
      </c>
      <c r="G5" s="3460"/>
      <c r="I5" s="3816"/>
      <c r="J5" s="3462">
        <v>85.38</v>
      </c>
      <c r="K5" s="3462" t="s">
        <v>3444</v>
      </c>
      <c r="L5" s="3462" t="s">
        <v>3443</v>
      </c>
      <c r="M5" s="3462">
        <v>49192</v>
      </c>
      <c r="N5" s="3463">
        <v>43539</v>
      </c>
      <c r="O5" s="3462"/>
    </row>
    <row r="6" spans="1:15">
      <c r="A6" s="3818"/>
      <c r="B6" s="3466">
        <v>106.93</v>
      </c>
      <c r="C6" s="3466" t="s">
        <v>3461</v>
      </c>
      <c r="D6" s="3467" t="s">
        <v>3455</v>
      </c>
      <c r="E6" s="3467">
        <v>48817</v>
      </c>
      <c r="F6" s="3468">
        <v>44301</v>
      </c>
      <c r="G6" s="3460"/>
      <c r="I6" s="3816"/>
      <c r="J6" s="3462">
        <v>80.25</v>
      </c>
      <c r="K6" s="3462" t="s">
        <v>3440</v>
      </c>
      <c r="L6" s="3462" t="s">
        <v>3441</v>
      </c>
      <c r="M6" s="3462">
        <v>47352</v>
      </c>
      <c r="N6" s="3463">
        <v>43302</v>
      </c>
      <c r="O6" s="3462"/>
    </row>
    <row r="7" spans="1:15">
      <c r="A7" s="3818"/>
      <c r="B7" s="3467">
        <v>107.68</v>
      </c>
      <c r="C7" s="3467" t="s">
        <v>3462</v>
      </c>
      <c r="D7" s="3467" t="s">
        <v>3459</v>
      </c>
      <c r="E7" s="3467">
        <v>47455</v>
      </c>
      <c r="F7" s="3468">
        <v>44182</v>
      </c>
      <c r="G7" s="3460"/>
      <c r="I7" s="3817" t="s">
        <v>3445</v>
      </c>
      <c r="J7" s="3460">
        <v>309.14999999999998</v>
      </c>
      <c r="K7" s="3460" t="s">
        <v>3446</v>
      </c>
      <c r="L7" s="3460" t="s">
        <v>3447</v>
      </c>
      <c r="M7" s="3460">
        <v>40951</v>
      </c>
      <c r="N7" s="3464">
        <v>44219</v>
      </c>
      <c r="O7" s="3460"/>
    </row>
    <row r="8" spans="1:15">
      <c r="A8" s="3818"/>
      <c r="B8" s="3467">
        <v>123.55</v>
      </c>
      <c r="C8" s="3467" t="s">
        <v>3462</v>
      </c>
      <c r="D8" s="3467" t="s">
        <v>3455</v>
      </c>
      <c r="E8" s="3467">
        <v>46540</v>
      </c>
      <c r="F8" s="3468">
        <v>44151</v>
      </c>
      <c r="G8" s="3460"/>
      <c r="I8" s="3818"/>
      <c r="J8" s="3460">
        <v>229.24</v>
      </c>
      <c r="K8" s="3460" t="s">
        <v>3448</v>
      </c>
      <c r="L8" s="3460" t="s">
        <v>3449</v>
      </c>
      <c r="M8" s="3460">
        <v>44059</v>
      </c>
      <c r="N8" s="3464">
        <v>44126</v>
      </c>
      <c r="O8" s="3460"/>
    </row>
    <row r="9" spans="1:15">
      <c r="A9" s="3818"/>
      <c r="B9" s="3460">
        <v>105.52</v>
      </c>
      <c r="C9" s="3460" t="s">
        <v>3463</v>
      </c>
      <c r="D9" s="3460" t="s">
        <v>3455</v>
      </c>
      <c r="E9" s="3460">
        <v>48332</v>
      </c>
      <c r="F9" s="3464">
        <v>44109</v>
      </c>
      <c r="G9" s="3460"/>
      <c r="I9" s="3818"/>
      <c r="J9" s="3460">
        <v>197.01</v>
      </c>
      <c r="K9" s="3460" t="s">
        <v>3450</v>
      </c>
      <c r="L9" s="3460" t="s">
        <v>3451</v>
      </c>
      <c r="M9" s="3460">
        <v>46647</v>
      </c>
      <c r="N9" s="3464">
        <v>43981</v>
      </c>
      <c r="O9" s="3460"/>
    </row>
    <row r="10" spans="1:15">
      <c r="A10" s="3818"/>
      <c r="B10" s="3460">
        <v>107.89</v>
      </c>
      <c r="C10" s="3460" t="s">
        <v>3461</v>
      </c>
      <c r="D10" s="3460" t="s">
        <v>3459</v>
      </c>
      <c r="E10" s="3460">
        <v>49588</v>
      </c>
      <c r="F10" s="3464">
        <v>44103</v>
      </c>
      <c r="G10" s="3460"/>
      <c r="I10" s="3818"/>
      <c r="J10" s="3460">
        <v>235.67</v>
      </c>
      <c r="K10" s="3460" t="s">
        <v>3450</v>
      </c>
      <c r="L10" s="3460" t="s">
        <v>3452</v>
      </c>
      <c r="M10" s="3460">
        <v>36067</v>
      </c>
      <c r="N10" s="3464">
        <v>43980</v>
      </c>
      <c r="O10" s="3460"/>
    </row>
    <row r="11" spans="1:15">
      <c r="A11" s="3818"/>
      <c r="B11" s="3460">
        <v>106.93</v>
      </c>
      <c r="C11" s="3460" t="s">
        <v>3464</v>
      </c>
      <c r="D11" s="3460" t="s">
        <v>3455</v>
      </c>
      <c r="E11" s="3460">
        <v>46760</v>
      </c>
      <c r="F11" s="3464">
        <v>44078</v>
      </c>
      <c r="G11" s="3460"/>
      <c r="I11" s="3818"/>
      <c r="J11" s="3460">
        <v>203.33</v>
      </c>
      <c r="K11" s="3460" t="s">
        <v>3453</v>
      </c>
      <c r="L11" s="3460" t="s">
        <v>3454</v>
      </c>
      <c r="M11" s="3460">
        <v>56558</v>
      </c>
      <c r="N11" s="3464">
        <v>43700</v>
      </c>
      <c r="O11" s="3460"/>
    </row>
    <row r="12" spans="1:15">
      <c r="A12" s="3818"/>
      <c r="B12" s="3460">
        <v>102.76</v>
      </c>
      <c r="C12" s="3460" t="s">
        <v>3461</v>
      </c>
      <c r="D12" s="3460" t="s">
        <v>3455</v>
      </c>
      <c r="E12" s="3460">
        <v>49241</v>
      </c>
      <c r="F12" s="3464">
        <v>44063</v>
      </c>
      <c r="G12" s="3460"/>
      <c r="I12" s="3818"/>
      <c r="J12" s="3460">
        <v>12516</v>
      </c>
      <c r="K12" s="3460" t="s">
        <v>3448</v>
      </c>
      <c r="L12" s="3460" t="s">
        <v>3455</v>
      </c>
      <c r="M12" s="3460">
        <v>49936</v>
      </c>
      <c r="N12" s="3464">
        <v>43696</v>
      </c>
      <c r="O12" s="3460"/>
    </row>
    <row r="13" spans="1:15">
      <c r="A13" s="3818"/>
      <c r="B13" s="3460">
        <v>102.76</v>
      </c>
      <c r="C13" s="3460" t="s">
        <v>3464</v>
      </c>
      <c r="D13" s="3460" t="s">
        <v>3455</v>
      </c>
      <c r="E13" s="3460">
        <v>53523</v>
      </c>
      <c r="F13" s="3464">
        <v>43966</v>
      </c>
      <c r="G13" s="3460"/>
      <c r="I13" s="3819"/>
      <c r="J13" s="3460">
        <v>125.16</v>
      </c>
      <c r="K13" s="3460" t="s">
        <v>3450</v>
      </c>
      <c r="L13" s="3460" t="s">
        <v>3455</v>
      </c>
      <c r="M13" s="3460">
        <v>52173</v>
      </c>
      <c r="N13" s="3464">
        <v>43201</v>
      </c>
      <c r="O13" s="3460"/>
    </row>
    <row r="14" spans="1:15">
      <c r="A14" s="3818"/>
      <c r="B14" s="3460">
        <v>102.76</v>
      </c>
      <c r="C14" s="3460" t="s">
        <v>3462</v>
      </c>
      <c r="D14" s="3460" t="s">
        <v>3455</v>
      </c>
      <c r="E14" s="3460">
        <v>49630</v>
      </c>
      <c r="F14" s="3464">
        <v>43950</v>
      </c>
      <c r="G14" s="3460"/>
      <c r="I14" s="3820" t="s">
        <v>3456</v>
      </c>
      <c r="J14" s="3462">
        <v>183.04</v>
      </c>
      <c r="K14" s="3462" t="s">
        <v>3457</v>
      </c>
      <c r="L14" s="3462" t="s">
        <v>3452</v>
      </c>
      <c r="M14" s="3462">
        <v>78125</v>
      </c>
      <c r="N14" s="3463">
        <v>44815</v>
      </c>
      <c r="O14" s="3462"/>
    </row>
    <row r="15" spans="1:15">
      <c r="A15" s="3818"/>
      <c r="B15" s="3460">
        <v>102.76</v>
      </c>
      <c r="C15" s="3460" t="s">
        <v>3462</v>
      </c>
      <c r="D15" s="3460" t="s">
        <v>3455</v>
      </c>
      <c r="E15" s="3460">
        <v>49630</v>
      </c>
      <c r="F15" s="3464">
        <v>43800</v>
      </c>
      <c r="G15" s="3460"/>
      <c r="I15" s="3821"/>
      <c r="J15" s="3462">
        <v>93.59</v>
      </c>
      <c r="K15" s="3462" t="s">
        <v>3458</v>
      </c>
      <c r="L15" s="3462" t="s">
        <v>3459</v>
      </c>
      <c r="M15" s="3462">
        <v>80992</v>
      </c>
      <c r="N15" s="3463">
        <v>43901</v>
      </c>
      <c r="O15" s="3462"/>
    </row>
    <row r="16" spans="1:15">
      <c r="A16" s="3818"/>
      <c r="B16" s="3460">
        <v>107.35</v>
      </c>
      <c r="C16" s="3460" t="s">
        <v>3442</v>
      </c>
      <c r="D16" s="3460" t="s">
        <v>3455</v>
      </c>
      <c r="E16" s="3460">
        <v>46577</v>
      </c>
      <c r="F16" s="3464">
        <v>43668</v>
      </c>
      <c r="G16" s="3460"/>
      <c r="I16" s="3821"/>
      <c r="J16" s="3462">
        <v>182.82</v>
      </c>
      <c r="K16" s="3462" t="s">
        <v>3457</v>
      </c>
      <c r="L16" s="3462" t="s">
        <v>3452</v>
      </c>
      <c r="M16" s="3462">
        <v>59348</v>
      </c>
      <c r="N16" s="3463">
        <v>43431</v>
      </c>
      <c r="O16" s="3462"/>
    </row>
    <row r="17" spans="1:17">
      <c r="A17" s="3818"/>
      <c r="B17" s="3460">
        <v>174.77</v>
      </c>
      <c r="C17" s="3460" t="s">
        <v>3442</v>
      </c>
      <c r="D17" s="3460" t="s">
        <v>3459</v>
      </c>
      <c r="E17" s="3460">
        <v>43486</v>
      </c>
      <c r="F17" s="3464">
        <v>43668</v>
      </c>
      <c r="G17" s="3460"/>
      <c r="I17" s="3822"/>
      <c r="J17" s="3462">
        <v>93.59</v>
      </c>
      <c r="K17" s="3462" t="s">
        <v>3457</v>
      </c>
      <c r="L17" s="3462" t="s">
        <v>3459</v>
      </c>
      <c r="M17" s="3462">
        <v>69452</v>
      </c>
      <c r="N17" s="3463">
        <v>43222</v>
      </c>
      <c r="O17" s="3462"/>
    </row>
    <row r="18" spans="1:17">
      <c r="A18" s="3818"/>
      <c r="B18" s="3460">
        <v>37.950000000000003</v>
      </c>
      <c r="C18" s="3460" t="s">
        <v>3465</v>
      </c>
      <c r="D18" s="3460" t="s">
        <v>3459</v>
      </c>
      <c r="E18" s="3460">
        <v>12648</v>
      </c>
      <c r="F18" s="3464">
        <v>43526</v>
      </c>
      <c r="G18" s="3460" t="s">
        <v>3466</v>
      </c>
      <c r="Q18" s="3465"/>
    </row>
    <row r="19" spans="1:17">
      <c r="A19" s="3819"/>
      <c r="B19" s="3460">
        <v>178.32</v>
      </c>
      <c r="C19" s="3460" t="s">
        <v>3444</v>
      </c>
      <c r="D19" s="3460" t="s">
        <v>3459</v>
      </c>
      <c r="E19" s="3460">
        <v>43181</v>
      </c>
      <c r="F19" s="3464">
        <v>43522</v>
      </c>
      <c r="G19" s="3460"/>
      <c r="Q19" s="3465"/>
    </row>
    <row r="20" spans="1:17">
      <c r="Q20" s="3465"/>
    </row>
    <row r="26" spans="1:17">
      <c r="C26" s="3461">
        <v>2022</v>
      </c>
      <c r="D26" s="3461">
        <v>10</v>
      </c>
    </row>
    <row r="27" spans="1:17">
      <c r="C27" s="3461">
        <v>2021</v>
      </c>
      <c r="D27" s="3461">
        <v>10</v>
      </c>
    </row>
    <row r="28" spans="1:17">
      <c r="C28" s="3461">
        <v>2020</v>
      </c>
      <c r="D28" s="3461">
        <v>10</v>
      </c>
    </row>
  </sheetData>
  <mergeCells count="4">
    <mergeCell ref="I2:I6"/>
    <mergeCell ref="I7:I13"/>
    <mergeCell ref="I14:I17"/>
    <mergeCell ref="A5:A19"/>
  </mergeCells>
  <phoneticPr fontId="1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市场成交</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2023-03-07T10:47:01Z</dcterms:modified>
</cp:coreProperties>
</file>